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ummary" sheetId="2" state="visible" r:id="rId4"/>
    <sheet name="KATHY_PHYS" sheetId="3" state="visible" r:id="rId5"/>
    <sheet name="WAHA_swap" sheetId="4" state="visible" r:id="rId6"/>
    <sheet name="KATY_SWAP" sheetId="5" state="visible" r:id="rId7"/>
    <sheet name="HH_SWAP" sheetId="6" state="visible" r:id="rId8"/>
    <sheet name="HSC_SWAP" sheetId="7" state="visible" r:id="rId9"/>
    <sheet name="PERMIAN" sheetId="8" state="visible" r:id="rId10"/>
    <sheet name="NYMEX_juL1" sheetId="9" state="visible" r:id="rId11"/>
    <sheet name="NYMEX_juL2" sheetId="10" state="visible" r:id="rId12"/>
    <sheet name="JUL Swap" sheetId="11" state="visible" r:id="rId13"/>
    <sheet name="NYMEX_AUG" sheetId="12" state="visible" r:id="rId14"/>
    <sheet name="GasDaily" sheetId="13" state="visible" r:id="rId15"/>
    <sheet name="NYMEX_SEP" sheetId="14" state="visible" r:id="rId16"/>
    <sheet name="basis" sheetId="15" state="visible" r:id="rId17"/>
    <sheet name="X_H" sheetId="16" state="visible" r:id="rId18"/>
    <sheet name="N_V" sheetId="17" state="visible" r:id="rId19"/>
    <sheet name="SCALE" sheetId="18" state="visible" r:id="rId20"/>
    <sheet name="JUN_PHY" sheetId="19" state="visible" r:id="rId21"/>
  </sheets>
  <externalReferences>
    <externalReference r:id="rId22"/>
  </externalReferences>
  <definedNames>
    <definedName function="false" hidden="false" localSheetId="12" name="_xlnm.Print_Area" vbProcedure="false">GasDaily!$A$1:$AM$42</definedName>
    <definedName function="false" hidden="false" localSheetId="1" name="_xlnm.Print_Area" vbProcedure="false">Summary!$1:$65536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<sst xmlns="http://schemas.openxmlformats.org/spreadsheetml/2006/main" count="3510" uniqueCount="611">
  <si>
    <t xml:space="preserve">Transaction Time</t>
  </si>
  <si>
    <t xml:space="preserve">Counterparty Name</t>
  </si>
  <si>
    <t xml:space="preserve">Product Name</t>
  </si>
  <si>
    <t xml:space="preserve">Buy Volume</t>
  </si>
  <si>
    <t xml:space="preserve">Sell  Volume</t>
  </si>
  <si>
    <t xml:space="preserve">Price</t>
  </si>
  <si>
    <t xml:space="preserve">06/08/2001 01:00 pm</t>
  </si>
  <si>
    <t xml:space="preserve">Dynegy Marketing and Trade</t>
  </si>
  <si>
    <t xml:space="preserve">US Gas Swap      Nymex                   Jul01           USD/MM</t>
  </si>
  <si>
    <t xml:space="preserve">06/08/2001 01:01 pm</t>
  </si>
  <si>
    <t xml:space="preserve">TXU Energy Trading Company</t>
  </si>
  <si>
    <t xml:space="preserve">06/08/2001 01:03 pm</t>
  </si>
  <si>
    <t xml:space="preserve">Storage Book - Bammel</t>
  </si>
  <si>
    <t xml:space="preserve">US Gas Swap      Nymex                   Jul-Oct01       USD/MM</t>
  </si>
  <si>
    <t xml:space="preserve">06/08/2001 01:04 pm</t>
  </si>
  <si>
    <t xml:space="preserve">Bank of America, National Association</t>
  </si>
  <si>
    <t xml:space="preserve">06/08/2001 01:05 pm</t>
  </si>
  <si>
    <t xml:space="preserve">Reliant Energy Services, Inc.</t>
  </si>
  <si>
    <t xml:space="preserve">US Gas Swap      Nymex                   Jan-Dec02       USD/MM</t>
  </si>
  <si>
    <t xml:space="preserve">06/08/2001 01:08 pm</t>
  </si>
  <si>
    <t xml:space="preserve">BP Corporation North America Inc.</t>
  </si>
  <si>
    <t xml:space="preserve">06/08/2001 01:09 pm</t>
  </si>
  <si>
    <t xml:space="preserve">US Gas Swap      Nymex                   Nov01-Mar02     USD/MM</t>
  </si>
  <si>
    <t xml:space="preserve">Puget Sound Energy, Inc.</t>
  </si>
  <si>
    <t xml:space="preserve">Sempra Energy Trading Corp.</t>
  </si>
  <si>
    <t xml:space="preserve">06/08/2001 01:10 pm</t>
  </si>
  <si>
    <t xml:space="preserve">Aquila Risk Management Corporation</t>
  </si>
  <si>
    <t xml:space="preserve">06/08/2001 01:12 pm</t>
  </si>
  <si>
    <t xml:space="preserve">Canadian Imperial Bank of Commerce</t>
  </si>
  <si>
    <t xml:space="preserve">06/08/2001 01:14 pm</t>
  </si>
  <si>
    <t xml:space="preserve">FT-Katy</t>
  </si>
  <si>
    <t xml:space="preserve">PWR-NG-LT-SPP</t>
  </si>
  <si>
    <t xml:space="preserve">US Gas Swap      Nymex                   Aug01           USD/MM</t>
  </si>
  <si>
    <t xml:space="preserve">06/08/2001 01:15 pm</t>
  </si>
  <si>
    <t xml:space="preserve">06/08/2001 01:18 pm</t>
  </si>
  <si>
    <t xml:space="preserve">CMS Marketing, Services and Trading Company</t>
  </si>
  <si>
    <t xml:space="preserve">DTE Energy Trading, Inc.</t>
  </si>
  <si>
    <t xml:space="preserve">Duke Energy Trading and Marketing, L.L.C.</t>
  </si>
  <si>
    <t xml:space="preserve">FT-Intra-Central</t>
  </si>
  <si>
    <t xml:space="preserve">Hess Energy Trading Company LLC</t>
  </si>
  <si>
    <t xml:space="preserve">06/08/2001 01:21 pm</t>
  </si>
  <si>
    <t xml:space="preserve">Morgan Stanley Capital Group, Inc.</t>
  </si>
  <si>
    <t xml:space="preserve">Power Midwest Gas (Mark to Market)</t>
  </si>
  <si>
    <t xml:space="preserve">Power PJM Gas MTM</t>
  </si>
  <si>
    <t xml:space="preserve">06/08/2001 01:22 pm</t>
  </si>
  <si>
    <t xml:space="preserve">06/08/2001 01:23 pm</t>
  </si>
  <si>
    <t xml:space="preserve">Axia Energy, LP</t>
  </si>
  <si>
    <t xml:space="preserve">06/08/2001 01:25 pm</t>
  </si>
  <si>
    <t xml:space="preserve">06/08/2001 01:28 pm</t>
  </si>
  <si>
    <t xml:space="preserve">Engage Energy Canada L.P.</t>
  </si>
  <si>
    <t xml:space="preserve">06/08/2001 01:29 pm</t>
  </si>
  <si>
    <t xml:space="preserve">East Gas Daily</t>
  </si>
  <si>
    <t xml:space="preserve">06/08/2001 01:30 pm</t>
  </si>
  <si>
    <t xml:space="preserve">06/08/2001 01:31 pm</t>
  </si>
  <si>
    <t xml:space="preserve">06/08/2001 01:32 pm</t>
  </si>
  <si>
    <t xml:space="preserve">Virginia Power Energy Marketing, Inc.</t>
  </si>
  <si>
    <t xml:space="preserve">06/08/2001 01:34 pm</t>
  </si>
  <si>
    <t xml:space="preserve">OGE Energy Resources, Inc.</t>
  </si>
  <si>
    <t xml:space="preserve">06/08/2001 01:35 pm</t>
  </si>
  <si>
    <t xml:space="preserve">Power Northeast Gas (Mark to Market)</t>
  </si>
  <si>
    <t xml:space="preserve">06/08/2001 01:36 pm</t>
  </si>
  <si>
    <t xml:space="preserve">06/08/2001 01:37 pm</t>
  </si>
  <si>
    <t xml:space="preserve">06/08/2001 01:39 pm</t>
  </si>
  <si>
    <t xml:space="preserve">06/08/2001 01:41 pm</t>
  </si>
  <si>
    <t xml:space="preserve">Management West</t>
  </si>
  <si>
    <t xml:space="preserve">US Gas Swap      Nymex                   Sep01           USD/MM</t>
  </si>
  <si>
    <t xml:space="preserve">06/08/2001 01:42 pm</t>
  </si>
  <si>
    <t xml:space="preserve">06/08/2001 01:43 pm</t>
  </si>
  <si>
    <t xml:space="preserve">Intra-Month Trading Texas</t>
  </si>
  <si>
    <t xml:space="preserve">06/08/2001 01:44 pm</t>
  </si>
  <si>
    <t xml:space="preserve">AEP Energy Services, Inc.</t>
  </si>
  <si>
    <t xml:space="preserve">06/08/2001 01:46 pm</t>
  </si>
  <si>
    <t xml:space="preserve">Gas Exotics Book</t>
  </si>
  <si>
    <t xml:space="preserve">06/08/2001 01:47 pm</t>
  </si>
  <si>
    <t xml:space="preserve">06/08/2001 01:48 pm</t>
  </si>
  <si>
    <t xml:space="preserve">06/08/2001 01:49 pm</t>
  </si>
  <si>
    <t xml:space="preserve">FT-ENOVRT</t>
  </si>
  <si>
    <t xml:space="preserve">06/08/2001 01:51 pm</t>
  </si>
  <si>
    <t xml:space="preserve">06/08/2001 01:52 pm</t>
  </si>
  <si>
    <t xml:space="preserve">06/08/2001 01:53 pm</t>
  </si>
  <si>
    <t xml:space="preserve">TransCanada Energy Financial Products Limited</t>
  </si>
  <si>
    <t xml:space="preserve">06/08/2001 01:54 pm</t>
  </si>
  <si>
    <t xml:space="preserve">Aquila Canada Corp.</t>
  </si>
  <si>
    <t xml:space="preserve">Tractebel Energy Marketing, Inc.</t>
  </si>
  <si>
    <t xml:space="preserve">06/08/2001 01:55 pm</t>
  </si>
  <si>
    <t xml:space="preserve">Coral Energy Holding L.P.</t>
  </si>
  <si>
    <t xml:space="preserve">Duke Energy Marketing Limited Partnership</t>
  </si>
  <si>
    <t xml:space="preserve">06/08/2001 01:56 pm</t>
  </si>
  <si>
    <t xml:space="preserve">Conectiv Energy Supply, Inc.</t>
  </si>
  <si>
    <t xml:space="preserve">Firm Trading -Ontario</t>
  </si>
  <si>
    <t xml:space="preserve">FT-Intra-Gulf</t>
  </si>
  <si>
    <t xml:space="preserve">Vitol S.A. Inc.</t>
  </si>
  <si>
    <t xml:space="preserve">06/08/2001 01:57 pm</t>
  </si>
  <si>
    <t xml:space="preserve">FT-Intra-Central-Mkt2</t>
  </si>
  <si>
    <t xml:space="preserve">Intra-Enron MidwestNSS2</t>
  </si>
  <si>
    <t xml:space="preserve">06/08/2001 01:58 pm</t>
  </si>
  <si>
    <t xml:space="preserve">06/08/2001 01:59 pm</t>
  </si>
  <si>
    <t xml:space="preserve">Calpine Energy Services, L.P.</t>
  </si>
  <si>
    <t xml:space="preserve">East-NewYork</t>
  </si>
  <si>
    <t xml:space="preserve">06/08/2001 02:00 pm</t>
  </si>
  <si>
    <t xml:space="preserve">AIG Energy Trading Inc.</t>
  </si>
  <si>
    <t xml:space="preserve">Florida Power &amp; Light Company</t>
  </si>
  <si>
    <t xml:space="preserve">06/08/2001 02:01 pm</t>
  </si>
  <si>
    <t xml:space="preserve">Dynegy Canada Inc.</t>
  </si>
  <si>
    <t xml:space="preserve">Gas Daily Central</t>
  </si>
  <si>
    <t xml:space="preserve">Texaco Natural Gas Inc.</t>
  </si>
  <si>
    <t xml:space="preserve">06/08/2001 02:02 pm</t>
  </si>
  <si>
    <t xml:space="preserve">West-Northwest</t>
  </si>
  <si>
    <t xml:space="preserve">06/08/2001 02:03 pm</t>
  </si>
  <si>
    <t xml:space="preserve">J. Aron &amp; Company</t>
  </si>
  <si>
    <t xml:space="preserve">06/08/2001 02:04 pm</t>
  </si>
  <si>
    <t xml:space="preserve">06/08/2001 02:05 pm</t>
  </si>
  <si>
    <t xml:space="preserve">06/08/2001 02:06 pm</t>
  </si>
  <si>
    <t xml:space="preserve">Duke Energy Merchants LLC</t>
  </si>
  <si>
    <t xml:space="preserve">Firm Trading Bridgeline Gas Marketing</t>
  </si>
  <si>
    <t xml:space="preserve">06/08/2001 02:07 pm</t>
  </si>
  <si>
    <t xml:space="preserve">Intra-Month -Canada (West)</t>
  </si>
  <si>
    <t xml:space="preserve">06/08/2001 02:08 pm</t>
  </si>
  <si>
    <t xml:space="preserve">GD-New</t>
  </si>
  <si>
    <t xml:space="preserve">06/08/2001 02:09 pm</t>
  </si>
  <si>
    <t xml:space="preserve">06/08/2001 02:10 pm</t>
  </si>
  <si>
    <t xml:space="preserve">06/08/2001 02:11 pm</t>
  </si>
  <si>
    <t xml:space="preserve">06/08/2001 02:12 pm</t>
  </si>
  <si>
    <t xml:space="preserve">06/08/2001 02:13 pm</t>
  </si>
  <si>
    <t xml:space="preserve">06/08/2001 02:14 pm</t>
  </si>
  <si>
    <t xml:space="preserve">06/08/2001 02:15 pm</t>
  </si>
  <si>
    <t xml:space="preserve">Tenaska Marketing Ventures</t>
  </si>
  <si>
    <t xml:space="preserve">06/08/2001 02:16 pm</t>
  </si>
  <si>
    <t xml:space="preserve">06/08/2001 02:17 pm</t>
  </si>
  <si>
    <t xml:space="preserve">06/08/2001 02:18 pm</t>
  </si>
  <si>
    <t xml:space="preserve">06/08/2001 02:19 pm</t>
  </si>
  <si>
    <t xml:space="preserve">06/08/2001 02:20 pm</t>
  </si>
  <si>
    <t xml:space="preserve">06/08/2001 02:21 pm</t>
  </si>
  <si>
    <t xml:space="preserve">06/08/2001 02:22 pm</t>
  </si>
  <si>
    <t xml:space="preserve">ONEOK Energy Marketing and Trading Company, L.P.</t>
  </si>
  <si>
    <t xml:space="preserve">06/08/2001 02:23 pm</t>
  </si>
  <si>
    <t xml:space="preserve">06/08/2001 02:29 pm</t>
  </si>
  <si>
    <t xml:space="preserve">06/08/2001 02:31 pm</t>
  </si>
  <si>
    <t xml:space="preserve">06/08/2001 02:32 pm</t>
  </si>
  <si>
    <t xml:space="preserve">East-CNG</t>
  </si>
  <si>
    <t xml:space="preserve">06/08/2001 02:35 pm</t>
  </si>
  <si>
    <t xml:space="preserve">06/08/2001 02:36 pm</t>
  </si>
  <si>
    <t xml:space="preserve">06/08/2001 02:37 pm</t>
  </si>
  <si>
    <t xml:space="preserve">06/08/2001 02:43 pm</t>
  </si>
  <si>
    <t xml:space="preserve">06/08/2001 02:44 pm</t>
  </si>
  <si>
    <t xml:space="preserve">06/08/2001 02:45 pm</t>
  </si>
  <si>
    <t xml:space="preserve">06/08/2001 02:49 pm</t>
  </si>
  <si>
    <t xml:space="preserve">06/08/2001 02:51 pm</t>
  </si>
  <si>
    <t xml:space="preserve">06/08/2001 02:54 pm</t>
  </si>
  <si>
    <t xml:space="preserve">PWR-NG-LT-OPTB</t>
  </si>
  <si>
    <t xml:space="preserve">06/08/2001 02:56 pm</t>
  </si>
  <si>
    <t xml:space="preserve">06/08/2001 03:01 pm</t>
  </si>
  <si>
    <t xml:space="preserve">06/08/2001 03:02 pm</t>
  </si>
  <si>
    <t xml:space="preserve">06/08/2001 03:04 pm</t>
  </si>
  <si>
    <t xml:space="preserve">06/08/2001 03:05 pm</t>
  </si>
  <si>
    <t xml:space="preserve">06/08/2001 03:16 pm</t>
  </si>
  <si>
    <t xml:space="preserve">06/08/2001 03:17 pm</t>
  </si>
  <si>
    <t xml:space="preserve">06/08/2001 03:19 pm</t>
  </si>
  <si>
    <t xml:space="preserve">06/08/2001 03:20 pm</t>
  </si>
  <si>
    <t xml:space="preserve">06/08/2001 05:21 am</t>
  </si>
  <si>
    <t xml:space="preserve">Cinergy Marketing &amp; Trading, LLC</t>
  </si>
  <si>
    <t xml:space="preserve">06/08/2001 06:01 am</t>
  </si>
  <si>
    <t xml:space="preserve">06/08/2001 06:18 am</t>
  </si>
  <si>
    <t xml:space="preserve">06/08/2001 06:19 am</t>
  </si>
  <si>
    <t xml:space="preserve">PWR-NG-LT-SERC</t>
  </si>
  <si>
    <t xml:space="preserve">06/08/2001 06:20 am</t>
  </si>
  <si>
    <t xml:space="preserve">06/08/2001 06:30 am</t>
  </si>
  <si>
    <t xml:space="preserve">06/08/2001 06:31 am</t>
  </si>
  <si>
    <t xml:space="preserve">Glencore Ltd.</t>
  </si>
  <si>
    <t xml:space="preserve">US Gas Daily     HHub                    Jul01           USD/MM</t>
  </si>
  <si>
    <t xml:space="preserve">06/08/2001 06:36 am</t>
  </si>
  <si>
    <t xml:space="preserve">06/08/2001 06:37 am</t>
  </si>
  <si>
    <t xml:space="preserve">06/08/2001 06:39 am</t>
  </si>
  <si>
    <t xml:space="preserve">06/08/2001 06:40 am</t>
  </si>
  <si>
    <t xml:space="preserve">06/08/2001 06:42 am</t>
  </si>
  <si>
    <t xml:space="preserve">06/08/2001 06:43 am</t>
  </si>
  <si>
    <t xml:space="preserve">PG&amp;E Energy Trading-Gas Corporation</t>
  </si>
  <si>
    <t xml:space="preserve">06/08/2001 06:44 am</t>
  </si>
  <si>
    <t xml:space="preserve">06/08/2001 06:45 am</t>
  </si>
  <si>
    <t xml:space="preserve">06/08/2001 06:51 am</t>
  </si>
  <si>
    <t xml:space="preserve">06/08/2001 06:53 am</t>
  </si>
  <si>
    <t xml:space="preserve">06/08/2001 06:54 am</t>
  </si>
  <si>
    <t xml:space="preserve">06/08/2001 06:58 am</t>
  </si>
  <si>
    <t xml:space="preserve">06/08/2001 07:02 am</t>
  </si>
  <si>
    <t xml:space="preserve">06/08/2001 07:03 am</t>
  </si>
  <si>
    <t xml:space="preserve">06/08/2001 07:06 am</t>
  </si>
  <si>
    <t xml:space="preserve">Firm Trading Central</t>
  </si>
  <si>
    <t xml:space="preserve">06/08/2001 07:07 am</t>
  </si>
  <si>
    <t xml:space="preserve">06/08/2001 07:08 am</t>
  </si>
  <si>
    <t xml:space="preserve">06/08/2001 07:19 am</t>
  </si>
  <si>
    <t xml:space="preserve">06/08/2001 07:20 am</t>
  </si>
  <si>
    <t xml:space="preserve">East-MKTEAST</t>
  </si>
  <si>
    <t xml:space="preserve">06/08/2001 07:22 am</t>
  </si>
  <si>
    <t xml:space="preserve">06/08/2001 07:23 am</t>
  </si>
  <si>
    <t xml:space="preserve">06/08/2001 07:27 am</t>
  </si>
  <si>
    <t xml:space="preserve">06/08/2001 07:28 am</t>
  </si>
  <si>
    <t xml:space="preserve">06/08/2001 07:29 am</t>
  </si>
  <si>
    <t xml:space="preserve">06/08/2001 07:32 am</t>
  </si>
  <si>
    <t xml:space="preserve">06/08/2001 07:33 am</t>
  </si>
  <si>
    <t xml:space="preserve">Natural Gas Mid-Market Book</t>
  </si>
  <si>
    <t xml:space="preserve">06/08/2001 07:34 am</t>
  </si>
  <si>
    <t xml:space="preserve">Options -East</t>
  </si>
  <si>
    <t xml:space="preserve">06/08/2001 07:35 am</t>
  </si>
  <si>
    <t xml:space="preserve">06/08/2001 07:37 am</t>
  </si>
  <si>
    <t xml:space="preserve">EPTT -Gas Hedge (Texas)</t>
  </si>
  <si>
    <t xml:space="preserve">06/08/2001 07:42 am</t>
  </si>
  <si>
    <t xml:space="preserve">06/08/2001 07:43 am</t>
  </si>
  <si>
    <t xml:space="preserve">06/08/2001 07:44 am</t>
  </si>
  <si>
    <t xml:space="preserve">06/08/2001 07:45 am</t>
  </si>
  <si>
    <t xml:space="preserve">06/08/2001 07:47 am</t>
  </si>
  <si>
    <t xml:space="preserve">06/08/2001 08:00 am</t>
  </si>
  <si>
    <t xml:space="preserve">WPS Energy Services, Inc.</t>
  </si>
  <si>
    <t xml:space="preserve">06/08/2001 08:02 am</t>
  </si>
  <si>
    <t xml:space="preserve">Cargill Energy, a division of Cargill, Incorporated</t>
  </si>
  <si>
    <t xml:space="preserve">Mirant Americas Energy Marketing, L.P.</t>
  </si>
  <si>
    <t xml:space="preserve">06/08/2001 08:03 am</t>
  </si>
  <si>
    <t xml:space="preserve">06/08/2001 08:04 am</t>
  </si>
  <si>
    <t xml:space="preserve">06/08/2001 08:05 am</t>
  </si>
  <si>
    <t xml:space="preserve">East-Gulf2</t>
  </si>
  <si>
    <t xml:space="preserve">06/08/2001 08:10 am</t>
  </si>
  <si>
    <t xml:space="preserve">The Chase Manhattan Bank</t>
  </si>
  <si>
    <t xml:space="preserve">06/08/2001 08:11 am</t>
  </si>
  <si>
    <t xml:space="preserve">06/08/2001 08:12 am</t>
  </si>
  <si>
    <t xml:space="preserve">06/08/2001 08:13 am</t>
  </si>
  <si>
    <t xml:space="preserve">06/08/2001 08:14 am</t>
  </si>
  <si>
    <t xml:space="preserve">06/08/2001 08:15 am</t>
  </si>
  <si>
    <t xml:space="preserve">06/08/2001 08:17 am</t>
  </si>
  <si>
    <t xml:space="preserve">Western Gas Resources, Inc.</t>
  </si>
  <si>
    <t xml:space="preserve">06/08/2001 08:18 am</t>
  </si>
  <si>
    <t xml:space="preserve">06/08/2001 08:20 am</t>
  </si>
  <si>
    <t xml:space="preserve">Cross Timbers Oil Company</t>
  </si>
  <si>
    <t xml:space="preserve">06/08/2001 08:21 am</t>
  </si>
  <si>
    <t xml:space="preserve">06/08/2001 08:22 am</t>
  </si>
  <si>
    <t xml:space="preserve">06/08/2001 08:25 am</t>
  </si>
  <si>
    <t xml:space="preserve">Firm Trading East (Non-Affiliate)</t>
  </si>
  <si>
    <t xml:space="preserve">06/08/2001 08:27 am</t>
  </si>
  <si>
    <t xml:space="preserve">PanCanadian Energy Services Inc.</t>
  </si>
  <si>
    <t xml:space="preserve">06/08/2001 08:28 am</t>
  </si>
  <si>
    <t xml:space="preserve">06/08/2001 08:29 am</t>
  </si>
  <si>
    <t xml:space="preserve">Oil -NG Hedge (Specific Trades)</t>
  </si>
  <si>
    <t xml:space="preserve">06/08/2001 08:30 am</t>
  </si>
  <si>
    <t xml:space="preserve">06/08/2001 08:31 am</t>
  </si>
  <si>
    <t xml:space="preserve">US Gas Swap      Nymex                   Aug01           USD/MM-L</t>
  </si>
  <si>
    <t xml:space="preserve">US Gas Swap      Nymex                   Sep01           USD/MM-L</t>
  </si>
  <si>
    <t xml:space="preserve">06/08/2001 08:32 am</t>
  </si>
  <si>
    <t xml:space="preserve">Enron Energy Services, Inc.</t>
  </si>
  <si>
    <t xml:space="preserve">06/08/2001 08:33 am</t>
  </si>
  <si>
    <t xml:space="preserve">06/08/2001 08:34 am</t>
  </si>
  <si>
    <t xml:space="preserve">GD-Newjr</t>
  </si>
  <si>
    <t xml:space="preserve">06/08/2001 08:36 am</t>
  </si>
  <si>
    <t xml:space="preserve">06/08/2001 08:37 am</t>
  </si>
  <si>
    <t xml:space="preserve">06/08/2001 08:38 am</t>
  </si>
  <si>
    <t xml:space="preserve">Bankers Trust Company</t>
  </si>
  <si>
    <t xml:space="preserve">06/08/2001 08:39 am</t>
  </si>
  <si>
    <t xml:space="preserve">e prime, inc.</t>
  </si>
  <si>
    <t xml:space="preserve">06/08/2001 08:40 am</t>
  </si>
  <si>
    <t xml:space="preserve">06/08/2001 08:41 am</t>
  </si>
  <si>
    <t xml:space="preserve">06/08/2001 08:42 am</t>
  </si>
  <si>
    <t xml:space="preserve">Firm Trading-IM-Enovate</t>
  </si>
  <si>
    <t xml:space="preserve">06/08/2001 08:43 am</t>
  </si>
  <si>
    <t xml:space="preserve">06/08/2001 08:44 am</t>
  </si>
  <si>
    <t xml:space="preserve">06/08/2001 08:45 am</t>
  </si>
  <si>
    <t xml:space="preserve">06/08/2001 08:46 am</t>
  </si>
  <si>
    <t xml:space="preserve">06/08/2001 08:47 am</t>
  </si>
  <si>
    <t xml:space="preserve">06/08/2001 08:48 am</t>
  </si>
  <si>
    <t xml:space="preserve">06/08/2001 08:49 am</t>
  </si>
  <si>
    <t xml:space="preserve">06/08/2001 08:50 am</t>
  </si>
  <si>
    <t xml:space="preserve">06/08/2001 08:51 am</t>
  </si>
  <si>
    <t xml:space="preserve">Constellation Power Source, Inc.</t>
  </si>
  <si>
    <t xml:space="preserve">06/08/2001 08:52 am</t>
  </si>
  <si>
    <t xml:space="preserve">06/08/2001 08:53 am</t>
  </si>
  <si>
    <t xml:space="preserve">06/08/2001 08:54 am</t>
  </si>
  <si>
    <t xml:space="preserve">US Gas Swap      Nymex                   Jul01           USD/MM-L</t>
  </si>
  <si>
    <t xml:space="preserve">06/08/2001 08:55 am</t>
  </si>
  <si>
    <t xml:space="preserve">06/08/2001 08:56 am</t>
  </si>
  <si>
    <t xml:space="preserve">06/08/2001 08:57 am</t>
  </si>
  <si>
    <t xml:space="preserve">06/08/2001 08:58 am</t>
  </si>
  <si>
    <t xml:space="preserve">BNP Paribas</t>
  </si>
  <si>
    <t xml:space="preserve">06/08/2001 08:59 am</t>
  </si>
  <si>
    <t xml:space="preserve">06/08/2001 09:01 am</t>
  </si>
  <si>
    <t xml:space="preserve">06/08/2001 09:02 am</t>
  </si>
  <si>
    <t xml:space="preserve">06/08/2001 09:03 am</t>
  </si>
  <si>
    <t xml:space="preserve">06/08/2001 09:04 am</t>
  </si>
  <si>
    <t xml:space="preserve">06/08/2001 09:05 am</t>
  </si>
  <si>
    <t xml:space="preserve">Canada-Power-Price</t>
  </si>
  <si>
    <t xml:space="preserve">06/08/2001 09:06 am</t>
  </si>
  <si>
    <t xml:space="preserve">06/08/2001 09:07 am</t>
  </si>
  <si>
    <t xml:space="preserve">06/08/2001 09:08 am</t>
  </si>
  <si>
    <t xml:space="preserve">06/08/2001 09:09 am</t>
  </si>
  <si>
    <t xml:space="preserve">06/08/2001 09:10 am</t>
  </si>
  <si>
    <t xml:space="preserve">06/08/2001 09:13 am</t>
  </si>
  <si>
    <t xml:space="preserve">06/08/2001 09:14 am</t>
  </si>
  <si>
    <t xml:space="preserve">06/08/2001 09:15 am</t>
  </si>
  <si>
    <t xml:space="preserve">06/08/2001 09:16 am</t>
  </si>
  <si>
    <t xml:space="preserve">06/08/2001 09:17 am</t>
  </si>
  <si>
    <t xml:space="preserve">06/08/2001 09:18 am</t>
  </si>
  <si>
    <t xml:space="preserve">06/08/2001 09:19 am</t>
  </si>
  <si>
    <t xml:space="preserve">06/08/2001 09:20 am</t>
  </si>
  <si>
    <t xml:space="preserve">06/08/2001 09:22 am</t>
  </si>
  <si>
    <t xml:space="preserve">Williams Energy Marketing &amp; Trading Company</t>
  </si>
  <si>
    <t xml:space="preserve">06/08/2001 09:23 am</t>
  </si>
  <si>
    <t xml:space="preserve">06/08/2001 09:24 am</t>
  </si>
  <si>
    <t xml:space="preserve">06/08/2001 09:25 am</t>
  </si>
  <si>
    <t xml:space="preserve">06/08/2001 09:26 am</t>
  </si>
  <si>
    <t xml:space="preserve">06/08/2001 09:28 am</t>
  </si>
  <si>
    <t xml:space="preserve">Noble Gas Marketing Inc.</t>
  </si>
  <si>
    <t xml:space="preserve">06/08/2001 09:30 am</t>
  </si>
  <si>
    <t xml:space="preserve">06/08/2001 09:31 am</t>
  </si>
  <si>
    <t xml:space="preserve">Firm Trading -Canada (EGSC) Options</t>
  </si>
  <si>
    <t xml:space="preserve">06/08/2001 09:32 am</t>
  </si>
  <si>
    <t xml:space="preserve">06/08/2001 09:35 am</t>
  </si>
  <si>
    <t xml:space="preserve">06/08/2001 09:36 am</t>
  </si>
  <si>
    <t xml:space="preserve">Enterprise Products Operating L.P.</t>
  </si>
  <si>
    <t xml:space="preserve">06/08/2001 09:37 am</t>
  </si>
  <si>
    <t xml:space="preserve">06/08/2001 09:38 am</t>
  </si>
  <si>
    <t xml:space="preserve">06/08/2001 09:39 am</t>
  </si>
  <si>
    <t xml:space="preserve">06/08/2001 09:40 am</t>
  </si>
  <si>
    <t xml:space="preserve">06/08/2001 09:41 am</t>
  </si>
  <si>
    <t xml:space="preserve">06/08/2001 09:42 am</t>
  </si>
  <si>
    <t xml:space="preserve">06/08/2001 09:43 am</t>
  </si>
  <si>
    <t xml:space="preserve">Firm Trade Bridgeline</t>
  </si>
  <si>
    <t xml:space="preserve">06/08/2001 09:44 am</t>
  </si>
  <si>
    <t xml:space="preserve">06/08/2001 09:45 am</t>
  </si>
  <si>
    <t xml:space="preserve">06/08/2001 09:46 am</t>
  </si>
  <si>
    <t xml:space="preserve">06/08/2001 09:47 am</t>
  </si>
  <si>
    <t xml:space="preserve">06/08/2001 09:48 am</t>
  </si>
  <si>
    <t xml:space="preserve">06/08/2001 09:49 am</t>
  </si>
  <si>
    <t xml:space="preserve">06/08/2001 09:50 am</t>
  </si>
  <si>
    <t xml:space="preserve">06/08/2001 09:51 am</t>
  </si>
  <si>
    <t xml:space="preserve">06/08/2001 09:52 am</t>
  </si>
  <si>
    <t xml:space="preserve">06/08/2001 09:54 am</t>
  </si>
  <si>
    <t xml:space="preserve">06/08/2001 09:55 am</t>
  </si>
  <si>
    <t xml:space="preserve">06/08/2001 09:56 am</t>
  </si>
  <si>
    <t xml:space="preserve">Alberta Energy Company Ltd.</t>
  </si>
  <si>
    <t xml:space="preserve">06/08/2001 09:59 am</t>
  </si>
  <si>
    <t xml:space="preserve">06/08/2001 10:00 am</t>
  </si>
  <si>
    <t xml:space="preserve">06/08/2001 10:01 am</t>
  </si>
  <si>
    <t xml:space="preserve">06/08/2001 10:02 am</t>
  </si>
  <si>
    <t xml:space="preserve">06/08/2001 10:05 am</t>
  </si>
  <si>
    <t xml:space="preserve">06/08/2001 10:06 am</t>
  </si>
  <si>
    <t xml:space="preserve">06/08/2001 10:07 am</t>
  </si>
  <si>
    <t xml:space="preserve">06/08/2001 10:09 am</t>
  </si>
  <si>
    <t xml:space="preserve">06/08/2001 10:11 am</t>
  </si>
  <si>
    <t xml:space="preserve">06/08/2001 10:12 am</t>
  </si>
  <si>
    <t xml:space="preserve">06/08/2001 10:13 am</t>
  </si>
  <si>
    <t xml:space="preserve">06/08/2001 10:14 am</t>
  </si>
  <si>
    <t xml:space="preserve">06/08/2001 10:15 am</t>
  </si>
  <si>
    <t xml:space="preserve">06/08/2001 10:16 am</t>
  </si>
  <si>
    <t xml:space="preserve">06/08/2001 10:17 am</t>
  </si>
  <si>
    <t xml:space="preserve">Firm Trading-Northwest</t>
  </si>
  <si>
    <t xml:space="preserve">06/08/2001 10:18 am</t>
  </si>
  <si>
    <t xml:space="preserve">06/08/2001 10:19 am</t>
  </si>
  <si>
    <t xml:space="preserve">06/08/2001 10:20 am</t>
  </si>
  <si>
    <t xml:space="preserve">06/08/2001 10:21 am</t>
  </si>
  <si>
    <t xml:space="preserve">06/08/2001 10:22 am</t>
  </si>
  <si>
    <t xml:space="preserve">06/08/2001 10:23 am</t>
  </si>
  <si>
    <t xml:space="preserve">06/08/2001 10:25 am</t>
  </si>
  <si>
    <t xml:space="preserve">06/08/2001 10:29 am</t>
  </si>
  <si>
    <t xml:space="preserve">06/08/2001 10:32 am</t>
  </si>
  <si>
    <t xml:space="preserve">06/08/2001 10:33 am</t>
  </si>
  <si>
    <t xml:space="preserve">06/08/2001 10:35 am</t>
  </si>
  <si>
    <t xml:space="preserve">06/08/2001 10:36 am</t>
  </si>
  <si>
    <t xml:space="preserve">06/08/2001 10:37 am</t>
  </si>
  <si>
    <t xml:space="preserve">Firm Trading Upstream</t>
  </si>
  <si>
    <t xml:space="preserve">06/08/2001 10:38 am</t>
  </si>
  <si>
    <t xml:space="preserve">06/08/2001 10:39 am</t>
  </si>
  <si>
    <t xml:space="preserve">06/08/2001 10:40 am</t>
  </si>
  <si>
    <t xml:space="preserve">06/08/2001 10:43 am</t>
  </si>
  <si>
    <t xml:space="preserve">06/08/2001 10:46 am</t>
  </si>
  <si>
    <t xml:space="preserve">06/08/2001 10:48 am</t>
  </si>
  <si>
    <t xml:space="preserve">06/08/2001 10:54 am</t>
  </si>
  <si>
    <t xml:space="preserve">06/08/2001 10:56 am</t>
  </si>
  <si>
    <t xml:space="preserve">06/08/2001 10:59 am</t>
  </si>
  <si>
    <t xml:space="preserve">06/08/2001 11:02 am</t>
  </si>
  <si>
    <t xml:space="preserve">06/08/2001 11:03 am</t>
  </si>
  <si>
    <t xml:space="preserve">06/08/2001 11:05 am</t>
  </si>
  <si>
    <t xml:space="preserve">06/08/2001 11:06 am</t>
  </si>
  <si>
    <t xml:space="preserve">06/08/2001 11:07 am</t>
  </si>
  <si>
    <t xml:space="preserve">06/08/2001 11:09 am</t>
  </si>
  <si>
    <t xml:space="preserve">06/08/2001 11:10 am</t>
  </si>
  <si>
    <t xml:space="preserve">06/08/2001 11:12 am</t>
  </si>
  <si>
    <t xml:space="preserve">06/08/2001 11:13 am</t>
  </si>
  <si>
    <t xml:space="preserve">06/08/2001 11:14 am</t>
  </si>
  <si>
    <t xml:space="preserve">06/08/2001 11:15 am</t>
  </si>
  <si>
    <t xml:space="preserve">06/08/2001 11:16 am</t>
  </si>
  <si>
    <t xml:space="preserve">06/08/2001 11:17 am</t>
  </si>
  <si>
    <t xml:space="preserve">NUI Energy Brokers, Inc.</t>
  </si>
  <si>
    <t xml:space="preserve">06/08/2001 11:18 am</t>
  </si>
  <si>
    <t xml:space="preserve">06/08/2001 11:19 am</t>
  </si>
  <si>
    <t xml:space="preserve">Kinder Morgan, Inc.</t>
  </si>
  <si>
    <t xml:space="preserve">06/08/2001 11:20 am</t>
  </si>
  <si>
    <t xml:space="preserve">06/08/2001 11:21 am</t>
  </si>
  <si>
    <t xml:space="preserve">06/08/2001 11:22 am</t>
  </si>
  <si>
    <t xml:space="preserve">06/08/2001 11:23 am</t>
  </si>
  <si>
    <t xml:space="preserve">06/08/2001 11:24 am</t>
  </si>
  <si>
    <t xml:space="preserve">06/08/2001 11:25 am</t>
  </si>
  <si>
    <t xml:space="preserve">06/08/2001 11:26 am</t>
  </si>
  <si>
    <t xml:space="preserve">06/08/2001 11:27 am</t>
  </si>
  <si>
    <t xml:space="preserve">06/08/2001 11:28 am</t>
  </si>
  <si>
    <t xml:space="preserve">06/08/2001 11:29 am</t>
  </si>
  <si>
    <t xml:space="preserve">06/08/2001 11:32 am</t>
  </si>
  <si>
    <t xml:space="preserve">06/08/2001 11:33 am</t>
  </si>
  <si>
    <t xml:space="preserve">06/08/2001 11:34 am</t>
  </si>
  <si>
    <t xml:space="preserve">06/08/2001 11:35 am</t>
  </si>
  <si>
    <t xml:space="preserve">06/08/2001 11:36 am</t>
  </si>
  <si>
    <t xml:space="preserve">06/08/2001 11:37 am</t>
  </si>
  <si>
    <t xml:space="preserve">06/08/2001 11:38 am</t>
  </si>
  <si>
    <t xml:space="preserve">06/08/2001 11:39 am</t>
  </si>
  <si>
    <t xml:space="preserve">06/08/2001 11:40 am</t>
  </si>
  <si>
    <t xml:space="preserve">West-Southwest</t>
  </si>
  <si>
    <t xml:space="preserve">06/08/2001 11:41 am</t>
  </si>
  <si>
    <t xml:space="preserve">06/08/2001 11:43 am</t>
  </si>
  <si>
    <t xml:space="preserve">06/08/2001 11:45 am</t>
  </si>
  <si>
    <t xml:space="preserve">06/08/2001 11:46 am</t>
  </si>
  <si>
    <t xml:space="preserve">06/08/2001 11:48 am</t>
  </si>
  <si>
    <t xml:space="preserve">06/08/2001 11:50 am</t>
  </si>
  <si>
    <t xml:space="preserve">06/08/2001 11:51 am</t>
  </si>
  <si>
    <t xml:space="preserve">06/08/2001 11:52 am</t>
  </si>
  <si>
    <t xml:space="preserve">06/08/2001 11:53 am</t>
  </si>
  <si>
    <t xml:space="preserve">06/08/2001 11:54 am</t>
  </si>
  <si>
    <t xml:space="preserve">06/08/2001 11:55 am</t>
  </si>
  <si>
    <t xml:space="preserve">06/08/2001 11:56 am</t>
  </si>
  <si>
    <t xml:space="preserve">El Paso Merchant Energy, L.P.</t>
  </si>
  <si>
    <t xml:space="preserve">OIL-SPEC-NG</t>
  </si>
  <si>
    <t xml:space="preserve">06/08/2001 11:57 am</t>
  </si>
  <si>
    <t xml:space="preserve">06/08/2001 11:58 am</t>
  </si>
  <si>
    <t xml:space="preserve">06/08/2001 11:59 am</t>
  </si>
  <si>
    <t xml:space="preserve">06/08/2001 12:00 pm</t>
  </si>
  <si>
    <t xml:space="preserve">06/08/2001 12:01 pm</t>
  </si>
  <si>
    <t xml:space="preserve">06/08/2001 12:02 pm</t>
  </si>
  <si>
    <t xml:space="preserve">06/08/2001 12:03 pm</t>
  </si>
  <si>
    <t xml:space="preserve">06/08/2001 12:04 pm</t>
  </si>
  <si>
    <t xml:space="preserve">06/08/2001 12:05 pm</t>
  </si>
  <si>
    <t xml:space="preserve">06/08/2001 12:06 pm</t>
  </si>
  <si>
    <t xml:space="preserve">06/08/2001 12:07 pm</t>
  </si>
  <si>
    <t xml:space="preserve">06/08/2001 12:08 pm</t>
  </si>
  <si>
    <t xml:space="preserve">06/08/2001 12:09 pm</t>
  </si>
  <si>
    <t xml:space="preserve">06/08/2001 12:10 pm</t>
  </si>
  <si>
    <t xml:space="preserve">06/08/2001 12:11 pm</t>
  </si>
  <si>
    <t xml:space="preserve">06/08/2001 12:12 pm</t>
  </si>
  <si>
    <t xml:space="preserve">06/08/2001 12:13 pm</t>
  </si>
  <si>
    <t xml:space="preserve">06/08/2001 12:16 pm</t>
  </si>
  <si>
    <t xml:space="preserve">ConAgra Energy Services, Inc.</t>
  </si>
  <si>
    <t xml:space="preserve">06/08/2001 12:17 pm</t>
  </si>
  <si>
    <t xml:space="preserve">06/08/2001 12:18 pm</t>
  </si>
  <si>
    <t xml:space="preserve">06/08/2001 12:20 pm</t>
  </si>
  <si>
    <t xml:space="preserve">06/08/2001 12:21 pm</t>
  </si>
  <si>
    <t xml:space="preserve">06/08/2001 12:23 pm</t>
  </si>
  <si>
    <t xml:space="preserve">06/08/2001 12:24 pm</t>
  </si>
  <si>
    <t xml:space="preserve">06/08/2001 12:25 pm</t>
  </si>
  <si>
    <t xml:space="preserve">06/08/2001 12:26 pm</t>
  </si>
  <si>
    <t xml:space="preserve">06/08/2001 12:27 pm</t>
  </si>
  <si>
    <t xml:space="preserve">06/08/2001 12:28 pm</t>
  </si>
  <si>
    <t xml:space="preserve">06/08/2001 12:31 pm</t>
  </si>
  <si>
    <t xml:space="preserve">06/08/2001 12:32 pm</t>
  </si>
  <si>
    <t xml:space="preserve">06/08/2001 12:33 pm</t>
  </si>
  <si>
    <t xml:space="preserve">06/08/2001 12:34 pm</t>
  </si>
  <si>
    <t xml:space="preserve">06/08/2001 12:35 pm</t>
  </si>
  <si>
    <t xml:space="preserve">06/08/2001 12:39 pm</t>
  </si>
  <si>
    <t xml:space="preserve">06/08/2001 12:40 pm</t>
  </si>
  <si>
    <t xml:space="preserve">06/08/2001 12:41 pm</t>
  </si>
  <si>
    <t xml:space="preserve">06/08/2001 12:42 pm</t>
  </si>
  <si>
    <t xml:space="preserve">06/08/2001 12:43 pm</t>
  </si>
  <si>
    <t xml:space="preserve">06/08/2001 12:44 pm</t>
  </si>
  <si>
    <t xml:space="preserve">06/08/2001 12:45 pm</t>
  </si>
  <si>
    <t xml:space="preserve">06/08/2001 12:46 pm</t>
  </si>
  <si>
    <t xml:space="preserve">06/08/2001 12:47 pm</t>
  </si>
  <si>
    <t xml:space="preserve">06/08/2001 12:48 pm</t>
  </si>
  <si>
    <t xml:space="preserve">06/08/2001 12:49 pm</t>
  </si>
  <si>
    <t xml:space="preserve">06/08/2001 12:50 pm</t>
  </si>
  <si>
    <t xml:space="preserve">06/08/2001 12:51 pm</t>
  </si>
  <si>
    <t xml:space="preserve">06/08/2001 12:52 pm</t>
  </si>
  <si>
    <t xml:space="preserve">06/08/2001 12:53 pm</t>
  </si>
  <si>
    <t xml:space="preserve">06/08/2001 12:54 pm</t>
  </si>
  <si>
    <t xml:space="preserve">06/08/2001 12:55 pm</t>
  </si>
  <si>
    <t xml:space="preserve">06/08/2001 12:56 pm</t>
  </si>
  <si>
    <t xml:space="preserve">Nexen Marketing</t>
  </si>
  <si>
    <t xml:space="preserve">06/08/2001 12:57 pm</t>
  </si>
  <si>
    <t xml:space="preserve">06/08/2001 12:58 pm</t>
  </si>
  <si>
    <t xml:space="preserve">NGX0</t>
  </si>
  <si>
    <t xml:space="preserve">HH GD</t>
  </si>
  <si>
    <t xml:space="preserve">DELTA</t>
  </si>
  <si>
    <t xml:space="preserve">Prior</t>
  </si>
  <si>
    <t xml:space="preserve">N</t>
  </si>
  <si>
    <t xml:space="preserve">Physical P&amp;L</t>
  </si>
  <si>
    <t xml:space="preserve">Q</t>
  </si>
  <si>
    <t xml:space="preserve">Financial P&amp;L</t>
  </si>
  <si>
    <t xml:space="preserve">U</t>
  </si>
  <si>
    <t xml:space="preserve">jun_position</t>
  </si>
  <si>
    <t xml:space="preserve">V</t>
  </si>
  <si>
    <t xml:space="preserve">NYMEX</t>
  </si>
  <si>
    <t xml:space="preserve">X</t>
  </si>
  <si>
    <t xml:space="preserve">x-h</t>
  </si>
  <si>
    <t xml:space="preserve">basis</t>
  </si>
  <si>
    <t xml:space="preserve">N-V</t>
  </si>
  <si>
    <t xml:space="preserve">Physical Postion</t>
  </si>
  <si>
    <t xml:space="preserve">P&amp;L</t>
  </si>
  <si>
    <t xml:space="preserve">Position</t>
  </si>
  <si>
    <t xml:space="preserve">KATY_PHYS</t>
  </si>
  <si>
    <t xml:space="preserve">Financial Postion</t>
  </si>
  <si>
    <t xml:space="preserve">N-v</t>
  </si>
  <si>
    <t xml:space="preserve">HH_SWAP</t>
  </si>
  <si>
    <t xml:space="preserve">HSC_SWAP</t>
  </si>
  <si>
    <t xml:space="preserve">HH</t>
  </si>
  <si>
    <t xml:space="preserve">KATY_SWAP</t>
  </si>
  <si>
    <t xml:space="preserve">KATY</t>
  </si>
  <si>
    <t xml:space="preserve">WAHA_SWAP</t>
  </si>
  <si>
    <t xml:space="preserve">HSC</t>
  </si>
  <si>
    <t xml:space="preserve">Permian</t>
  </si>
  <si>
    <t xml:space="preserve">WAHA</t>
  </si>
  <si>
    <t xml:space="preserve">PERM</t>
  </si>
  <si>
    <t xml:space="preserve">NGM1</t>
  </si>
  <si>
    <t xml:space="preserve">CHIC</t>
  </si>
  <si>
    <t xml:space="preserve">NGQ1</t>
  </si>
  <si>
    <t xml:space="preserve">TRKL</t>
  </si>
  <si>
    <t xml:space="preserve">NGU1</t>
  </si>
  <si>
    <t xml:space="preserve">N_V</t>
  </si>
  <si>
    <t xml:space="preserve">X_H</t>
  </si>
  <si>
    <t xml:space="preserve">TOTALS</t>
  </si>
  <si>
    <t xml:space="preserve">Nymex Postion</t>
  </si>
  <si>
    <t xml:space="preserve">NET</t>
  </si>
  <si>
    <t xml:space="preserve">jun phys</t>
  </si>
  <si>
    <t xml:space="preserve">ngpl-storage</t>
  </si>
  <si>
    <t xml:space="preserve">IF</t>
  </si>
  <si>
    <t xml:space="preserve">NET Postion</t>
  </si>
  <si>
    <t xml:space="preserve">GDA</t>
  </si>
  <si>
    <t xml:space="preserve">TOTAL P&amp;L</t>
  </si>
  <si>
    <t xml:space="preserve">****</t>
  </si>
  <si>
    <t xml:space="preserve">TOTAL SWAP</t>
  </si>
  <si>
    <t xml:space="preserve">Sells</t>
  </si>
  <si>
    <t xml:space="preserve">Buys</t>
  </si>
  <si>
    <t xml:space="preserve">*</t>
  </si>
  <si>
    <t xml:space="preserve">&lt;- Realized PL</t>
  </si>
  <si>
    <t xml:space="preserve">&lt;- MTM PL w/o Real PL</t>
  </si>
  <si>
    <t xml:space="preserve">preserve realized</t>
  </si>
  <si>
    <t xml:space="preserve">&lt;- MTM PL with Real PL</t>
  </si>
  <si>
    <t xml:space="preserve">breakeven</t>
  </si>
  <si>
    <t xml:space="preserve">&lt;- Current Nymex</t>
  </si>
  <si>
    <t xml:space="preserve">&lt;- Price Overide</t>
  </si>
  <si>
    <t xml:space="preserve">&lt;- Total Pl</t>
  </si>
  <si>
    <t xml:space="preserve">TXOK</t>
  </si>
  <si>
    <t xml:space="preserve">Storage roll from april</t>
  </si>
  <si>
    <t xml:space="preserve">ANR-S</t>
  </si>
  <si>
    <t xml:space="preserve">NAT LA</t>
  </si>
  <si>
    <t xml:space="preserve">trkl-stx</t>
  </si>
  <si>
    <t xml:space="preserve">TEXOK-E</t>
  </si>
  <si>
    <t xml:space="preserve">Trunk-wla</t>
  </si>
  <si>
    <t xml:space="preserve">Trunk-ela</t>
  </si>
  <si>
    <t xml:space="preserve">ngpl-stx</t>
  </si>
  <si>
    <t xml:space="preserve">CGT-ons</t>
  </si>
  <si>
    <t xml:space="preserve">PERMIAN</t>
  </si>
  <si>
    <t xml:space="preserve">TGT</t>
  </si>
  <si>
    <t xml:space="preserve">consum</t>
  </si>
  <si>
    <t xml:space="preserve">MICH</t>
  </si>
  <si>
    <t xml:space="preserve">TCO</t>
  </si>
  <si>
    <t xml:space="preserve">CNG-N</t>
  </si>
  <si>
    <t xml:space="preserve">CNG-s</t>
  </si>
  <si>
    <t xml:space="preserve">TransZ3</t>
  </si>
  <si>
    <t xml:space="preserve">LA</t>
  </si>
  <si>
    <t xml:space="preserve">stx</t>
  </si>
  <si>
    <t xml:space="preserve">ET</t>
  </si>
  <si>
    <t xml:space="preserve">CORPUS</t>
  </si>
  <si>
    <t xml:space="preserve">FOM</t>
  </si>
  <si>
    <t xml:space="preserve">A</t>
  </si>
  <si>
    <t xml:space="preserve">GD 1st</t>
  </si>
  <si>
    <t xml:space="preserve">CC</t>
  </si>
  <si>
    <t xml:space="preserve">BB</t>
  </si>
  <si>
    <t xml:space="preserve">DD</t>
  </si>
  <si>
    <t xml:space="preserve">EE</t>
  </si>
  <si>
    <t xml:space="preserve">mtd average</t>
  </si>
  <si>
    <t xml:space="preserve">dif from hub</t>
  </si>
  <si>
    <t xml:space="preserve">dif from 1st</t>
  </si>
  <si>
    <t xml:space="preserve">last 3 days</t>
  </si>
  <si>
    <t xml:space="preserve">last 5 days</t>
  </si>
  <si>
    <t xml:space="preserve">last 7 days</t>
  </si>
  <si>
    <t xml:space="preserve">GDA from IF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</si>
  <si>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</si>
  <si>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</si>
  <si>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</si>
  <si>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</si>
  <si>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</si>
  <si>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</si>
  <si>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</si>
  <si>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</si>
  <si>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</si>
  <si>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</si>
  <si>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</si>
  <si>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</si>
  <si>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</si>
  <si>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</si>
  <si>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</si>
  <si>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</si>
  <si>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</si>
  <si>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</si>
  <si>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</si>
  <si>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</si>
  <si>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af</t>
  </si>
  <si>
    <t xml:space="preserve">ag</t>
  </si>
  <si>
    <t xml:space="preserve">ah</t>
  </si>
  <si>
    <t xml:space="preserve">ai</t>
  </si>
  <si>
    <t xml:space="preserve">aj</t>
  </si>
  <si>
    <t xml:space="preserve">ak</t>
  </si>
  <si>
    <t xml:space="preserve">al</t>
  </si>
  <si>
    <t xml:space="preserve">am</t>
  </si>
  <si>
    <t xml:space="preserve">an</t>
  </si>
  <si>
    <t xml:space="preserve">ao</t>
  </si>
  <si>
    <t xml:space="preserve">ap</t>
  </si>
  <si>
    <t xml:space="preserve">waha</t>
  </si>
  <si>
    <t xml:space="preserve">U </t>
  </si>
  <si>
    <t xml:space="preserve">hsc</t>
  </si>
  <si>
    <t xml:space="preserve">Pos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</si>
</sst>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mm/dd/yy"/>
    <numFmt numFmtId="166" formatCode="0.000"/>
    <numFmt numFmtId="167" formatCode="_(\$* #,##0_);_(\$* \(#,##0\);_(\$* \-_);_(@_)"/>
    <numFmt numFmtId="168" formatCode="\$#,##0_);[RED]&quot;($&quot;#,##0\)"/>
    <numFmt numFmtId="169" formatCode="_(* #,##0.00_);_(* \(#,##0.00\);_(* \-??_);_(@_)"/>
    <numFmt numFmtId="170" formatCode="\$#,##0.00_);[RED]&quot;($&quot;#,##0.00\)"/>
    <numFmt numFmtId="171" formatCode="[$-409]#,##0_);[RED]\(#,##0\)"/>
    <numFmt numFmtId="172" formatCode="0.0000"/>
    <numFmt numFmtId="173" formatCode="_(* #,##0_);_(* \(#,##0\);_(* \-??_);_(@_)"/>
    <numFmt numFmtId="174" formatCode="_(\$* #,##0.00000_);_(\$* \(#,##0.00000\);_(\$* \-??_);_(@_)"/>
    <numFmt numFmtId="175" formatCode="_(\$* #,##0.00_);_(\$* \(#,##0.00\);_(\$* \-??_);_(@_)"/>
    <numFmt numFmtId="176" formatCode="[$-409]d\-mmm"/>
    <numFmt numFmtId="177" formatCode="[$-409]#,##0_);\(#,##0\)"/>
    <numFmt numFmtId="178" formatCode="m/d/yy"/>
    <numFmt numFmtId="179" formatCode="[$-409]m/d/yyyy"/>
    <numFmt numFmtId="180" formatCode="_(* #,##0.0_);_(* \(#,##0.0\);_(* \-??_);_(@_)"/>
    <numFmt numFmtId="181" formatCode="#,##0.00"/>
    <numFmt numFmtId="182" formatCode="_(\$* #,##0_);_(\$* \(#,##0\);_(\$* \-??_);_(@_)"/>
    <numFmt numFmtId="183" formatCode="[$-409]m/d/yyyy\ h:mm"/>
    <numFmt numFmtId="184" formatCode="[$-409]mmm\-yy"/>
    <numFmt numFmtId="185" formatCode="[$-409]#,##0.00_);[RED]\(#,##0.00\)"/>
    <numFmt numFmtId="186" formatCode="0.000_);[RED]\(0.000\)"/>
    <numFmt numFmtId="187" formatCode="#,##0.0000_);[RED]\(#,##0.0000\)"/>
    <numFmt numFmtId="188" formatCode="0.0000_);[RED]\(0.0000\)"/>
    <numFmt numFmtId="189" formatCode="_(* #,##0_);_(* \(#,##0\);_(* \-_);_(@_)"/>
    <numFmt numFmtId="190" formatCode="#,##0.0_);[RED]\(#,##0.0\)"/>
    <numFmt numFmtId="191" formatCode="#,##0.000_);[RED]\(#,##0.000\)"/>
    <numFmt numFmtId="192" formatCode="_(* #,##0.000_);_(* \(#,##0.0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MS Sans Serif"/>
      <family val="0"/>
    </font>
    <font>
      <sz val="8"/>
      <color rgb="FF0000FF"/>
      <name val="MS Sans Serif"/>
      <family val="0"/>
    </font>
    <font>
      <b val="true"/>
      <sz val="10"/>
      <name val="Arial"/>
      <family val="2"/>
    </font>
    <font>
      <sz val="8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0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000000"/>
        <bgColor rgb="FF0033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FF00FF"/>
      </left>
      <right style="thin">
        <color rgb="FFFF00FF"/>
      </right>
      <top style="thin">
        <color rgb="FFFF00FF"/>
      </top>
      <bottom style="thin">
        <color rgb="FFFF00FF"/>
      </bottom>
      <diagonal/>
    </border>
    <border diagonalUp="false" diagonalDown="false">
      <left style="thin">
        <color rgb="FF800080"/>
      </left>
      <right style="thin">
        <color rgb="FF800080"/>
      </right>
      <top style="thin">
        <color rgb="FF800080"/>
      </top>
      <bottom style="thin">
        <color rgb="FF800080"/>
      </bottom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0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1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ISC/FPBTrades028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eb Current"/>
      <sheetName val="PL Analysis"/>
      <sheetName val="Nymex Prices"/>
      <sheetName val="Begining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28.28"/>
    <col collapsed="false" customWidth="true" hidden="false" outlineLevel="0" max="3" min="3" style="0" width="43.41"/>
    <col collapsed="false" customWidth="true" hidden="false" outlineLevel="0" max="6" min="4" style="0" width="8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2.75" hidden="false" customHeight="false" outlineLevel="0" collapsed="false">
      <c r="A2" s="2" t="s">
        <v>6</v>
      </c>
      <c r="B2" s="2" t="s">
        <v>7</v>
      </c>
      <c r="C2" s="2" t="s">
        <v>8</v>
      </c>
      <c r="D2" s="3" t="n">
        <v>5000</v>
      </c>
      <c r="E2" s="3" t="n">
        <v>0</v>
      </c>
      <c r="F2" s="3" t="n">
        <v>3.88</v>
      </c>
    </row>
    <row r="3" customFormat="false" ht="12.75" hidden="false" customHeight="false" outlineLevel="0" collapsed="false">
      <c r="A3" s="2" t="s">
        <v>6</v>
      </c>
      <c r="B3" s="2" t="s">
        <v>7</v>
      </c>
      <c r="C3" s="2" t="s">
        <v>8</v>
      </c>
      <c r="D3" s="3" t="n">
        <v>15000</v>
      </c>
      <c r="E3" s="3" t="n">
        <v>0</v>
      </c>
      <c r="F3" s="3" t="n">
        <v>3.88</v>
      </c>
    </row>
    <row r="4" customFormat="false" ht="12.75" hidden="false" customHeight="false" outlineLevel="0" collapsed="false">
      <c r="A4" s="2" t="s">
        <v>9</v>
      </c>
      <c r="B4" s="2" t="s">
        <v>10</v>
      </c>
      <c r="C4" s="2" t="s">
        <v>8</v>
      </c>
      <c r="D4" s="3" t="n">
        <v>5000</v>
      </c>
      <c r="E4" s="3" t="n">
        <v>0</v>
      </c>
      <c r="F4" s="3" t="n">
        <v>3.875</v>
      </c>
    </row>
    <row r="5" customFormat="false" ht="12.75" hidden="false" customHeight="false" outlineLevel="0" collapsed="false">
      <c r="A5" s="2" t="s">
        <v>11</v>
      </c>
      <c r="B5" s="2" t="s">
        <v>12</v>
      </c>
      <c r="C5" s="2" t="s">
        <v>13</v>
      </c>
      <c r="D5" s="3" t="n">
        <v>0</v>
      </c>
      <c r="E5" s="3" t="n">
        <v>5000</v>
      </c>
      <c r="F5" s="3" t="n">
        <v>3.99</v>
      </c>
    </row>
    <row r="6" customFormat="false" ht="12.75" hidden="false" customHeight="false" outlineLevel="0" collapsed="false">
      <c r="A6" s="2" t="s">
        <v>14</v>
      </c>
      <c r="B6" s="2" t="s">
        <v>15</v>
      </c>
      <c r="C6" s="2" t="s">
        <v>13</v>
      </c>
      <c r="D6" s="3" t="n">
        <v>2500</v>
      </c>
      <c r="E6" s="3" t="n">
        <v>0</v>
      </c>
      <c r="F6" s="3" t="n">
        <v>3.985</v>
      </c>
    </row>
    <row r="7" customFormat="false" ht="12.75" hidden="false" customHeight="false" outlineLevel="0" collapsed="false">
      <c r="A7" s="2" t="s">
        <v>16</v>
      </c>
      <c r="B7" s="2" t="s">
        <v>17</v>
      </c>
      <c r="C7" s="2" t="s">
        <v>18</v>
      </c>
      <c r="D7" s="3" t="n">
        <v>2500</v>
      </c>
      <c r="E7" s="3" t="n">
        <v>0</v>
      </c>
      <c r="F7" s="3" t="n">
        <v>4.035</v>
      </c>
    </row>
    <row r="8" customFormat="false" ht="12.75" hidden="false" customHeight="false" outlineLevel="0" collapsed="false">
      <c r="A8" s="2" t="s">
        <v>19</v>
      </c>
      <c r="B8" s="2" t="s">
        <v>20</v>
      </c>
      <c r="C8" s="2" t="s">
        <v>8</v>
      </c>
      <c r="D8" s="3" t="n">
        <v>20000</v>
      </c>
      <c r="E8" s="3" t="n">
        <v>0</v>
      </c>
      <c r="F8" s="3" t="n">
        <v>3.875</v>
      </c>
    </row>
    <row r="9" customFormat="false" ht="12.75" hidden="false" customHeight="false" outlineLevel="0" collapsed="false">
      <c r="A9" s="2" t="s">
        <v>21</v>
      </c>
      <c r="B9" s="2" t="s">
        <v>7</v>
      </c>
      <c r="C9" s="2" t="s">
        <v>22</v>
      </c>
      <c r="D9" s="3" t="n">
        <v>2500</v>
      </c>
      <c r="E9" s="3" t="n">
        <v>0</v>
      </c>
      <c r="F9" s="3" t="n">
        <v>4.37</v>
      </c>
    </row>
    <row r="10" customFormat="false" ht="12.75" hidden="false" customHeight="false" outlineLevel="0" collapsed="false">
      <c r="A10" s="2" t="s">
        <v>21</v>
      </c>
      <c r="B10" s="2" t="s">
        <v>23</v>
      </c>
      <c r="C10" s="2" t="s">
        <v>8</v>
      </c>
      <c r="D10" s="3" t="n">
        <v>5000</v>
      </c>
      <c r="E10" s="3" t="n">
        <v>0</v>
      </c>
      <c r="F10" s="3" t="n">
        <v>3.865</v>
      </c>
    </row>
    <row r="11" customFormat="false" ht="12.75" hidden="false" customHeight="false" outlineLevel="0" collapsed="false">
      <c r="A11" s="2" t="s">
        <v>21</v>
      </c>
      <c r="B11" s="2" t="s">
        <v>24</v>
      </c>
      <c r="C11" s="2" t="s">
        <v>22</v>
      </c>
      <c r="D11" s="3" t="n">
        <v>2500</v>
      </c>
      <c r="E11" s="3" t="n">
        <v>0</v>
      </c>
      <c r="F11" s="3" t="n">
        <v>4.37</v>
      </c>
    </row>
    <row r="12" customFormat="false" ht="12.75" hidden="false" customHeight="false" outlineLevel="0" collapsed="false">
      <c r="A12" s="2" t="s">
        <v>25</v>
      </c>
      <c r="B12" s="2" t="s">
        <v>26</v>
      </c>
      <c r="C12" s="2" t="s">
        <v>8</v>
      </c>
      <c r="D12" s="3" t="n">
        <v>10000</v>
      </c>
      <c r="E12" s="3" t="n">
        <v>0</v>
      </c>
      <c r="F12" s="3" t="n">
        <v>3.865</v>
      </c>
    </row>
    <row r="13" customFormat="false" ht="12.75" hidden="false" customHeight="false" outlineLevel="0" collapsed="false">
      <c r="A13" s="2" t="s">
        <v>27</v>
      </c>
      <c r="B13" s="2" t="s">
        <v>28</v>
      </c>
      <c r="C13" s="2" t="s">
        <v>13</v>
      </c>
      <c r="D13" s="3" t="n">
        <v>0</v>
      </c>
      <c r="E13" s="3" t="n">
        <v>5000</v>
      </c>
      <c r="F13" s="3" t="n">
        <v>3.985</v>
      </c>
    </row>
    <row r="14" customFormat="false" ht="12.75" hidden="false" customHeight="false" outlineLevel="0" collapsed="false">
      <c r="A14" s="2" t="s">
        <v>29</v>
      </c>
      <c r="B14" s="2" t="s">
        <v>30</v>
      </c>
      <c r="C14" s="2" t="s">
        <v>8</v>
      </c>
      <c r="D14" s="3" t="n">
        <v>5000</v>
      </c>
      <c r="E14" s="3" t="n">
        <v>0</v>
      </c>
      <c r="F14" s="3" t="n">
        <v>3.865</v>
      </c>
    </row>
    <row r="15" customFormat="false" ht="12.75" hidden="false" customHeight="false" outlineLevel="0" collapsed="false">
      <c r="A15" s="2" t="s">
        <v>29</v>
      </c>
      <c r="B15" s="2" t="s">
        <v>31</v>
      </c>
      <c r="C15" s="2" t="s">
        <v>18</v>
      </c>
      <c r="D15" s="3" t="n">
        <v>2500</v>
      </c>
      <c r="E15" s="3" t="n">
        <v>0</v>
      </c>
      <c r="F15" s="3" t="n">
        <v>4.03</v>
      </c>
    </row>
    <row r="16" customFormat="false" ht="12.75" hidden="false" customHeight="false" outlineLevel="0" collapsed="false">
      <c r="A16" s="2" t="s">
        <v>29</v>
      </c>
      <c r="B16" s="2" t="s">
        <v>12</v>
      </c>
      <c r="C16" s="2" t="s">
        <v>32</v>
      </c>
      <c r="D16" s="3" t="n">
        <v>0</v>
      </c>
      <c r="E16" s="3" t="n">
        <v>20000</v>
      </c>
      <c r="F16" s="3" t="n">
        <v>3.9675</v>
      </c>
    </row>
    <row r="17" customFormat="false" ht="12.75" hidden="false" customHeight="false" outlineLevel="0" collapsed="false">
      <c r="A17" s="2" t="s">
        <v>29</v>
      </c>
      <c r="B17" s="2" t="s">
        <v>10</v>
      </c>
      <c r="C17" s="2" t="s">
        <v>22</v>
      </c>
      <c r="D17" s="3" t="n">
        <v>2500</v>
      </c>
      <c r="E17" s="3" t="n">
        <v>0</v>
      </c>
      <c r="F17" s="3" t="n">
        <v>4.37</v>
      </c>
    </row>
    <row r="18" customFormat="false" ht="12.75" hidden="false" customHeight="false" outlineLevel="0" collapsed="false">
      <c r="A18" s="2" t="s">
        <v>33</v>
      </c>
      <c r="B18" s="2" t="s">
        <v>24</v>
      </c>
      <c r="C18" s="2" t="s">
        <v>22</v>
      </c>
      <c r="D18" s="3" t="n">
        <v>2500</v>
      </c>
      <c r="E18" s="3" t="n">
        <v>0</v>
      </c>
      <c r="F18" s="3" t="n">
        <v>4.36</v>
      </c>
    </row>
    <row r="19" customFormat="false" ht="12.75" hidden="false" customHeight="false" outlineLevel="0" collapsed="false">
      <c r="A19" s="2" t="s">
        <v>33</v>
      </c>
      <c r="B19" s="2" t="s">
        <v>24</v>
      </c>
      <c r="C19" s="2" t="s">
        <v>8</v>
      </c>
      <c r="D19" s="3" t="n">
        <v>20000</v>
      </c>
      <c r="E19" s="3" t="n">
        <v>0</v>
      </c>
      <c r="F19" s="3" t="n">
        <v>3.865</v>
      </c>
    </row>
    <row r="20" customFormat="false" ht="12.75" hidden="false" customHeight="false" outlineLevel="0" collapsed="false">
      <c r="A20" s="2" t="s">
        <v>34</v>
      </c>
      <c r="B20" s="2" t="s">
        <v>35</v>
      </c>
      <c r="C20" s="2" t="s">
        <v>8</v>
      </c>
      <c r="D20" s="3" t="n">
        <v>0</v>
      </c>
      <c r="E20" s="3" t="n">
        <v>10000</v>
      </c>
      <c r="F20" s="3" t="n">
        <v>3.87</v>
      </c>
    </row>
    <row r="21" customFormat="false" ht="12.75" hidden="false" customHeight="false" outlineLevel="0" collapsed="false">
      <c r="A21" s="2" t="s">
        <v>34</v>
      </c>
      <c r="B21" s="2" t="s">
        <v>36</v>
      </c>
      <c r="C21" s="2" t="s">
        <v>8</v>
      </c>
      <c r="D21" s="3" t="n">
        <v>0</v>
      </c>
      <c r="E21" s="3" t="n">
        <v>5000</v>
      </c>
      <c r="F21" s="3" t="n">
        <v>3.87</v>
      </c>
    </row>
    <row r="22" customFormat="false" ht="12.75" hidden="false" customHeight="false" outlineLevel="0" collapsed="false">
      <c r="A22" s="2" t="s">
        <v>34</v>
      </c>
      <c r="B22" s="2" t="s">
        <v>37</v>
      </c>
      <c r="C22" s="2" t="s">
        <v>22</v>
      </c>
      <c r="D22" s="3" t="n">
        <v>0</v>
      </c>
      <c r="E22" s="3" t="n">
        <v>2500</v>
      </c>
      <c r="F22" s="3" t="n">
        <v>4.37</v>
      </c>
    </row>
    <row r="23" customFormat="false" ht="12.75" hidden="false" customHeight="false" outlineLevel="0" collapsed="false">
      <c r="A23" s="2" t="s">
        <v>34</v>
      </c>
      <c r="B23" s="2" t="s">
        <v>38</v>
      </c>
      <c r="C23" s="2" t="s">
        <v>8</v>
      </c>
      <c r="D23" s="3" t="n">
        <v>10000</v>
      </c>
      <c r="E23" s="3" t="n">
        <v>0</v>
      </c>
      <c r="F23" s="3" t="n">
        <v>3.865</v>
      </c>
    </row>
    <row r="24" customFormat="false" ht="12.75" hidden="false" customHeight="false" outlineLevel="0" collapsed="false">
      <c r="A24" s="2" t="s">
        <v>34</v>
      </c>
      <c r="B24" s="2" t="s">
        <v>39</v>
      </c>
      <c r="C24" s="2" t="s">
        <v>8</v>
      </c>
      <c r="D24" s="3" t="n">
        <v>0</v>
      </c>
      <c r="E24" s="3" t="n">
        <v>5000</v>
      </c>
      <c r="F24" s="3" t="n">
        <v>3.87</v>
      </c>
    </row>
    <row r="25" customFormat="false" ht="12.75" hidden="false" customHeight="false" outlineLevel="0" collapsed="false">
      <c r="A25" s="2" t="s">
        <v>40</v>
      </c>
      <c r="B25" s="2" t="s">
        <v>38</v>
      </c>
      <c r="C25" s="2" t="s">
        <v>8</v>
      </c>
      <c r="D25" s="3" t="n">
        <v>10000</v>
      </c>
      <c r="E25" s="3" t="n">
        <v>0</v>
      </c>
      <c r="F25" s="3" t="n">
        <v>3.865</v>
      </c>
    </row>
    <row r="26" customFormat="false" ht="12.75" hidden="false" customHeight="false" outlineLevel="0" collapsed="false">
      <c r="A26" s="2" t="s">
        <v>40</v>
      </c>
      <c r="B26" s="2" t="s">
        <v>41</v>
      </c>
      <c r="C26" s="2" t="s">
        <v>32</v>
      </c>
      <c r="D26" s="3" t="n">
        <v>0</v>
      </c>
      <c r="E26" s="3" t="n">
        <v>20000</v>
      </c>
      <c r="F26" s="3" t="n">
        <v>3.9675</v>
      </c>
    </row>
    <row r="27" customFormat="false" ht="12.75" hidden="false" customHeight="false" outlineLevel="0" collapsed="false">
      <c r="A27" s="2" t="s">
        <v>40</v>
      </c>
      <c r="B27" s="2" t="s">
        <v>42</v>
      </c>
      <c r="C27" s="2" t="s">
        <v>18</v>
      </c>
      <c r="D27" s="3" t="n">
        <v>5000</v>
      </c>
      <c r="E27" s="3" t="n">
        <v>0</v>
      </c>
      <c r="F27" s="3" t="n">
        <v>4.025</v>
      </c>
    </row>
    <row r="28" customFormat="false" ht="12.75" hidden="false" customHeight="false" outlineLevel="0" collapsed="false">
      <c r="A28" s="2" t="s">
        <v>40</v>
      </c>
      <c r="B28" s="2" t="s">
        <v>43</v>
      </c>
      <c r="C28" s="2" t="s">
        <v>22</v>
      </c>
      <c r="D28" s="3" t="n">
        <v>5000</v>
      </c>
      <c r="E28" s="3" t="n">
        <v>0</v>
      </c>
      <c r="F28" s="3" t="n">
        <v>4.36</v>
      </c>
    </row>
    <row r="29" customFormat="false" ht="12.75" hidden="false" customHeight="false" outlineLevel="0" collapsed="false">
      <c r="A29" s="2" t="s">
        <v>44</v>
      </c>
      <c r="B29" s="2" t="s">
        <v>37</v>
      </c>
      <c r="C29" s="2" t="s">
        <v>22</v>
      </c>
      <c r="D29" s="3" t="n">
        <v>0</v>
      </c>
      <c r="E29" s="3" t="n">
        <v>2500</v>
      </c>
      <c r="F29" s="3" t="n">
        <v>4.37</v>
      </c>
    </row>
    <row r="30" customFormat="false" ht="12.75" hidden="false" customHeight="false" outlineLevel="0" collapsed="false">
      <c r="A30" s="2" t="s">
        <v>44</v>
      </c>
      <c r="B30" s="2" t="s">
        <v>42</v>
      </c>
      <c r="C30" s="2" t="s">
        <v>32</v>
      </c>
      <c r="D30" s="3" t="n">
        <v>20000</v>
      </c>
      <c r="E30" s="3" t="n">
        <v>0</v>
      </c>
      <c r="F30" s="3" t="n">
        <v>3.9625</v>
      </c>
    </row>
    <row r="31" customFormat="false" ht="12.75" hidden="false" customHeight="false" outlineLevel="0" collapsed="false">
      <c r="A31" s="2" t="s">
        <v>45</v>
      </c>
      <c r="B31" s="2" t="s">
        <v>26</v>
      </c>
      <c r="C31" s="2" t="s">
        <v>32</v>
      </c>
      <c r="D31" s="3" t="n">
        <v>0</v>
      </c>
      <c r="E31" s="3" t="n">
        <v>15000</v>
      </c>
      <c r="F31" s="3" t="n">
        <v>3.9625</v>
      </c>
    </row>
    <row r="32" customFormat="false" ht="12.75" hidden="false" customHeight="false" outlineLevel="0" collapsed="false">
      <c r="A32" s="2" t="s">
        <v>45</v>
      </c>
      <c r="B32" s="2" t="s">
        <v>46</v>
      </c>
      <c r="C32" s="2" t="s">
        <v>8</v>
      </c>
      <c r="D32" s="3" t="n">
        <v>0</v>
      </c>
      <c r="E32" s="3" t="n">
        <v>5000</v>
      </c>
      <c r="F32" s="3" t="n">
        <v>3.865</v>
      </c>
    </row>
    <row r="33" customFormat="false" ht="12.75" hidden="false" customHeight="false" outlineLevel="0" collapsed="false">
      <c r="A33" s="2" t="s">
        <v>45</v>
      </c>
      <c r="B33" s="2" t="s">
        <v>42</v>
      </c>
      <c r="C33" s="2" t="s">
        <v>32</v>
      </c>
      <c r="D33" s="3" t="n">
        <v>20000</v>
      </c>
      <c r="E33" s="3" t="n">
        <v>0</v>
      </c>
      <c r="F33" s="3" t="n">
        <v>3.9575</v>
      </c>
    </row>
    <row r="34" customFormat="false" ht="12.75" hidden="false" customHeight="false" outlineLevel="0" collapsed="false">
      <c r="A34" s="2" t="s">
        <v>47</v>
      </c>
      <c r="B34" s="2" t="s">
        <v>46</v>
      </c>
      <c r="C34" s="2" t="s">
        <v>8</v>
      </c>
      <c r="D34" s="3" t="n">
        <v>0</v>
      </c>
      <c r="E34" s="3" t="n">
        <v>10000</v>
      </c>
      <c r="F34" s="3" t="n">
        <v>3.87</v>
      </c>
    </row>
    <row r="35" customFormat="false" ht="12.75" hidden="false" customHeight="false" outlineLevel="0" collapsed="false">
      <c r="A35" s="2" t="s">
        <v>47</v>
      </c>
      <c r="B35" s="2" t="s">
        <v>46</v>
      </c>
      <c r="C35" s="2" t="s">
        <v>22</v>
      </c>
      <c r="D35" s="3" t="n">
        <v>0</v>
      </c>
      <c r="E35" s="3" t="n">
        <v>5000</v>
      </c>
      <c r="F35" s="3" t="n">
        <v>4.37</v>
      </c>
    </row>
    <row r="36" customFormat="false" ht="12.75" hidden="false" customHeight="false" outlineLevel="0" collapsed="false">
      <c r="A36" s="2" t="s">
        <v>47</v>
      </c>
      <c r="B36" s="2" t="s">
        <v>12</v>
      </c>
      <c r="C36" s="2" t="s">
        <v>32</v>
      </c>
      <c r="D36" s="3" t="n">
        <v>0</v>
      </c>
      <c r="E36" s="3" t="n">
        <v>10000</v>
      </c>
      <c r="F36" s="3" t="n">
        <v>3.9675</v>
      </c>
    </row>
    <row r="37" customFormat="false" ht="12.75" hidden="false" customHeight="false" outlineLevel="0" collapsed="false">
      <c r="A37" s="2" t="s">
        <v>48</v>
      </c>
      <c r="B37" s="2" t="s">
        <v>49</v>
      </c>
      <c r="C37" s="2" t="s">
        <v>8</v>
      </c>
      <c r="D37" s="3" t="n">
        <v>0</v>
      </c>
      <c r="E37" s="3" t="n">
        <v>20000</v>
      </c>
      <c r="F37" s="3" t="n">
        <v>3.875</v>
      </c>
    </row>
    <row r="38" customFormat="false" ht="12.75" hidden="false" customHeight="false" outlineLevel="0" collapsed="false">
      <c r="A38" s="2" t="s">
        <v>50</v>
      </c>
      <c r="B38" s="2" t="s">
        <v>35</v>
      </c>
      <c r="C38" s="2" t="s">
        <v>22</v>
      </c>
      <c r="D38" s="3" t="n">
        <v>0</v>
      </c>
      <c r="E38" s="3" t="n">
        <v>2500</v>
      </c>
      <c r="F38" s="3" t="n">
        <v>4.375</v>
      </c>
    </row>
    <row r="39" customFormat="false" ht="12.75" hidden="false" customHeight="false" outlineLevel="0" collapsed="false">
      <c r="A39" s="2" t="s">
        <v>50</v>
      </c>
      <c r="B39" s="2" t="s">
        <v>51</v>
      </c>
      <c r="C39" s="2" t="s">
        <v>8</v>
      </c>
      <c r="D39" s="3" t="n">
        <v>0</v>
      </c>
      <c r="E39" s="3" t="n">
        <v>20000</v>
      </c>
      <c r="F39" s="3" t="n">
        <v>3.88</v>
      </c>
    </row>
    <row r="40" customFormat="false" ht="12.75" hidden="false" customHeight="false" outlineLevel="0" collapsed="false">
      <c r="A40" s="2" t="s">
        <v>52</v>
      </c>
      <c r="B40" s="2" t="s">
        <v>7</v>
      </c>
      <c r="C40" s="2" t="s">
        <v>8</v>
      </c>
      <c r="D40" s="3" t="n">
        <v>20000</v>
      </c>
      <c r="E40" s="3" t="n">
        <v>0</v>
      </c>
      <c r="F40" s="3" t="n">
        <v>3.875</v>
      </c>
    </row>
    <row r="41" customFormat="false" ht="12.75" hidden="false" customHeight="false" outlineLevel="0" collapsed="false">
      <c r="A41" s="2" t="s">
        <v>53</v>
      </c>
      <c r="B41" s="2" t="s">
        <v>38</v>
      </c>
      <c r="C41" s="2" t="s">
        <v>8</v>
      </c>
      <c r="D41" s="3" t="n">
        <v>20000</v>
      </c>
      <c r="E41" s="3" t="n">
        <v>0</v>
      </c>
      <c r="F41" s="3" t="n">
        <v>3.875</v>
      </c>
    </row>
    <row r="42" customFormat="false" ht="12.75" hidden="false" customHeight="false" outlineLevel="0" collapsed="false">
      <c r="A42" s="2" t="s">
        <v>53</v>
      </c>
      <c r="B42" s="2" t="s">
        <v>12</v>
      </c>
      <c r="C42" s="2" t="s">
        <v>32</v>
      </c>
      <c r="D42" s="3" t="n">
        <v>0</v>
      </c>
      <c r="E42" s="3" t="n">
        <v>20000</v>
      </c>
      <c r="F42" s="3" t="n">
        <v>3.9775</v>
      </c>
    </row>
    <row r="43" customFormat="false" ht="12.75" hidden="false" customHeight="false" outlineLevel="0" collapsed="false">
      <c r="A43" s="2" t="s">
        <v>54</v>
      </c>
      <c r="B43" s="2" t="s">
        <v>46</v>
      </c>
      <c r="C43" s="2" t="s">
        <v>18</v>
      </c>
      <c r="D43" s="3" t="n">
        <v>0</v>
      </c>
      <c r="E43" s="3" t="n">
        <v>5000</v>
      </c>
      <c r="F43" s="3" t="n">
        <v>4.035</v>
      </c>
    </row>
    <row r="44" customFormat="false" ht="12.75" hidden="false" customHeight="false" outlineLevel="0" collapsed="false">
      <c r="A44" s="2" t="s">
        <v>54</v>
      </c>
      <c r="B44" s="2" t="s">
        <v>39</v>
      </c>
      <c r="C44" s="2" t="s">
        <v>8</v>
      </c>
      <c r="D44" s="3" t="n">
        <v>0</v>
      </c>
      <c r="E44" s="3" t="n">
        <v>20000</v>
      </c>
      <c r="F44" s="3" t="n">
        <v>3.88</v>
      </c>
    </row>
    <row r="45" customFormat="false" ht="12.75" hidden="false" customHeight="false" outlineLevel="0" collapsed="false">
      <c r="A45" s="2" t="s">
        <v>54</v>
      </c>
      <c r="B45" s="2" t="s">
        <v>55</v>
      </c>
      <c r="C45" s="2" t="s">
        <v>13</v>
      </c>
      <c r="D45" s="3" t="n">
        <v>0</v>
      </c>
      <c r="E45" s="3" t="n">
        <v>5000</v>
      </c>
      <c r="F45" s="3" t="n">
        <v>3.99</v>
      </c>
    </row>
    <row r="46" customFormat="false" ht="12.75" hidden="false" customHeight="false" outlineLevel="0" collapsed="false">
      <c r="A46" s="2" t="s">
        <v>56</v>
      </c>
      <c r="B46" s="2" t="s">
        <v>57</v>
      </c>
      <c r="C46" s="2" t="s">
        <v>8</v>
      </c>
      <c r="D46" s="3" t="n">
        <v>2500</v>
      </c>
      <c r="E46" s="3" t="n">
        <v>0</v>
      </c>
      <c r="F46" s="3" t="n">
        <v>3.875</v>
      </c>
    </row>
    <row r="47" customFormat="false" ht="12.75" hidden="false" customHeight="false" outlineLevel="0" collapsed="false">
      <c r="A47" s="2" t="s">
        <v>58</v>
      </c>
      <c r="B47" s="2" t="s">
        <v>59</v>
      </c>
      <c r="C47" s="2" t="s">
        <v>8</v>
      </c>
      <c r="D47" s="3" t="n">
        <v>7500</v>
      </c>
      <c r="E47" s="3" t="n">
        <v>0</v>
      </c>
      <c r="F47" s="3" t="n">
        <v>3.875</v>
      </c>
    </row>
    <row r="48" customFormat="false" ht="12.75" hidden="false" customHeight="false" outlineLevel="0" collapsed="false">
      <c r="A48" s="2" t="s">
        <v>60</v>
      </c>
      <c r="B48" s="2" t="s">
        <v>51</v>
      </c>
      <c r="C48" s="2" t="s">
        <v>8</v>
      </c>
      <c r="D48" s="3" t="n">
        <v>0</v>
      </c>
      <c r="E48" s="3" t="n">
        <v>20000</v>
      </c>
      <c r="F48" s="3" t="n">
        <v>3.88</v>
      </c>
    </row>
    <row r="49" customFormat="false" ht="12.75" hidden="false" customHeight="false" outlineLevel="0" collapsed="false">
      <c r="A49" s="2" t="s">
        <v>60</v>
      </c>
      <c r="B49" s="2" t="s">
        <v>24</v>
      </c>
      <c r="C49" s="2" t="s">
        <v>13</v>
      </c>
      <c r="D49" s="3" t="n">
        <v>0</v>
      </c>
      <c r="E49" s="3" t="n">
        <v>5000</v>
      </c>
      <c r="F49" s="3" t="n">
        <v>3.995</v>
      </c>
    </row>
    <row r="50" customFormat="false" ht="12.75" hidden="false" customHeight="false" outlineLevel="0" collapsed="false">
      <c r="A50" s="2" t="s">
        <v>60</v>
      </c>
      <c r="B50" s="2" t="s">
        <v>12</v>
      </c>
      <c r="C50" s="2" t="s">
        <v>32</v>
      </c>
      <c r="D50" s="3" t="n">
        <v>0</v>
      </c>
      <c r="E50" s="3" t="n">
        <v>20000</v>
      </c>
      <c r="F50" s="3" t="n">
        <v>3.9825</v>
      </c>
    </row>
    <row r="51" customFormat="false" ht="12.75" hidden="false" customHeight="false" outlineLevel="0" collapsed="false">
      <c r="A51" s="2" t="s">
        <v>61</v>
      </c>
      <c r="B51" s="2" t="s">
        <v>36</v>
      </c>
      <c r="C51" s="2" t="s">
        <v>8</v>
      </c>
      <c r="D51" s="3" t="n">
        <v>0</v>
      </c>
      <c r="E51" s="3" t="n">
        <v>10000</v>
      </c>
      <c r="F51" s="3" t="n">
        <v>3.885</v>
      </c>
    </row>
    <row r="52" customFormat="false" ht="12.75" hidden="false" customHeight="false" outlineLevel="0" collapsed="false">
      <c r="A52" s="2" t="s">
        <v>61</v>
      </c>
      <c r="B52" s="2" t="s">
        <v>57</v>
      </c>
      <c r="C52" s="2" t="s">
        <v>18</v>
      </c>
      <c r="D52" s="3" t="n">
        <v>0</v>
      </c>
      <c r="E52" s="3" t="n">
        <v>500</v>
      </c>
      <c r="F52" s="3" t="n">
        <v>4.045</v>
      </c>
    </row>
    <row r="53" customFormat="false" ht="12.75" hidden="false" customHeight="false" outlineLevel="0" collapsed="false">
      <c r="A53" s="2" t="s">
        <v>61</v>
      </c>
      <c r="B53" s="2" t="s">
        <v>42</v>
      </c>
      <c r="C53" s="2" t="s">
        <v>32</v>
      </c>
      <c r="D53" s="3" t="n">
        <v>20000</v>
      </c>
      <c r="E53" s="3" t="n">
        <v>0</v>
      </c>
      <c r="F53" s="3" t="n">
        <v>3.9775</v>
      </c>
    </row>
    <row r="54" customFormat="false" ht="12.75" hidden="false" customHeight="false" outlineLevel="0" collapsed="false">
      <c r="A54" s="2" t="s">
        <v>61</v>
      </c>
      <c r="B54" s="2" t="s">
        <v>24</v>
      </c>
      <c r="C54" s="2" t="s">
        <v>18</v>
      </c>
      <c r="D54" s="3" t="n">
        <v>0</v>
      </c>
      <c r="E54" s="3" t="n">
        <v>5000</v>
      </c>
      <c r="F54" s="3" t="n">
        <v>4.045</v>
      </c>
    </row>
    <row r="55" customFormat="false" ht="12.75" hidden="false" customHeight="false" outlineLevel="0" collapsed="false">
      <c r="A55" s="2" t="s">
        <v>61</v>
      </c>
      <c r="B55" s="2" t="s">
        <v>24</v>
      </c>
      <c r="C55" s="2" t="s">
        <v>8</v>
      </c>
      <c r="D55" s="3" t="n">
        <v>0</v>
      </c>
      <c r="E55" s="3" t="n">
        <v>20000</v>
      </c>
      <c r="F55" s="3" t="n">
        <v>3.89</v>
      </c>
    </row>
    <row r="56" customFormat="false" ht="12.75" hidden="false" customHeight="false" outlineLevel="0" collapsed="false">
      <c r="A56" s="2" t="s">
        <v>62</v>
      </c>
      <c r="B56" s="2" t="s">
        <v>38</v>
      </c>
      <c r="C56" s="2" t="s">
        <v>8</v>
      </c>
      <c r="D56" s="3" t="n">
        <v>10000</v>
      </c>
      <c r="E56" s="3" t="n">
        <v>0</v>
      </c>
      <c r="F56" s="3" t="n">
        <v>3.885</v>
      </c>
    </row>
    <row r="57" customFormat="false" ht="12.75" hidden="false" customHeight="false" outlineLevel="0" collapsed="false">
      <c r="A57" s="2" t="s">
        <v>63</v>
      </c>
      <c r="B57" s="2" t="s">
        <v>46</v>
      </c>
      <c r="C57" s="2" t="s">
        <v>8</v>
      </c>
      <c r="D57" s="3" t="n">
        <v>10000</v>
      </c>
      <c r="E57" s="3" t="n">
        <v>0</v>
      </c>
      <c r="F57" s="3" t="n">
        <v>3.885</v>
      </c>
    </row>
    <row r="58" customFormat="false" ht="12.75" hidden="false" customHeight="false" outlineLevel="0" collapsed="false">
      <c r="A58" s="2" t="s">
        <v>63</v>
      </c>
      <c r="B58" s="2" t="s">
        <v>64</v>
      </c>
      <c r="C58" s="2" t="s">
        <v>8</v>
      </c>
      <c r="D58" s="3" t="n">
        <v>20000</v>
      </c>
      <c r="E58" s="3" t="n">
        <v>0</v>
      </c>
      <c r="F58" s="3" t="n">
        <v>3.88</v>
      </c>
    </row>
    <row r="59" customFormat="false" ht="12.75" hidden="false" customHeight="false" outlineLevel="0" collapsed="false">
      <c r="A59" s="2" t="s">
        <v>63</v>
      </c>
      <c r="B59" s="2" t="s">
        <v>42</v>
      </c>
      <c r="C59" s="2" t="s">
        <v>13</v>
      </c>
      <c r="D59" s="3" t="n">
        <v>5000</v>
      </c>
      <c r="E59" s="3" t="n">
        <v>0</v>
      </c>
      <c r="F59" s="3" t="n">
        <v>3.99</v>
      </c>
    </row>
    <row r="60" customFormat="false" ht="12.75" hidden="false" customHeight="false" outlineLevel="0" collapsed="false">
      <c r="A60" s="2" t="s">
        <v>63</v>
      </c>
      <c r="B60" s="2" t="s">
        <v>42</v>
      </c>
      <c r="C60" s="2" t="s">
        <v>65</v>
      </c>
      <c r="D60" s="3" t="n">
        <v>20000</v>
      </c>
      <c r="E60" s="3" t="n">
        <v>0</v>
      </c>
      <c r="F60" s="3" t="n">
        <v>4.02</v>
      </c>
    </row>
    <row r="61" customFormat="false" ht="12.75" hidden="false" customHeight="false" outlineLevel="0" collapsed="false">
      <c r="A61" s="2" t="s">
        <v>66</v>
      </c>
      <c r="B61" s="2" t="s">
        <v>30</v>
      </c>
      <c r="C61" s="2" t="s">
        <v>8</v>
      </c>
      <c r="D61" s="3" t="n">
        <v>5000</v>
      </c>
      <c r="E61" s="3" t="n">
        <v>0</v>
      </c>
      <c r="F61" s="3" t="n">
        <v>3.87</v>
      </c>
    </row>
    <row r="62" customFormat="false" ht="12.75" hidden="false" customHeight="false" outlineLevel="0" collapsed="false">
      <c r="A62" s="2" t="s">
        <v>66</v>
      </c>
      <c r="B62" s="2" t="s">
        <v>24</v>
      </c>
      <c r="C62" s="2" t="s">
        <v>8</v>
      </c>
      <c r="D62" s="3" t="n">
        <v>15000</v>
      </c>
      <c r="E62" s="3" t="n">
        <v>0</v>
      </c>
      <c r="F62" s="3" t="n">
        <v>3.87</v>
      </c>
    </row>
    <row r="63" customFormat="false" ht="12.75" hidden="false" customHeight="false" outlineLevel="0" collapsed="false">
      <c r="A63" s="2" t="s">
        <v>67</v>
      </c>
      <c r="B63" s="2" t="s">
        <v>68</v>
      </c>
      <c r="C63" s="2" t="s">
        <v>8</v>
      </c>
      <c r="D63" s="3" t="n">
        <v>10000</v>
      </c>
      <c r="E63" s="3" t="n">
        <v>0</v>
      </c>
      <c r="F63" s="3" t="n">
        <v>3.865</v>
      </c>
    </row>
    <row r="64" customFormat="false" ht="12.75" hidden="false" customHeight="false" outlineLevel="0" collapsed="false">
      <c r="A64" s="2" t="s">
        <v>67</v>
      </c>
      <c r="B64" s="2" t="s">
        <v>24</v>
      </c>
      <c r="C64" s="2" t="s">
        <v>8</v>
      </c>
      <c r="D64" s="3" t="n">
        <v>0</v>
      </c>
      <c r="E64" s="3" t="n">
        <v>20000</v>
      </c>
      <c r="F64" s="3" t="n">
        <v>3.875</v>
      </c>
    </row>
    <row r="65" customFormat="false" ht="12.75" hidden="false" customHeight="false" outlineLevel="0" collapsed="false">
      <c r="A65" s="2" t="s">
        <v>67</v>
      </c>
      <c r="B65" s="2" t="s">
        <v>12</v>
      </c>
      <c r="C65" s="2" t="s">
        <v>13</v>
      </c>
      <c r="D65" s="3" t="n">
        <v>0</v>
      </c>
      <c r="E65" s="3" t="n">
        <v>5000</v>
      </c>
      <c r="F65" s="3" t="n">
        <v>3.985</v>
      </c>
    </row>
    <row r="66" customFormat="false" ht="12.75" hidden="false" customHeight="false" outlineLevel="0" collapsed="false">
      <c r="A66" s="2" t="s">
        <v>67</v>
      </c>
      <c r="B66" s="2" t="s">
        <v>55</v>
      </c>
      <c r="C66" s="2" t="s">
        <v>13</v>
      </c>
      <c r="D66" s="3" t="n">
        <v>5000</v>
      </c>
      <c r="E66" s="3" t="n">
        <v>0</v>
      </c>
      <c r="F66" s="3" t="n">
        <v>3.98</v>
      </c>
    </row>
    <row r="67" customFormat="false" ht="12.75" hidden="false" customHeight="false" outlineLevel="0" collapsed="false">
      <c r="A67" s="2" t="s">
        <v>69</v>
      </c>
      <c r="B67" s="2" t="s">
        <v>70</v>
      </c>
      <c r="C67" s="2" t="s">
        <v>22</v>
      </c>
      <c r="D67" s="3" t="n">
        <v>0</v>
      </c>
      <c r="E67" s="3" t="n">
        <v>5000</v>
      </c>
      <c r="F67" s="3" t="n">
        <v>4.375</v>
      </c>
    </row>
    <row r="68" customFormat="false" ht="12.75" hidden="false" customHeight="false" outlineLevel="0" collapsed="false">
      <c r="A68" s="2" t="s">
        <v>69</v>
      </c>
      <c r="B68" s="2" t="s">
        <v>26</v>
      </c>
      <c r="C68" s="2" t="s">
        <v>8</v>
      </c>
      <c r="D68" s="3" t="n">
        <v>10000</v>
      </c>
      <c r="E68" s="3" t="n">
        <v>0</v>
      </c>
      <c r="F68" s="3" t="n">
        <v>3.87</v>
      </c>
    </row>
    <row r="69" customFormat="false" ht="12.75" hidden="false" customHeight="false" outlineLevel="0" collapsed="false">
      <c r="A69" s="2" t="s">
        <v>71</v>
      </c>
      <c r="B69" s="2" t="s">
        <v>72</v>
      </c>
      <c r="C69" s="2" t="s">
        <v>8</v>
      </c>
      <c r="D69" s="3" t="n">
        <v>0</v>
      </c>
      <c r="E69" s="3" t="n">
        <v>2500</v>
      </c>
      <c r="F69" s="3" t="n">
        <v>3.875</v>
      </c>
    </row>
    <row r="70" customFormat="false" ht="12.75" hidden="false" customHeight="false" outlineLevel="0" collapsed="false">
      <c r="A70" s="2" t="s">
        <v>71</v>
      </c>
      <c r="B70" s="2" t="s">
        <v>39</v>
      </c>
      <c r="C70" s="2" t="s">
        <v>13</v>
      </c>
      <c r="D70" s="3" t="n">
        <v>5000</v>
      </c>
      <c r="E70" s="3" t="n">
        <v>0</v>
      </c>
      <c r="F70" s="3" t="n">
        <v>3.98</v>
      </c>
    </row>
    <row r="71" customFormat="false" ht="12.75" hidden="false" customHeight="false" outlineLevel="0" collapsed="false">
      <c r="A71" s="2" t="s">
        <v>73</v>
      </c>
      <c r="B71" s="2" t="s">
        <v>70</v>
      </c>
      <c r="C71" s="2" t="s">
        <v>22</v>
      </c>
      <c r="D71" s="3" t="n">
        <v>0</v>
      </c>
      <c r="E71" s="3" t="n">
        <v>5000</v>
      </c>
      <c r="F71" s="3" t="n">
        <v>4.375</v>
      </c>
    </row>
    <row r="72" customFormat="false" ht="12.75" hidden="false" customHeight="false" outlineLevel="0" collapsed="false">
      <c r="A72" s="2" t="s">
        <v>74</v>
      </c>
      <c r="B72" s="2" t="s">
        <v>24</v>
      </c>
      <c r="C72" s="2" t="s">
        <v>8</v>
      </c>
      <c r="D72" s="3" t="n">
        <v>0</v>
      </c>
      <c r="E72" s="3" t="n">
        <v>17500</v>
      </c>
      <c r="F72" s="3" t="n">
        <v>3.875</v>
      </c>
    </row>
    <row r="73" customFormat="false" ht="12.75" hidden="false" customHeight="false" outlineLevel="0" collapsed="false">
      <c r="A73" s="2" t="s">
        <v>75</v>
      </c>
      <c r="B73" s="2" t="s">
        <v>76</v>
      </c>
      <c r="C73" s="2" t="s">
        <v>8</v>
      </c>
      <c r="D73" s="3" t="n">
        <v>0</v>
      </c>
      <c r="E73" s="3" t="n">
        <v>10000</v>
      </c>
      <c r="F73" s="3" t="n">
        <v>3.88</v>
      </c>
    </row>
    <row r="74" customFormat="false" ht="12.75" hidden="false" customHeight="false" outlineLevel="0" collapsed="false">
      <c r="A74" s="2" t="s">
        <v>77</v>
      </c>
      <c r="B74" s="2" t="s">
        <v>72</v>
      </c>
      <c r="C74" s="2" t="s">
        <v>32</v>
      </c>
      <c r="D74" s="3" t="n">
        <v>0</v>
      </c>
      <c r="E74" s="3" t="n">
        <v>10000</v>
      </c>
      <c r="F74" s="3" t="n">
        <v>3.9775</v>
      </c>
    </row>
    <row r="75" customFormat="false" ht="12.75" hidden="false" customHeight="false" outlineLevel="0" collapsed="false">
      <c r="A75" s="2" t="s">
        <v>78</v>
      </c>
      <c r="B75" s="2" t="s">
        <v>72</v>
      </c>
      <c r="C75" s="2" t="s">
        <v>32</v>
      </c>
      <c r="D75" s="3" t="n">
        <v>0</v>
      </c>
      <c r="E75" s="3" t="n">
        <v>10000</v>
      </c>
      <c r="F75" s="3" t="n">
        <v>3.9775</v>
      </c>
    </row>
    <row r="76" customFormat="false" ht="12.75" hidden="false" customHeight="false" outlineLevel="0" collapsed="false">
      <c r="A76" s="2" t="s">
        <v>79</v>
      </c>
      <c r="B76" s="2" t="s">
        <v>80</v>
      </c>
      <c r="C76" s="2" t="s">
        <v>8</v>
      </c>
      <c r="D76" s="3" t="n">
        <v>0</v>
      </c>
      <c r="E76" s="3" t="n">
        <v>5000</v>
      </c>
      <c r="F76" s="3" t="n">
        <v>3.88</v>
      </c>
    </row>
    <row r="77" customFormat="false" ht="12.75" hidden="false" customHeight="false" outlineLevel="0" collapsed="false">
      <c r="A77" s="2" t="s">
        <v>81</v>
      </c>
      <c r="B77" s="2" t="s">
        <v>82</v>
      </c>
      <c r="C77" s="2" t="s">
        <v>13</v>
      </c>
      <c r="D77" s="3" t="n">
        <v>0</v>
      </c>
      <c r="E77" s="3" t="n">
        <v>2500</v>
      </c>
      <c r="F77" s="3" t="n">
        <v>3.995</v>
      </c>
    </row>
    <row r="78" customFormat="false" ht="12.75" hidden="false" customHeight="false" outlineLevel="0" collapsed="false">
      <c r="A78" s="2" t="s">
        <v>81</v>
      </c>
      <c r="B78" s="2" t="s">
        <v>26</v>
      </c>
      <c r="C78" s="2" t="s">
        <v>18</v>
      </c>
      <c r="D78" s="3" t="n">
        <v>0</v>
      </c>
      <c r="E78" s="3" t="n">
        <v>5000</v>
      </c>
      <c r="F78" s="3" t="n">
        <v>4.045</v>
      </c>
    </row>
    <row r="79" customFormat="false" ht="12.75" hidden="false" customHeight="false" outlineLevel="0" collapsed="false">
      <c r="A79" s="2" t="s">
        <v>81</v>
      </c>
      <c r="B79" s="2" t="s">
        <v>17</v>
      </c>
      <c r="C79" s="2" t="s">
        <v>22</v>
      </c>
      <c r="D79" s="3" t="n">
        <v>0</v>
      </c>
      <c r="E79" s="3" t="n">
        <v>2500</v>
      </c>
      <c r="F79" s="3" t="n">
        <v>4.385</v>
      </c>
    </row>
    <row r="80" customFormat="false" ht="12.75" hidden="false" customHeight="false" outlineLevel="0" collapsed="false">
      <c r="A80" s="2" t="s">
        <v>81</v>
      </c>
      <c r="B80" s="2" t="s">
        <v>24</v>
      </c>
      <c r="C80" s="2" t="s">
        <v>8</v>
      </c>
      <c r="D80" s="3" t="n">
        <v>0</v>
      </c>
      <c r="E80" s="3" t="n">
        <v>5000</v>
      </c>
      <c r="F80" s="3" t="n">
        <v>3.88</v>
      </c>
    </row>
    <row r="81" customFormat="false" ht="12.75" hidden="false" customHeight="false" outlineLevel="0" collapsed="false">
      <c r="A81" s="2" t="s">
        <v>81</v>
      </c>
      <c r="B81" s="2" t="s">
        <v>83</v>
      </c>
      <c r="C81" s="2" t="s">
        <v>8</v>
      </c>
      <c r="D81" s="3" t="n">
        <v>0</v>
      </c>
      <c r="E81" s="3" t="n">
        <v>20000</v>
      </c>
      <c r="F81" s="3" t="n">
        <v>3.885</v>
      </c>
    </row>
    <row r="82" customFormat="false" ht="12.75" hidden="false" customHeight="false" outlineLevel="0" collapsed="false">
      <c r="A82" s="2" t="s">
        <v>81</v>
      </c>
      <c r="B82" s="2" t="s">
        <v>83</v>
      </c>
      <c r="C82" s="2" t="s">
        <v>8</v>
      </c>
      <c r="D82" s="3" t="n">
        <v>0</v>
      </c>
      <c r="E82" s="3" t="n">
        <v>15000</v>
      </c>
      <c r="F82" s="3" t="n">
        <v>3.89</v>
      </c>
    </row>
    <row r="83" customFormat="false" ht="12.75" hidden="false" customHeight="false" outlineLevel="0" collapsed="false">
      <c r="A83" s="2" t="s">
        <v>84</v>
      </c>
      <c r="B83" s="2" t="s">
        <v>15</v>
      </c>
      <c r="C83" s="2" t="s">
        <v>8</v>
      </c>
      <c r="D83" s="3" t="n">
        <v>0</v>
      </c>
      <c r="E83" s="3" t="n">
        <v>20000</v>
      </c>
      <c r="F83" s="3" t="n">
        <v>3.895</v>
      </c>
    </row>
    <row r="84" customFormat="false" ht="12.75" hidden="false" customHeight="false" outlineLevel="0" collapsed="false">
      <c r="A84" s="2" t="s">
        <v>84</v>
      </c>
      <c r="B84" s="2" t="s">
        <v>85</v>
      </c>
      <c r="C84" s="2" t="s">
        <v>8</v>
      </c>
      <c r="D84" s="3" t="n">
        <v>0</v>
      </c>
      <c r="E84" s="3" t="n">
        <v>20000</v>
      </c>
      <c r="F84" s="3" t="n">
        <v>3.895</v>
      </c>
    </row>
    <row r="85" customFormat="false" ht="12.75" hidden="false" customHeight="false" outlineLevel="0" collapsed="false">
      <c r="A85" s="2" t="s">
        <v>84</v>
      </c>
      <c r="B85" s="2" t="s">
        <v>86</v>
      </c>
      <c r="C85" s="2" t="s">
        <v>13</v>
      </c>
      <c r="D85" s="3" t="n">
        <v>0</v>
      </c>
      <c r="E85" s="3" t="n">
        <v>5000</v>
      </c>
      <c r="F85" s="3" t="n">
        <v>4.01</v>
      </c>
    </row>
    <row r="86" customFormat="false" ht="12.75" hidden="false" customHeight="false" outlineLevel="0" collapsed="false">
      <c r="A86" s="2" t="s">
        <v>84</v>
      </c>
      <c r="B86" s="2" t="s">
        <v>38</v>
      </c>
      <c r="C86" s="2" t="s">
        <v>8</v>
      </c>
      <c r="D86" s="3" t="n">
        <v>20000</v>
      </c>
      <c r="E86" s="3" t="n">
        <v>0</v>
      </c>
      <c r="F86" s="3" t="n">
        <v>3.89</v>
      </c>
    </row>
    <row r="87" customFormat="false" ht="12.75" hidden="false" customHeight="false" outlineLevel="0" collapsed="false">
      <c r="A87" s="2" t="s">
        <v>84</v>
      </c>
      <c r="B87" s="2" t="s">
        <v>24</v>
      </c>
      <c r="C87" s="2" t="s">
        <v>8</v>
      </c>
      <c r="D87" s="3" t="n">
        <v>0</v>
      </c>
      <c r="E87" s="3" t="n">
        <v>5000</v>
      </c>
      <c r="F87" s="3" t="n">
        <v>3.89</v>
      </c>
    </row>
    <row r="88" customFormat="false" ht="12.75" hidden="false" customHeight="false" outlineLevel="0" collapsed="false">
      <c r="A88" s="2" t="s">
        <v>87</v>
      </c>
      <c r="B88" s="2" t="s">
        <v>46</v>
      </c>
      <c r="C88" s="2" t="s">
        <v>65</v>
      </c>
      <c r="D88" s="3" t="n">
        <v>2500</v>
      </c>
      <c r="E88" s="3" t="n">
        <v>0</v>
      </c>
      <c r="F88" s="3" t="n">
        <v>4.045</v>
      </c>
    </row>
    <row r="89" customFormat="false" ht="12.75" hidden="false" customHeight="false" outlineLevel="0" collapsed="false">
      <c r="A89" s="2" t="s">
        <v>87</v>
      </c>
      <c r="B89" s="2" t="s">
        <v>88</v>
      </c>
      <c r="C89" s="2" t="s">
        <v>8</v>
      </c>
      <c r="D89" s="3" t="n">
        <v>10000</v>
      </c>
      <c r="E89" s="3" t="n">
        <v>0</v>
      </c>
      <c r="F89" s="3" t="n">
        <v>3.9</v>
      </c>
    </row>
    <row r="90" customFormat="false" ht="12.75" hidden="false" customHeight="false" outlineLevel="0" collapsed="false">
      <c r="A90" s="2" t="s">
        <v>87</v>
      </c>
      <c r="B90" s="2" t="s">
        <v>37</v>
      </c>
      <c r="C90" s="2" t="s">
        <v>8</v>
      </c>
      <c r="D90" s="3" t="n">
        <v>2500</v>
      </c>
      <c r="E90" s="3" t="n">
        <v>0</v>
      </c>
      <c r="F90" s="3" t="n">
        <v>3.9</v>
      </c>
    </row>
    <row r="91" customFormat="false" ht="12.75" hidden="false" customHeight="false" outlineLevel="0" collapsed="false">
      <c r="A91" s="2" t="s">
        <v>87</v>
      </c>
      <c r="B91" s="2" t="s">
        <v>89</v>
      </c>
      <c r="C91" s="2" t="s">
        <v>8</v>
      </c>
      <c r="D91" s="3" t="n">
        <v>0</v>
      </c>
      <c r="E91" s="3" t="n">
        <v>20000</v>
      </c>
      <c r="F91" s="3" t="n">
        <v>3.905</v>
      </c>
    </row>
    <row r="92" customFormat="false" ht="12.75" hidden="false" customHeight="false" outlineLevel="0" collapsed="false">
      <c r="A92" s="2" t="s">
        <v>87</v>
      </c>
      <c r="B92" s="2" t="s">
        <v>90</v>
      </c>
      <c r="C92" s="2" t="s">
        <v>8</v>
      </c>
      <c r="D92" s="3" t="n">
        <v>10000</v>
      </c>
      <c r="E92" s="3" t="n">
        <v>0</v>
      </c>
      <c r="F92" s="3" t="n">
        <v>3.895</v>
      </c>
    </row>
    <row r="93" customFormat="false" ht="12.75" hidden="false" customHeight="false" outlineLevel="0" collapsed="false">
      <c r="A93" s="2" t="s">
        <v>87</v>
      </c>
      <c r="B93" s="2" t="s">
        <v>30</v>
      </c>
      <c r="C93" s="2" t="s">
        <v>8</v>
      </c>
      <c r="D93" s="3" t="n">
        <v>0</v>
      </c>
      <c r="E93" s="3" t="n">
        <v>20000</v>
      </c>
      <c r="F93" s="3" t="n">
        <v>3.9</v>
      </c>
    </row>
    <row r="94" customFormat="false" ht="12.75" hidden="false" customHeight="false" outlineLevel="0" collapsed="false">
      <c r="A94" s="2" t="s">
        <v>87</v>
      </c>
      <c r="B94" s="2" t="s">
        <v>72</v>
      </c>
      <c r="C94" s="2" t="s">
        <v>8</v>
      </c>
      <c r="D94" s="3" t="n">
        <v>15000</v>
      </c>
      <c r="E94" s="3" t="n">
        <v>0</v>
      </c>
      <c r="F94" s="3" t="n">
        <v>3.9</v>
      </c>
    </row>
    <row r="95" customFormat="false" ht="12.75" hidden="false" customHeight="false" outlineLevel="0" collapsed="false">
      <c r="A95" s="2" t="s">
        <v>87</v>
      </c>
      <c r="B95" s="2" t="s">
        <v>72</v>
      </c>
      <c r="C95" s="2" t="s">
        <v>8</v>
      </c>
      <c r="D95" s="3" t="n">
        <v>0</v>
      </c>
      <c r="E95" s="3" t="n">
        <v>5000</v>
      </c>
      <c r="F95" s="3" t="n">
        <v>3.91</v>
      </c>
    </row>
    <row r="96" customFormat="false" ht="12.75" hidden="false" customHeight="false" outlineLevel="0" collapsed="false">
      <c r="A96" s="2" t="s">
        <v>87</v>
      </c>
      <c r="B96" s="2" t="s">
        <v>24</v>
      </c>
      <c r="C96" s="2" t="s">
        <v>8</v>
      </c>
      <c r="D96" s="3" t="n">
        <v>0</v>
      </c>
      <c r="E96" s="3" t="n">
        <v>20000</v>
      </c>
      <c r="F96" s="3" t="n">
        <v>3.905</v>
      </c>
    </row>
    <row r="97" customFormat="false" ht="12.75" hidden="false" customHeight="false" outlineLevel="0" collapsed="false">
      <c r="A97" s="2" t="s">
        <v>87</v>
      </c>
      <c r="B97" s="2" t="s">
        <v>24</v>
      </c>
      <c r="C97" s="2" t="s">
        <v>8</v>
      </c>
      <c r="D97" s="3" t="n">
        <v>0</v>
      </c>
      <c r="E97" s="3" t="n">
        <v>15000</v>
      </c>
      <c r="F97" s="3" t="n">
        <v>3.905</v>
      </c>
    </row>
    <row r="98" customFormat="false" ht="12.75" hidden="false" customHeight="false" outlineLevel="0" collapsed="false">
      <c r="A98" s="2" t="s">
        <v>87</v>
      </c>
      <c r="B98" s="2" t="s">
        <v>91</v>
      </c>
      <c r="C98" s="2" t="s">
        <v>8</v>
      </c>
      <c r="D98" s="3" t="n">
        <v>5000</v>
      </c>
      <c r="E98" s="3" t="n">
        <v>0</v>
      </c>
      <c r="F98" s="3" t="n">
        <v>3.895</v>
      </c>
    </row>
    <row r="99" customFormat="false" ht="12.75" hidden="false" customHeight="false" outlineLevel="0" collapsed="false">
      <c r="A99" s="2" t="s">
        <v>92</v>
      </c>
      <c r="B99" s="2" t="s">
        <v>35</v>
      </c>
      <c r="C99" s="2" t="s">
        <v>22</v>
      </c>
      <c r="D99" s="3" t="n">
        <v>2500</v>
      </c>
      <c r="E99" s="3" t="n">
        <v>0</v>
      </c>
      <c r="F99" s="3" t="n">
        <v>4.395</v>
      </c>
    </row>
    <row r="100" customFormat="false" ht="12.75" hidden="false" customHeight="false" outlineLevel="0" collapsed="false">
      <c r="A100" s="2" t="s">
        <v>92</v>
      </c>
      <c r="B100" s="2" t="s">
        <v>93</v>
      </c>
      <c r="C100" s="2" t="s">
        <v>8</v>
      </c>
      <c r="D100" s="3" t="n">
        <v>0</v>
      </c>
      <c r="E100" s="3" t="n">
        <v>20000</v>
      </c>
      <c r="F100" s="3" t="n">
        <v>3.91</v>
      </c>
    </row>
    <row r="101" customFormat="false" ht="12.75" hidden="false" customHeight="false" outlineLevel="0" collapsed="false">
      <c r="A101" s="2" t="s">
        <v>92</v>
      </c>
      <c r="B101" s="2" t="s">
        <v>94</v>
      </c>
      <c r="C101" s="2" t="s">
        <v>32</v>
      </c>
      <c r="D101" s="3" t="n">
        <v>10000</v>
      </c>
      <c r="E101" s="3" t="n">
        <v>0</v>
      </c>
      <c r="F101" s="3" t="n">
        <v>4.0025</v>
      </c>
    </row>
    <row r="102" customFormat="false" ht="12.75" hidden="false" customHeight="false" outlineLevel="0" collapsed="false">
      <c r="A102" s="2" t="s">
        <v>92</v>
      </c>
      <c r="B102" s="2" t="s">
        <v>24</v>
      </c>
      <c r="C102" s="2" t="s">
        <v>18</v>
      </c>
      <c r="D102" s="3" t="n">
        <v>0</v>
      </c>
      <c r="E102" s="3" t="n">
        <v>5000</v>
      </c>
      <c r="F102" s="3" t="n">
        <v>4.06</v>
      </c>
    </row>
    <row r="103" customFormat="false" ht="12.75" hidden="false" customHeight="false" outlineLevel="0" collapsed="false">
      <c r="A103" s="2" t="s">
        <v>95</v>
      </c>
      <c r="B103" s="2" t="s">
        <v>85</v>
      </c>
      <c r="C103" s="2" t="s">
        <v>8</v>
      </c>
      <c r="D103" s="3" t="n">
        <v>0</v>
      </c>
      <c r="E103" s="3" t="n">
        <v>20000</v>
      </c>
      <c r="F103" s="3" t="n">
        <v>3.915</v>
      </c>
    </row>
    <row r="104" customFormat="false" ht="12.75" hidden="false" customHeight="false" outlineLevel="0" collapsed="false">
      <c r="A104" s="2" t="s">
        <v>95</v>
      </c>
      <c r="B104" s="2" t="s">
        <v>72</v>
      </c>
      <c r="C104" s="2" t="s">
        <v>8</v>
      </c>
      <c r="D104" s="3" t="n">
        <v>10000</v>
      </c>
      <c r="E104" s="3" t="n">
        <v>0</v>
      </c>
      <c r="F104" s="3" t="n">
        <v>3.91</v>
      </c>
    </row>
    <row r="105" customFormat="false" ht="12.75" hidden="false" customHeight="false" outlineLevel="0" collapsed="false">
      <c r="A105" s="2" t="s">
        <v>95</v>
      </c>
      <c r="B105" s="2" t="s">
        <v>39</v>
      </c>
      <c r="C105" s="2" t="s">
        <v>13</v>
      </c>
      <c r="D105" s="3" t="n">
        <v>0</v>
      </c>
      <c r="E105" s="3" t="n">
        <v>5000</v>
      </c>
      <c r="F105" s="3" t="n">
        <v>4.02</v>
      </c>
    </row>
    <row r="106" customFormat="false" ht="12.75" hidden="false" customHeight="false" outlineLevel="0" collapsed="false">
      <c r="A106" s="2" t="s">
        <v>95</v>
      </c>
      <c r="B106" s="2" t="s">
        <v>57</v>
      </c>
      <c r="C106" s="2" t="s">
        <v>22</v>
      </c>
      <c r="D106" s="3" t="n">
        <v>0</v>
      </c>
      <c r="E106" s="3" t="n">
        <v>5000</v>
      </c>
      <c r="F106" s="3" t="n">
        <v>4.415</v>
      </c>
    </row>
    <row r="107" customFormat="false" ht="12.75" hidden="false" customHeight="false" outlineLevel="0" collapsed="false">
      <c r="A107" s="2" t="s">
        <v>96</v>
      </c>
      <c r="B107" s="2" t="s">
        <v>46</v>
      </c>
      <c r="C107" s="2" t="s">
        <v>8</v>
      </c>
      <c r="D107" s="3" t="n">
        <v>0</v>
      </c>
      <c r="E107" s="3" t="n">
        <v>20000</v>
      </c>
      <c r="F107" s="3" t="n">
        <v>3.915</v>
      </c>
    </row>
    <row r="108" customFormat="false" ht="12.75" hidden="false" customHeight="false" outlineLevel="0" collapsed="false">
      <c r="A108" s="2" t="s">
        <v>96</v>
      </c>
      <c r="B108" s="2" t="s">
        <v>97</v>
      </c>
      <c r="C108" s="2" t="s">
        <v>13</v>
      </c>
      <c r="D108" s="3" t="n">
        <v>0</v>
      </c>
      <c r="E108" s="3" t="n">
        <v>5000</v>
      </c>
      <c r="F108" s="3" t="n">
        <v>4.03</v>
      </c>
    </row>
    <row r="109" customFormat="false" ht="12.75" hidden="false" customHeight="false" outlineLevel="0" collapsed="false">
      <c r="A109" s="2" t="s">
        <v>96</v>
      </c>
      <c r="B109" s="2" t="s">
        <v>98</v>
      </c>
      <c r="C109" s="2" t="s">
        <v>8</v>
      </c>
      <c r="D109" s="3" t="n">
        <v>0</v>
      </c>
      <c r="E109" s="3" t="n">
        <v>20000</v>
      </c>
      <c r="F109" s="3" t="n">
        <v>3.92</v>
      </c>
    </row>
    <row r="110" customFormat="false" ht="12.75" hidden="false" customHeight="false" outlineLevel="0" collapsed="false">
      <c r="A110" s="2" t="s">
        <v>96</v>
      </c>
      <c r="B110" s="2" t="s">
        <v>93</v>
      </c>
      <c r="C110" s="2" t="s">
        <v>8</v>
      </c>
      <c r="D110" s="3" t="n">
        <v>0</v>
      </c>
      <c r="E110" s="3" t="n">
        <v>20000</v>
      </c>
      <c r="F110" s="3" t="n">
        <v>3.92</v>
      </c>
    </row>
    <row r="111" customFormat="false" ht="12.75" hidden="false" customHeight="false" outlineLevel="0" collapsed="false">
      <c r="A111" s="2" t="s">
        <v>96</v>
      </c>
      <c r="B111" s="2" t="s">
        <v>72</v>
      </c>
      <c r="C111" s="2" t="s">
        <v>8</v>
      </c>
      <c r="D111" s="3" t="n">
        <v>5000</v>
      </c>
      <c r="E111" s="3" t="n">
        <v>0</v>
      </c>
      <c r="F111" s="3" t="n">
        <v>3.91</v>
      </c>
    </row>
    <row r="112" customFormat="false" ht="12.75" hidden="false" customHeight="false" outlineLevel="0" collapsed="false">
      <c r="A112" s="2" t="s">
        <v>96</v>
      </c>
      <c r="B112" s="2" t="s">
        <v>39</v>
      </c>
      <c r="C112" s="2" t="s">
        <v>8</v>
      </c>
      <c r="D112" s="3" t="n">
        <v>0</v>
      </c>
      <c r="E112" s="3" t="n">
        <v>20000</v>
      </c>
      <c r="F112" s="3" t="n">
        <v>3.925</v>
      </c>
    </row>
    <row r="113" customFormat="false" ht="12.75" hidden="false" customHeight="false" outlineLevel="0" collapsed="false">
      <c r="A113" s="2" t="s">
        <v>96</v>
      </c>
      <c r="B113" s="2" t="s">
        <v>64</v>
      </c>
      <c r="C113" s="2" t="s">
        <v>8</v>
      </c>
      <c r="D113" s="3" t="n">
        <v>15000</v>
      </c>
      <c r="E113" s="3" t="n">
        <v>0</v>
      </c>
      <c r="F113" s="3" t="n">
        <v>3.915</v>
      </c>
    </row>
    <row r="114" customFormat="false" ht="12.75" hidden="false" customHeight="false" outlineLevel="0" collapsed="false">
      <c r="A114" s="2" t="s">
        <v>96</v>
      </c>
      <c r="B114" s="2" t="s">
        <v>64</v>
      </c>
      <c r="C114" s="2" t="s">
        <v>8</v>
      </c>
      <c r="D114" s="3" t="n">
        <v>20000</v>
      </c>
      <c r="E114" s="3" t="n">
        <v>0</v>
      </c>
      <c r="F114" s="3" t="n">
        <v>3.92</v>
      </c>
    </row>
    <row r="115" customFormat="false" ht="12.75" hidden="false" customHeight="false" outlineLevel="0" collapsed="false">
      <c r="A115" s="2" t="s">
        <v>99</v>
      </c>
      <c r="B115" s="2" t="s">
        <v>100</v>
      </c>
      <c r="C115" s="2" t="s">
        <v>65</v>
      </c>
      <c r="D115" s="3" t="n">
        <v>0</v>
      </c>
      <c r="E115" s="3" t="n">
        <v>20000</v>
      </c>
      <c r="F115" s="3" t="n">
        <v>4.07</v>
      </c>
    </row>
    <row r="116" customFormat="false" ht="12.75" hidden="false" customHeight="false" outlineLevel="0" collapsed="false">
      <c r="A116" s="2" t="s">
        <v>99</v>
      </c>
      <c r="B116" s="2" t="s">
        <v>100</v>
      </c>
      <c r="C116" s="2" t="s">
        <v>65</v>
      </c>
      <c r="D116" s="3" t="n">
        <v>0</v>
      </c>
      <c r="E116" s="3" t="n">
        <v>20000</v>
      </c>
      <c r="F116" s="3" t="n">
        <v>4.075</v>
      </c>
    </row>
    <row r="117" customFormat="false" ht="12.75" hidden="false" customHeight="false" outlineLevel="0" collapsed="false">
      <c r="A117" s="2" t="s">
        <v>99</v>
      </c>
      <c r="B117" s="2" t="s">
        <v>88</v>
      </c>
      <c r="C117" s="2" t="s">
        <v>8</v>
      </c>
      <c r="D117" s="3" t="n">
        <v>15000</v>
      </c>
      <c r="E117" s="3" t="n">
        <v>0</v>
      </c>
      <c r="F117" s="3" t="n">
        <v>3.92</v>
      </c>
    </row>
    <row r="118" customFormat="false" ht="12.75" hidden="false" customHeight="false" outlineLevel="0" collapsed="false">
      <c r="A118" s="2" t="s">
        <v>99</v>
      </c>
      <c r="B118" s="2" t="s">
        <v>85</v>
      </c>
      <c r="C118" s="2" t="s">
        <v>8</v>
      </c>
      <c r="D118" s="3" t="n">
        <v>0</v>
      </c>
      <c r="E118" s="3" t="n">
        <v>10000</v>
      </c>
      <c r="F118" s="3" t="n">
        <v>3.925</v>
      </c>
    </row>
    <row r="119" customFormat="false" ht="12.75" hidden="false" customHeight="false" outlineLevel="0" collapsed="false">
      <c r="A119" s="2" t="s">
        <v>99</v>
      </c>
      <c r="B119" s="2" t="s">
        <v>101</v>
      </c>
      <c r="C119" s="2" t="s">
        <v>8</v>
      </c>
      <c r="D119" s="3" t="n">
        <v>0</v>
      </c>
      <c r="E119" s="3" t="n">
        <v>10000</v>
      </c>
      <c r="F119" s="3" t="n">
        <v>3.925</v>
      </c>
    </row>
    <row r="120" customFormat="false" ht="12.75" hidden="false" customHeight="false" outlineLevel="0" collapsed="false">
      <c r="A120" s="2" t="s">
        <v>99</v>
      </c>
      <c r="B120" s="2" t="s">
        <v>38</v>
      </c>
      <c r="C120" s="2" t="s">
        <v>8</v>
      </c>
      <c r="D120" s="3" t="n">
        <v>15000</v>
      </c>
      <c r="E120" s="3" t="n">
        <v>0</v>
      </c>
      <c r="F120" s="3" t="n">
        <v>3.92</v>
      </c>
    </row>
    <row r="121" customFormat="false" ht="12.75" hidden="false" customHeight="false" outlineLevel="0" collapsed="false">
      <c r="A121" s="2" t="s">
        <v>99</v>
      </c>
      <c r="B121" s="2" t="s">
        <v>24</v>
      </c>
      <c r="C121" s="2" t="s">
        <v>8</v>
      </c>
      <c r="D121" s="3" t="n">
        <v>0</v>
      </c>
      <c r="E121" s="3" t="n">
        <v>10000</v>
      </c>
      <c r="F121" s="3" t="n">
        <v>3.925</v>
      </c>
    </row>
    <row r="122" customFormat="false" ht="12.75" hidden="false" customHeight="false" outlineLevel="0" collapsed="false">
      <c r="A122" s="2" t="s">
        <v>99</v>
      </c>
      <c r="B122" s="2" t="s">
        <v>24</v>
      </c>
      <c r="C122" s="2" t="s">
        <v>8</v>
      </c>
      <c r="D122" s="3" t="n">
        <v>5000</v>
      </c>
      <c r="E122" s="3" t="n">
        <v>0</v>
      </c>
      <c r="F122" s="3" t="n">
        <v>3.92</v>
      </c>
    </row>
    <row r="123" customFormat="false" ht="12.75" hidden="false" customHeight="false" outlineLevel="0" collapsed="false">
      <c r="A123" s="2" t="s">
        <v>99</v>
      </c>
      <c r="B123" s="2" t="s">
        <v>12</v>
      </c>
      <c r="C123" s="2" t="s">
        <v>65</v>
      </c>
      <c r="D123" s="3" t="n">
        <v>5000</v>
      </c>
      <c r="E123" s="3" t="n">
        <v>0</v>
      </c>
      <c r="F123" s="3" t="n">
        <v>4.065</v>
      </c>
    </row>
    <row r="124" customFormat="false" ht="12.75" hidden="false" customHeight="false" outlineLevel="0" collapsed="false">
      <c r="A124" s="2" t="s">
        <v>99</v>
      </c>
      <c r="B124" s="2" t="s">
        <v>12</v>
      </c>
      <c r="C124" s="2" t="s">
        <v>65</v>
      </c>
      <c r="D124" s="3" t="n">
        <v>20000</v>
      </c>
      <c r="E124" s="3" t="n">
        <v>0</v>
      </c>
      <c r="F124" s="3" t="n">
        <v>4.07</v>
      </c>
    </row>
    <row r="125" customFormat="false" ht="12.75" hidden="false" customHeight="false" outlineLevel="0" collapsed="false">
      <c r="A125" s="2" t="s">
        <v>99</v>
      </c>
      <c r="B125" s="2" t="s">
        <v>83</v>
      </c>
      <c r="C125" s="2" t="s">
        <v>8</v>
      </c>
      <c r="D125" s="3" t="n">
        <v>0</v>
      </c>
      <c r="E125" s="3" t="n">
        <v>10000</v>
      </c>
      <c r="F125" s="3" t="n">
        <v>3.925</v>
      </c>
    </row>
    <row r="126" customFormat="false" ht="12.75" hidden="false" customHeight="false" outlineLevel="0" collapsed="false">
      <c r="A126" s="2" t="s">
        <v>102</v>
      </c>
      <c r="B126" s="2" t="s">
        <v>70</v>
      </c>
      <c r="C126" s="2" t="s">
        <v>8</v>
      </c>
      <c r="D126" s="3" t="n">
        <v>0</v>
      </c>
      <c r="E126" s="3" t="n">
        <v>20000</v>
      </c>
      <c r="F126" s="3" t="n">
        <v>3.925</v>
      </c>
    </row>
    <row r="127" customFormat="false" ht="12.75" hidden="false" customHeight="false" outlineLevel="0" collapsed="false">
      <c r="A127" s="2" t="s">
        <v>102</v>
      </c>
      <c r="B127" s="2" t="s">
        <v>70</v>
      </c>
      <c r="C127" s="2" t="s">
        <v>8</v>
      </c>
      <c r="D127" s="3" t="n">
        <v>0</v>
      </c>
      <c r="E127" s="3" t="n">
        <v>10000</v>
      </c>
      <c r="F127" s="3" t="n">
        <v>3.925</v>
      </c>
    </row>
    <row r="128" customFormat="false" ht="12.75" hidden="false" customHeight="false" outlineLevel="0" collapsed="false">
      <c r="A128" s="2" t="s">
        <v>102</v>
      </c>
      <c r="B128" s="2" t="s">
        <v>70</v>
      </c>
      <c r="C128" s="2" t="s">
        <v>8</v>
      </c>
      <c r="D128" s="3" t="n">
        <v>0</v>
      </c>
      <c r="E128" s="3" t="n">
        <v>20000</v>
      </c>
      <c r="F128" s="3" t="n">
        <v>3.925</v>
      </c>
    </row>
    <row r="129" customFormat="false" ht="12.75" hidden="false" customHeight="false" outlineLevel="0" collapsed="false">
      <c r="A129" s="2" t="s">
        <v>102</v>
      </c>
      <c r="B129" s="2" t="s">
        <v>100</v>
      </c>
      <c r="C129" s="2" t="s">
        <v>65</v>
      </c>
      <c r="D129" s="3" t="n">
        <v>0</v>
      </c>
      <c r="E129" s="3" t="n">
        <v>20000</v>
      </c>
      <c r="F129" s="3" t="n">
        <v>4.075</v>
      </c>
    </row>
    <row r="130" customFormat="false" ht="12.75" hidden="false" customHeight="false" outlineLevel="0" collapsed="false">
      <c r="A130" s="2" t="s">
        <v>102</v>
      </c>
      <c r="B130" s="2" t="s">
        <v>88</v>
      </c>
      <c r="C130" s="2" t="s">
        <v>8</v>
      </c>
      <c r="D130" s="3" t="n">
        <v>15000</v>
      </c>
      <c r="E130" s="3" t="n">
        <v>0</v>
      </c>
      <c r="F130" s="3" t="n">
        <v>3.92</v>
      </c>
    </row>
    <row r="131" customFormat="false" ht="12.75" hidden="false" customHeight="false" outlineLevel="0" collapsed="false">
      <c r="A131" s="2" t="s">
        <v>102</v>
      </c>
      <c r="B131" s="2" t="s">
        <v>88</v>
      </c>
      <c r="C131" s="2" t="s">
        <v>8</v>
      </c>
      <c r="D131" s="3" t="n">
        <v>20000</v>
      </c>
      <c r="E131" s="3" t="n">
        <v>0</v>
      </c>
      <c r="F131" s="3" t="n">
        <v>3.925</v>
      </c>
    </row>
    <row r="132" customFormat="false" ht="12.75" hidden="false" customHeight="false" outlineLevel="0" collapsed="false">
      <c r="A132" s="2" t="s">
        <v>102</v>
      </c>
      <c r="B132" s="2" t="s">
        <v>103</v>
      </c>
      <c r="C132" s="2" t="s">
        <v>22</v>
      </c>
      <c r="D132" s="3" t="n">
        <v>0</v>
      </c>
      <c r="E132" s="3" t="n">
        <v>5000</v>
      </c>
      <c r="F132" s="3" t="n">
        <v>4.425</v>
      </c>
    </row>
    <row r="133" customFormat="false" ht="12.75" hidden="false" customHeight="false" outlineLevel="0" collapsed="false">
      <c r="A133" s="2" t="s">
        <v>102</v>
      </c>
      <c r="B133" s="2" t="s">
        <v>76</v>
      </c>
      <c r="C133" s="2" t="s">
        <v>18</v>
      </c>
      <c r="D133" s="3" t="n">
        <v>5000</v>
      </c>
      <c r="E133" s="3" t="n">
        <v>0</v>
      </c>
      <c r="F133" s="3" t="n">
        <v>4.06</v>
      </c>
    </row>
    <row r="134" customFormat="false" ht="12.75" hidden="false" customHeight="false" outlineLevel="0" collapsed="false">
      <c r="A134" s="2" t="s">
        <v>102</v>
      </c>
      <c r="B134" s="2" t="s">
        <v>104</v>
      </c>
      <c r="C134" s="2" t="s">
        <v>18</v>
      </c>
      <c r="D134" s="3" t="n">
        <v>0</v>
      </c>
      <c r="E134" s="3" t="n">
        <v>5000</v>
      </c>
      <c r="F134" s="3" t="n">
        <v>4.07</v>
      </c>
    </row>
    <row r="135" customFormat="false" ht="12.75" hidden="false" customHeight="false" outlineLevel="0" collapsed="false">
      <c r="A135" s="2" t="s">
        <v>102</v>
      </c>
      <c r="B135" s="2" t="s">
        <v>104</v>
      </c>
      <c r="C135" s="2" t="s">
        <v>8</v>
      </c>
      <c r="D135" s="3" t="n">
        <v>20000</v>
      </c>
      <c r="E135" s="3" t="n">
        <v>0</v>
      </c>
      <c r="F135" s="3" t="n">
        <v>3.92</v>
      </c>
    </row>
    <row r="136" customFormat="false" ht="12.75" hidden="false" customHeight="false" outlineLevel="0" collapsed="false">
      <c r="A136" s="2" t="s">
        <v>102</v>
      </c>
      <c r="B136" s="2" t="s">
        <v>24</v>
      </c>
      <c r="C136" s="2" t="s">
        <v>8</v>
      </c>
      <c r="D136" s="3" t="n">
        <v>20000</v>
      </c>
      <c r="E136" s="3" t="n">
        <v>0</v>
      </c>
      <c r="F136" s="3" t="n">
        <v>3.92</v>
      </c>
    </row>
    <row r="137" customFormat="false" ht="12.75" hidden="false" customHeight="false" outlineLevel="0" collapsed="false">
      <c r="A137" s="2" t="s">
        <v>102</v>
      </c>
      <c r="B137" s="2" t="s">
        <v>105</v>
      </c>
      <c r="C137" s="2" t="s">
        <v>8</v>
      </c>
      <c r="D137" s="3" t="n">
        <v>0</v>
      </c>
      <c r="E137" s="3" t="n">
        <v>10000</v>
      </c>
      <c r="F137" s="3" t="n">
        <v>3.925</v>
      </c>
    </row>
    <row r="138" customFormat="false" ht="12.75" hidden="false" customHeight="false" outlineLevel="0" collapsed="false">
      <c r="A138" s="2" t="s">
        <v>106</v>
      </c>
      <c r="B138" s="2" t="s">
        <v>37</v>
      </c>
      <c r="C138" s="2" t="s">
        <v>65</v>
      </c>
      <c r="D138" s="3" t="n">
        <v>2500</v>
      </c>
      <c r="E138" s="3" t="n">
        <v>0</v>
      </c>
      <c r="F138" s="3" t="n">
        <v>4.06</v>
      </c>
    </row>
    <row r="139" customFormat="false" ht="12.75" hidden="false" customHeight="false" outlineLevel="0" collapsed="false">
      <c r="A139" s="2" t="s">
        <v>106</v>
      </c>
      <c r="B139" s="2" t="s">
        <v>98</v>
      </c>
      <c r="C139" s="2" t="s">
        <v>8</v>
      </c>
      <c r="D139" s="3" t="n">
        <v>0</v>
      </c>
      <c r="E139" s="3" t="n">
        <v>20000</v>
      </c>
      <c r="F139" s="3" t="n">
        <v>3.92</v>
      </c>
    </row>
    <row r="140" customFormat="false" ht="12.75" hidden="false" customHeight="false" outlineLevel="0" collapsed="false">
      <c r="A140" s="2" t="s">
        <v>106</v>
      </c>
      <c r="B140" s="2" t="s">
        <v>104</v>
      </c>
      <c r="C140" s="2" t="s">
        <v>8</v>
      </c>
      <c r="D140" s="3" t="n">
        <v>20000</v>
      </c>
      <c r="E140" s="3" t="n">
        <v>0</v>
      </c>
      <c r="F140" s="3" t="n">
        <v>3.92</v>
      </c>
    </row>
    <row r="141" customFormat="false" ht="12.75" hidden="false" customHeight="false" outlineLevel="0" collapsed="false">
      <c r="A141" s="2" t="s">
        <v>106</v>
      </c>
      <c r="B141" s="2" t="s">
        <v>72</v>
      </c>
      <c r="C141" s="2" t="s">
        <v>8</v>
      </c>
      <c r="D141" s="3" t="n">
        <v>2500</v>
      </c>
      <c r="E141" s="3" t="n">
        <v>0</v>
      </c>
      <c r="F141" s="3" t="n">
        <v>3.915</v>
      </c>
    </row>
    <row r="142" customFormat="false" ht="12.75" hidden="false" customHeight="false" outlineLevel="0" collapsed="false">
      <c r="A142" s="2" t="s">
        <v>106</v>
      </c>
      <c r="B142" s="2" t="s">
        <v>72</v>
      </c>
      <c r="C142" s="2" t="s">
        <v>8</v>
      </c>
      <c r="D142" s="3" t="n">
        <v>0</v>
      </c>
      <c r="E142" s="3" t="n">
        <v>5000</v>
      </c>
      <c r="F142" s="3" t="n">
        <v>3.925</v>
      </c>
    </row>
    <row r="143" customFormat="false" ht="12.75" hidden="false" customHeight="false" outlineLevel="0" collapsed="false">
      <c r="A143" s="2" t="s">
        <v>106</v>
      </c>
      <c r="B143" s="2" t="s">
        <v>24</v>
      </c>
      <c r="C143" s="2" t="s">
        <v>8</v>
      </c>
      <c r="D143" s="3" t="n">
        <v>10000</v>
      </c>
      <c r="E143" s="3" t="n">
        <v>0</v>
      </c>
      <c r="F143" s="3" t="n">
        <v>3.915</v>
      </c>
    </row>
    <row r="144" customFormat="false" ht="12.75" hidden="false" customHeight="false" outlineLevel="0" collapsed="false">
      <c r="A144" s="2" t="s">
        <v>106</v>
      </c>
      <c r="B144" s="2" t="s">
        <v>107</v>
      </c>
      <c r="C144" s="2" t="s">
        <v>8</v>
      </c>
      <c r="D144" s="3" t="n">
        <v>5000</v>
      </c>
      <c r="E144" s="3" t="n">
        <v>0</v>
      </c>
      <c r="F144" s="3" t="n">
        <v>3.915</v>
      </c>
    </row>
    <row r="145" customFormat="false" ht="12.75" hidden="false" customHeight="false" outlineLevel="0" collapsed="false">
      <c r="A145" s="2" t="s">
        <v>108</v>
      </c>
      <c r="B145" s="2" t="s">
        <v>100</v>
      </c>
      <c r="C145" s="2" t="s">
        <v>65</v>
      </c>
      <c r="D145" s="3" t="n">
        <v>0</v>
      </c>
      <c r="E145" s="3" t="n">
        <v>20000</v>
      </c>
      <c r="F145" s="3" t="n">
        <v>4.07</v>
      </c>
    </row>
    <row r="146" customFormat="false" ht="12.75" hidden="false" customHeight="false" outlineLevel="0" collapsed="false">
      <c r="A146" s="2" t="s">
        <v>108</v>
      </c>
      <c r="B146" s="2" t="s">
        <v>88</v>
      </c>
      <c r="C146" s="2" t="s">
        <v>8</v>
      </c>
      <c r="D146" s="3" t="n">
        <v>20000</v>
      </c>
      <c r="E146" s="3" t="n">
        <v>0</v>
      </c>
      <c r="F146" s="3" t="n">
        <v>3.92</v>
      </c>
    </row>
    <row r="147" customFormat="false" ht="12.75" hidden="false" customHeight="false" outlineLevel="0" collapsed="false">
      <c r="A147" s="2" t="s">
        <v>108</v>
      </c>
      <c r="B147" s="2" t="s">
        <v>39</v>
      </c>
      <c r="C147" s="2" t="s">
        <v>8</v>
      </c>
      <c r="D147" s="3" t="n">
        <v>2500</v>
      </c>
      <c r="E147" s="3" t="n">
        <v>0</v>
      </c>
      <c r="F147" s="3" t="n">
        <v>3.92</v>
      </c>
    </row>
    <row r="148" customFormat="false" ht="12.75" hidden="false" customHeight="false" outlineLevel="0" collapsed="false">
      <c r="A148" s="2" t="s">
        <v>108</v>
      </c>
      <c r="B148" s="2" t="s">
        <v>109</v>
      </c>
      <c r="C148" s="2" t="s">
        <v>8</v>
      </c>
      <c r="D148" s="3" t="n">
        <v>0</v>
      </c>
      <c r="E148" s="3" t="n">
        <v>20000</v>
      </c>
      <c r="F148" s="3" t="n">
        <v>3.925</v>
      </c>
    </row>
    <row r="149" customFormat="false" ht="12.75" hidden="false" customHeight="false" outlineLevel="0" collapsed="false">
      <c r="A149" s="2" t="s">
        <v>108</v>
      </c>
      <c r="B149" s="2" t="s">
        <v>24</v>
      </c>
      <c r="C149" s="2" t="s">
        <v>8</v>
      </c>
      <c r="D149" s="3" t="n">
        <v>0</v>
      </c>
      <c r="E149" s="3" t="n">
        <v>15000</v>
      </c>
      <c r="F149" s="3" t="n">
        <v>3.925</v>
      </c>
    </row>
    <row r="150" customFormat="false" ht="12.75" hidden="false" customHeight="false" outlineLevel="0" collapsed="false">
      <c r="A150" s="2" t="s">
        <v>108</v>
      </c>
      <c r="B150" s="2" t="s">
        <v>12</v>
      </c>
      <c r="C150" s="2" t="s">
        <v>32</v>
      </c>
      <c r="D150" s="3" t="n">
        <v>20000</v>
      </c>
      <c r="E150" s="3" t="n">
        <v>0</v>
      </c>
      <c r="F150" s="3" t="n">
        <v>4.0175</v>
      </c>
    </row>
    <row r="151" customFormat="false" ht="12.75" hidden="false" customHeight="false" outlineLevel="0" collapsed="false">
      <c r="A151" s="2" t="s">
        <v>110</v>
      </c>
      <c r="B151" s="2" t="s">
        <v>90</v>
      </c>
      <c r="C151" s="2" t="s">
        <v>8</v>
      </c>
      <c r="D151" s="3" t="n">
        <v>5000</v>
      </c>
      <c r="E151" s="3" t="n">
        <v>0</v>
      </c>
      <c r="F151" s="3" t="n">
        <v>3.92</v>
      </c>
    </row>
    <row r="152" customFormat="false" ht="12.75" hidden="false" customHeight="false" outlineLevel="0" collapsed="false">
      <c r="A152" s="2" t="s">
        <v>110</v>
      </c>
      <c r="B152" s="2" t="s">
        <v>104</v>
      </c>
      <c r="C152" s="2" t="s">
        <v>18</v>
      </c>
      <c r="D152" s="3" t="n">
        <v>0</v>
      </c>
      <c r="E152" s="3" t="n">
        <v>5000</v>
      </c>
      <c r="F152" s="3" t="n">
        <v>4.07</v>
      </c>
    </row>
    <row r="153" customFormat="false" ht="12.75" hidden="false" customHeight="false" outlineLevel="0" collapsed="false">
      <c r="A153" s="2" t="s">
        <v>110</v>
      </c>
      <c r="B153" s="2" t="s">
        <v>12</v>
      </c>
      <c r="C153" s="2" t="s">
        <v>32</v>
      </c>
      <c r="D153" s="3" t="n">
        <v>12500</v>
      </c>
      <c r="E153" s="3" t="n">
        <v>0</v>
      </c>
      <c r="F153" s="3" t="n">
        <v>4.0175</v>
      </c>
    </row>
    <row r="154" customFormat="false" ht="12.75" hidden="false" customHeight="false" outlineLevel="0" collapsed="false">
      <c r="A154" s="2" t="s">
        <v>111</v>
      </c>
      <c r="B154" s="2" t="s">
        <v>15</v>
      </c>
      <c r="C154" s="2" t="s">
        <v>13</v>
      </c>
      <c r="D154" s="3" t="n">
        <v>2500</v>
      </c>
      <c r="E154" s="3" t="n">
        <v>0</v>
      </c>
      <c r="F154" s="3" t="n">
        <v>4.02</v>
      </c>
    </row>
    <row r="155" customFormat="false" ht="12.75" hidden="false" customHeight="false" outlineLevel="0" collapsed="false">
      <c r="A155" s="2" t="s">
        <v>111</v>
      </c>
      <c r="B155" s="2" t="s">
        <v>72</v>
      </c>
      <c r="C155" s="2" t="s">
        <v>32</v>
      </c>
      <c r="D155" s="3" t="n">
        <v>0</v>
      </c>
      <c r="E155" s="3" t="n">
        <v>17500</v>
      </c>
      <c r="F155" s="3" t="n">
        <v>4.0225</v>
      </c>
    </row>
    <row r="156" customFormat="false" ht="12.75" hidden="false" customHeight="false" outlineLevel="0" collapsed="false">
      <c r="A156" s="2" t="s">
        <v>111</v>
      </c>
      <c r="B156" s="2" t="s">
        <v>72</v>
      </c>
      <c r="C156" s="2" t="s">
        <v>32</v>
      </c>
      <c r="D156" s="3" t="n">
        <v>0</v>
      </c>
      <c r="E156" s="3" t="n">
        <v>17500</v>
      </c>
      <c r="F156" s="3" t="n">
        <v>4.0225</v>
      </c>
    </row>
    <row r="157" customFormat="false" ht="12.75" hidden="false" customHeight="false" outlineLevel="0" collapsed="false">
      <c r="A157" s="2" t="s">
        <v>112</v>
      </c>
      <c r="B157" s="2" t="s">
        <v>113</v>
      </c>
      <c r="C157" s="2" t="s">
        <v>8</v>
      </c>
      <c r="D157" s="3" t="n">
        <v>0</v>
      </c>
      <c r="E157" s="3" t="n">
        <v>10000</v>
      </c>
      <c r="F157" s="3" t="n">
        <v>3.93</v>
      </c>
    </row>
    <row r="158" customFormat="false" ht="12.75" hidden="false" customHeight="false" outlineLevel="0" collapsed="false">
      <c r="A158" s="2" t="s">
        <v>112</v>
      </c>
      <c r="B158" s="2" t="s">
        <v>114</v>
      </c>
      <c r="C158" s="2" t="s">
        <v>8</v>
      </c>
      <c r="D158" s="3" t="n">
        <v>0</v>
      </c>
      <c r="E158" s="3" t="n">
        <v>10000</v>
      </c>
      <c r="F158" s="3" t="n">
        <v>3.93</v>
      </c>
    </row>
    <row r="159" customFormat="false" ht="12.75" hidden="false" customHeight="false" outlineLevel="0" collapsed="false">
      <c r="A159" s="2" t="s">
        <v>115</v>
      </c>
      <c r="B159" s="2" t="s">
        <v>104</v>
      </c>
      <c r="C159" s="2" t="s">
        <v>8</v>
      </c>
      <c r="D159" s="3" t="n">
        <v>20000</v>
      </c>
      <c r="E159" s="3" t="n">
        <v>0</v>
      </c>
      <c r="F159" s="3" t="n">
        <v>3.925</v>
      </c>
    </row>
    <row r="160" customFormat="false" ht="12.75" hidden="false" customHeight="false" outlineLevel="0" collapsed="false">
      <c r="A160" s="2" t="s">
        <v>115</v>
      </c>
      <c r="B160" s="2" t="s">
        <v>116</v>
      </c>
      <c r="C160" s="2" t="s">
        <v>8</v>
      </c>
      <c r="D160" s="3" t="n">
        <v>0</v>
      </c>
      <c r="E160" s="3" t="n">
        <v>10000</v>
      </c>
      <c r="F160" s="3" t="n">
        <v>3.93</v>
      </c>
    </row>
    <row r="161" customFormat="false" ht="12.75" hidden="false" customHeight="false" outlineLevel="0" collapsed="false">
      <c r="A161" s="2" t="s">
        <v>117</v>
      </c>
      <c r="B161" s="2" t="s">
        <v>20</v>
      </c>
      <c r="C161" s="2" t="s">
        <v>8</v>
      </c>
      <c r="D161" s="3" t="n">
        <v>0</v>
      </c>
      <c r="E161" s="3" t="n">
        <v>10000</v>
      </c>
      <c r="F161" s="3" t="n">
        <v>3.925</v>
      </c>
    </row>
    <row r="162" customFormat="false" ht="12.75" hidden="false" customHeight="false" outlineLevel="0" collapsed="false">
      <c r="A162" s="2" t="s">
        <v>117</v>
      </c>
      <c r="B162" s="2" t="s">
        <v>85</v>
      </c>
      <c r="C162" s="2" t="s">
        <v>8</v>
      </c>
      <c r="D162" s="3" t="n">
        <v>0</v>
      </c>
      <c r="E162" s="3" t="n">
        <v>10000</v>
      </c>
      <c r="F162" s="3" t="n">
        <v>3.93</v>
      </c>
    </row>
    <row r="163" customFormat="false" ht="12.75" hidden="false" customHeight="false" outlineLevel="0" collapsed="false">
      <c r="A163" s="2" t="s">
        <v>117</v>
      </c>
      <c r="B163" s="2" t="s">
        <v>118</v>
      </c>
      <c r="C163" s="2" t="s">
        <v>8</v>
      </c>
      <c r="D163" s="3" t="n">
        <v>20000</v>
      </c>
      <c r="E163" s="3" t="n">
        <v>0</v>
      </c>
      <c r="F163" s="3" t="n">
        <v>3.92</v>
      </c>
    </row>
    <row r="164" customFormat="false" ht="12.75" hidden="false" customHeight="false" outlineLevel="0" collapsed="false">
      <c r="A164" s="2" t="s">
        <v>117</v>
      </c>
      <c r="B164" s="2" t="s">
        <v>12</v>
      </c>
      <c r="C164" s="2" t="s">
        <v>65</v>
      </c>
      <c r="D164" s="3" t="n">
        <v>20000</v>
      </c>
      <c r="E164" s="3" t="n">
        <v>0</v>
      </c>
      <c r="F164" s="3" t="n">
        <v>4.07</v>
      </c>
    </row>
    <row r="165" customFormat="false" ht="12.75" hidden="false" customHeight="false" outlineLevel="0" collapsed="false">
      <c r="A165" s="2" t="s">
        <v>119</v>
      </c>
      <c r="B165" s="2" t="s">
        <v>98</v>
      </c>
      <c r="C165" s="2" t="s">
        <v>8</v>
      </c>
      <c r="D165" s="3" t="n">
        <v>0</v>
      </c>
      <c r="E165" s="3" t="n">
        <v>20000</v>
      </c>
      <c r="F165" s="3" t="n">
        <v>3.925</v>
      </c>
    </row>
    <row r="166" customFormat="false" ht="12.75" hidden="false" customHeight="false" outlineLevel="0" collapsed="false">
      <c r="A166" s="2" t="s">
        <v>119</v>
      </c>
      <c r="B166" s="2" t="s">
        <v>118</v>
      </c>
      <c r="C166" s="2" t="s">
        <v>32</v>
      </c>
      <c r="D166" s="3" t="n">
        <v>20000</v>
      </c>
      <c r="E166" s="3" t="n">
        <v>0</v>
      </c>
      <c r="F166" s="3" t="n">
        <v>4.0125</v>
      </c>
    </row>
    <row r="167" customFormat="false" ht="12.75" hidden="false" customHeight="false" outlineLevel="0" collapsed="false">
      <c r="A167" s="2" t="s">
        <v>119</v>
      </c>
      <c r="B167" s="2" t="s">
        <v>118</v>
      </c>
      <c r="C167" s="2" t="s">
        <v>65</v>
      </c>
      <c r="D167" s="3" t="n">
        <v>20000</v>
      </c>
      <c r="E167" s="3" t="n">
        <v>0</v>
      </c>
      <c r="F167" s="3" t="n">
        <v>4.055</v>
      </c>
    </row>
    <row r="168" customFormat="false" ht="12.75" hidden="false" customHeight="false" outlineLevel="0" collapsed="false">
      <c r="A168" s="2" t="s">
        <v>119</v>
      </c>
      <c r="B168" s="2" t="s">
        <v>39</v>
      </c>
      <c r="C168" s="2" t="s">
        <v>65</v>
      </c>
      <c r="D168" s="3" t="n">
        <v>0</v>
      </c>
      <c r="E168" s="3" t="n">
        <v>20000</v>
      </c>
      <c r="F168" s="3" t="n">
        <v>4.065</v>
      </c>
    </row>
    <row r="169" customFormat="false" ht="12.75" hidden="false" customHeight="false" outlineLevel="0" collapsed="false">
      <c r="A169" s="2" t="s">
        <v>119</v>
      </c>
      <c r="B169" s="2" t="s">
        <v>41</v>
      </c>
      <c r="C169" s="2" t="s">
        <v>32</v>
      </c>
      <c r="D169" s="3" t="n">
        <v>0</v>
      </c>
      <c r="E169" s="3" t="n">
        <v>10000</v>
      </c>
      <c r="F169" s="3" t="n">
        <v>4.0125</v>
      </c>
    </row>
    <row r="170" customFormat="false" ht="12.75" hidden="false" customHeight="false" outlineLevel="0" collapsed="false">
      <c r="A170" s="2" t="s">
        <v>119</v>
      </c>
      <c r="B170" s="2" t="s">
        <v>24</v>
      </c>
      <c r="C170" s="2" t="s">
        <v>8</v>
      </c>
      <c r="D170" s="3" t="n">
        <v>20000</v>
      </c>
      <c r="E170" s="3" t="n">
        <v>0</v>
      </c>
      <c r="F170" s="3" t="n">
        <v>3.92</v>
      </c>
    </row>
    <row r="171" customFormat="false" ht="12.75" hidden="false" customHeight="false" outlineLevel="0" collapsed="false">
      <c r="A171" s="2" t="s">
        <v>120</v>
      </c>
      <c r="B171" s="2" t="s">
        <v>20</v>
      </c>
      <c r="C171" s="2" t="s">
        <v>8</v>
      </c>
      <c r="D171" s="3" t="n">
        <v>0</v>
      </c>
      <c r="E171" s="3" t="n">
        <v>5000</v>
      </c>
      <c r="F171" s="3" t="n">
        <v>3.92</v>
      </c>
    </row>
    <row r="172" customFormat="false" ht="12.75" hidden="false" customHeight="false" outlineLevel="0" collapsed="false">
      <c r="A172" s="2" t="s">
        <v>120</v>
      </c>
      <c r="B172" s="2" t="s">
        <v>20</v>
      </c>
      <c r="C172" s="2" t="s">
        <v>8</v>
      </c>
      <c r="D172" s="3" t="n">
        <v>0</v>
      </c>
      <c r="E172" s="3" t="n">
        <v>15000</v>
      </c>
      <c r="F172" s="3" t="n">
        <v>3.92</v>
      </c>
    </row>
    <row r="173" customFormat="false" ht="12.75" hidden="false" customHeight="false" outlineLevel="0" collapsed="false">
      <c r="A173" s="2" t="s">
        <v>120</v>
      </c>
      <c r="B173" s="2" t="s">
        <v>98</v>
      </c>
      <c r="C173" s="2" t="s">
        <v>8</v>
      </c>
      <c r="D173" s="3" t="n">
        <v>0</v>
      </c>
      <c r="E173" s="3" t="n">
        <v>20000</v>
      </c>
      <c r="F173" s="3" t="n">
        <v>3.92</v>
      </c>
    </row>
    <row r="174" customFormat="false" ht="12.75" hidden="false" customHeight="false" outlineLevel="0" collapsed="false">
      <c r="A174" s="2" t="s">
        <v>120</v>
      </c>
      <c r="B174" s="2" t="s">
        <v>89</v>
      </c>
      <c r="C174" s="2" t="s">
        <v>8</v>
      </c>
      <c r="D174" s="3" t="n">
        <v>20000</v>
      </c>
      <c r="E174" s="3" t="n">
        <v>0</v>
      </c>
      <c r="F174" s="3" t="n">
        <v>3.915</v>
      </c>
    </row>
    <row r="175" customFormat="false" ht="12.75" hidden="false" customHeight="false" outlineLevel="0" collapsed="false">
      <c r="A175" s="2" t="s">
        <v>120</v>
      </c>
      <c r="B175" s="2" t="s">
        <v>12</v>
      </c>
      <c r="C175" s="2" t="s">
        <v>32</v>
      </c>
      <c r="D175" s="3" t="n">
        <v>20000</v>
      </c>
      <c r="E175" s="3" t="n">
        <v>0</v>
      </c>
      <c r="F175" s="3" t="n">
        <v>4.0125</v>
      </c>
    </row>
    <row r="176" customFormat="false" ht="12.75" hidden="false" customHeight="false" outlineLevel="0" collapsed="false">
      <c r="A176" s="2" t="s">
        <v>121</v>
      </c>
      <c r="B176" s="2" t="s">
        <v>68</v>
      </c>
      <c r="C176" s="2" t="s">
        <v>13</v>
      </c>
      <c r="D176" s="3" t="n">
        <v>2500</v>
      </c>
      <c r="E176" s="3" t="n">
        <v>0</v>
      </c>
      <c r="F176" s="3" t="n">
        <v>4.02</v>
      </c>
    </row>
    <row r="177" customFormat="false" ht="12.75" hidden="false" customHeight="false" outlineLevel="0" collapsed="false">
      <c r="A177" s="2" t="s">
        <v>121</v>
      </c>
      <c r="B177" s="2" t="s">
        <v>12</v>
      </c>
      <c r="C177" s="2" t="s">
        <v>65</v>
      </c>
      <c r="D177" s="3" t="n">
        <v>20000</v>
      </c>
      <c r="E177" s="3" t="n">
        <v>0</v>
      </c>
      <c r="F177" s="3" t="n">
        <v>4.06</v>
      </c>
    </row>
    <row r="178" customFormat="false" ht="12.75" hidden="false" customHeight="false" outlineLevel="0" collapsed="false">
      <c r="A178" s="2" t="s">
        <v>122</v>
      </c>
      <c r="B178" s="2" t="s">
        <v>72</v>
      </c>
      <c r="C178" s="2" t="s">
        <v>32</v>
      </c>
      <c r="D178" s="3" t="n">
        <v>0</v>
      </c>
      <c r="E178" s="3" t="n">
        <v>7500</v>
      </c>
      <c r="F178" s="3" t="n">
        <v>4.0225</v>
      </c>
    </row>
    <row r="179" customFormat="false" ht="12.75" hidden="false" customHeight="false" outlineLevel="0" collapsed="false">
      <c r="A179" s="2" t="s">
        <v>122</v>
      </c>
      <c r="B179" s="2" t="s">
        <v>72</v>
      </c>
      <c r="C179" s="2" t="s">
        <v>32</v>
      </c>
      <c r="D179" s="3" t="n">
        <v>0</v>
      </c>
      <c r="E179" s="3" t="n">
        <v>5000</v>
      </c>
      <c r="F179" s="3" t="n">
        <v>4.0225</v>
      </c>
    </row>
    <row r="180" customFormat="false" ht="12.75" hidden="false" customHeight="false" outlineLevel="0" collapsed="false">
      <c r="A180" s="2" t="s">
        <v>122</v>
      </c>
      <c r="B180" s="2" t="s">
        <v>72</v>
      </c>
      <c r="C180" s="2" t="s">
        <v>32</v>
      </c>
      <c r="D180" s="3" t="n">
        <v>0</v>
      </c>
      <c r="E180" s="3" t="n">
        <v>7500</v>
      </c>
      <c r="F180" s="3" t="n">
        <v>4.0225</v>
      </c>
    </row>
    <row r="181" customFormat="false" ht="12.75" hidden="false" customHeight="false" outlineLevel="0" collapsed="false">
      <c r="A181" s="2" t="s">
        <v>122</v>
      </c>
      <c r="B181" s="2" t="s">
        <v>12</v>
      </c>
      <c r="C181" s="2" t="s">
        <v>65</v>
      </c>
      <c r="D181" s="3" t="n">
        <v>20000</v>
      </c>
      <c r="E181" s="3" t="n">
        <v>0</v>
      </c>
      <c r="F181" s="3" t="n">
        <v>4.065</v>
      </c>
    </row>
    <row r="182" customFormat="false" ht="12.75" hidden="false" customHeight="false" outlineLevel="0" collapsed="false">
      <c r="A182" s="2" t="s">
        <v>123</v>
      </c>
      <c r="B182" s="2" t="s">
        <v>85</v>
      </c>
      <c r="C182" s="2" t="s">
        <v>32</v>
      </c>
      <c r="D182" s="3" t="n">
        <v>0</v>
      </c>
      <c r="E182" s="3" t="n">
        <v>15000</v>
      </c>
      <c r="F182" s="3" t="n">
        <v>4.0225</v>
      </c>
    </row>
    <row r="183" customFormat="false" ht="12.75" hidden="false" customHeight="false" outlineLevel="0" collapsed="false">
      <c r="A183" s="2" t="s">
        <v>123</v>
      </c>
      <c r="B183" s="2" t="s">
        <v>72</v>
      </c>
      <c r="C183" s="2" t="s">
        <v>32</v>
      </c>
      <c r="D183" s="3" t="n">
        <v>0</v>
      </c>
      <c r="E183" s="3" t="n">
        <v>5000</v>
      </c>
      <c r="F183" s="3" t="n">
        <v>4.0225</v>
      </c>
    </row>
    <row r="184" customFormat="false" ht="12.75" hidden="false" customHeight="false" outlineLevel="0" collapsed="false">
      <c r="A184" s="2" t="s">
        <v>124</v>
      </c>
      <c r="B184" s="2" t="s">
        <v>15</v>
      </c>
      <c r="C184" s="2" t="s">
        <v>8</v>
      </c>
      <c r="D184" s="3" t="n">
        <v>20000</v>
      </c>
      <c r="E184" s="3" t="n">
        <v>0</v>
      </c>
      <c r="F184" s="3" t="n">
        <v>3.92</v>
      </c>
    </row>
    <row r="185" customFormat="false" ht="12.75" hidden="false" customHeight="false" outlineLevel="0" collapsed="false">
      <c r="A185" s="2" t="s">
        <v>124</v>
      </c>
      <c r="B185" s="2" t="s">
        <v>41</v>
      </c>
      <c r="C185" s="2" t="s">
        <v>32</v>
      </c>
      <c r="D185" s="3" t="n">
        <v>0</v>
      </c>
      <c r="E185" s="3" t="n">
        <v>20000</v>
      </c>
      <c r="F185" s="3" t="n">
        <v>4.0225</v>
      </c>
    </row>
    <row r="186" customFormat="false" ht="12.75" hidden="false" customHeight="false" outlineLevel="0" collapsed="false">
      <c r="A186" s="2" t="s">
        <v>125</v>
      </c>
      <c r="B186" s="2" t="s">
        <v>7</v>
      </c>
      <c r="C186" s="2" t="s">
        <v>8</v>
      </c>
      <c r="D186" s="3" t="n">
        <v>0</v>
      </c>
      <c r="E186" s="3" t="n">
        <v>10000</v>
      </c>
      <c r="F186" s="3" t="n">
        <v>3.93</v>
      </c>
    </row>
    <row r="187" customFormat="false" ht="12.75" hidden="false" customHeight="false" outlineLevel="0" collapsed="false">
      <c r="A187" s="2" t="s">
        <v>125</v>
      </c>
      <c r="B187" s="2" t="s">
        <v>24</v>
      </c>
      <c r="C187" s="2" t="s">
        <v>65</v>
      </c>
      <c r="D187" s="3" t="n">
        <v>0</v>
      </c>
      <c r="E187" s="3" t="n">
        <v>5000</v>
      </c>
      <c r="F187" s="3" t="n">
        <v>4.0775</v>
      </c>
    </row>
    <row r="188" customFormat="false" ht="12.75" hidden="false" customHeight="false" outlineLevel="0" collapsed="false">
      <c r="A188" s="2" t="s">
        <v>125</v>
      </c>
      <c r="B188" s="2" t="s">
        <v>126</v>
      </c>
      <c r="C188" s="2" t="s">
        <v>8</v>
      </c>
      <c r="D188" s="3" t="n">
        <v>5000</v>
      </c>
      <c r="E188" s="3" t="n">
        <v>0</v>
      </c>
      <c r="F188" s="3" t="n">
        <v>3.92</v>
      </c>
    </row>
    <row r="189" customFormat="false" ht="12.75" hidden="false" customHeight="false" outlineLevel="0" collapsed="false">
      <c r="A189" s="2" t="s">
        <v>127</v>
      </c>
      <c r="B189" s="2" t="s">
        <v>88</v>
      </c>
      <c r="C189" s="2" t="s">
        <v>8</v>
      </c>
      <c r="D189" s="3" t="n">
        <v>15000</v>
      </c>
      <c r="E189" s="3" t="n">
        <v>0</v>
      </c>
      <c r="F189" s="3" t="n">
        <v>3.925</v>
      </c>
    </row>
    <row r="190" customFormat="false" ht="12.75" hidden="false" customHeight="false" outlineLevel="0" collapsed="false">
      <c r="A190" s="2" t="s">
        <v>127</v>
      </c>
      <c r="B190" s="2" t="s">
        <v>83</v>
      </c>
      <c r="C190" s="2" t="s">
        <v>32</v>
      </c>
      <c r="D190" s="3" t="n">
        <v>0</v>
      </c>
      <c r="E190" s="3" t="n">
        <v>5000</v>
      </c>
      <c r="F190" s="3" t="n">
        <v>4.03</v>
      </c>
    </row>
    <row r="191" customFormat="false" ht="12.75" hidden="false" customHeight="false" outlineLevel="0" collapsed="false">
      <c r="A191" s="2" t="s">
        <v>128</v>
      </c>
      <c r="B191" s="2" t="s">
        <v>104</v>
      </c>
      <c r="C191" s="2" t="s">
        <v>8</v>
      </c>
      <c r="D191" s="3" t="n">
        <v>20000</v>
      </c>
      <c r="E191" s="3" t="n">
        <v>0</v>
      </c>
      <c r="F191" s="3" t="n">
        <v>3.92</v>
      </c>
    </row>
    <row r="192" customFormat="false" ht="12.75" hidden="false" customHeight="false" outlineLevel="0" collapsed="false">
      <c r="A192" s="2" t="s">
        <v>129</v>
      </c>
      <c r="B192" s="2" t="s">
        <v>88</v>
      </c>
      <c r="C192" s="2" t="s">
        <v>8</v>
      </c>
      <c r="D192" s="3" t="n">
        <v>20000</v>
      </c>
      <c r="E192" s="3" t="n">
        <v>0</v>
      </c>
      <c r="F192" s="3" t="n">
        <v>3.92</v>
      </c>
    </row>
    <row r="193" customFormat="false" ht="12.75" hidden="false" customHeight="false" outlineLevel="0" collapsed="false">
      <c r="A193" s="2" t="s">
        <v>129</v>
      </c>
      <c r="B193" s="2" t="s">
        <v>93</v>
      </c>
      <c r="C193" s="2" t="s">
        <v>8</v>
      </c>
      <c r="D193" s="3" t="n">
        <v>0</v>
      </c>
      <c r="E193" s="3" t="n">
        <v>20000</v>
      </c>
      <c r="F193" s="3" t="n">
        <v>3.925</v>
      </c>
    </row>
    <row r="194" customFormat="false" ht="12.75" hidden="false" customHeight="false" outlineLevel="0" collapsed="false">
      <c r="A194" s="2" t="s">
        <v>130</v>
      </c>
      <c r="B194" s="2" t="s">
        <v>86</v>
      </c>
      <c r="C194" s="2" t="s">
        <v>22</v>
      </c>
      <c r="D194" s="3" t="n">
        <v>0</v>
      </c>
      <c r="E194" s="3" t="n">
        <v>5000</v>
      </c>
      <c r="F194" s="3" t="n">
        <v>4.43</v>
      </c>
    </row>
    <row r="195" customFormat="false" ht="12.75" hidden="false" customHeight="false" outlineLevel="0" collapsed="false">
      <c r="A195" s="2" t="s">
        <v>130</v>
      </c>
      <c r="B195" s="2" t="s">
        <v>7</v>
      </c>
      <c r="C195" s="2" t="s">
        <v>8</v>
      </c>
      <c r="D195" s="3" t="n">
        <v>0</v>
      </c>
      <c r="E195" s="3" t="n">
        <v>10000</v>
      </c>
      <c r="F195" s="3" t="n">
        <v>3.925</v>
      </c>
    </row>
    <row r="196" customFormat="false" ht="12.75" hidden="false" customHeight="false" outlineLevel="0" collapsed="false">
      <c r="A196" s="2" t="s">
        <v>130</v>
      </c>
      <c r="B196" s="2" t="s">
        <v>24</v>
      </c>
      <c r="C196" s="2" t="s">
        <v>8</v>
      </c>
      <c r="D196" s="3" t="n">
        <v>0</v>
      </c>
      <c r="E196" s="3" t="n">
        <v>10000</v>
      </c>
      <c r="F196" s="3" t="n">
        <v>3.925</v>
      </c>
    </row>
    <row r="197" customFormat="false" ht="12.75" hidden="false" customHeight="false" outlineLevel="0" collapsed="false">
      <c r="A197" s="2" t="s">
        <v>131</v>
      </c>
      <c r="B197" s="2" t="s">
        <v>24</v>
      </c>
      <c r="C197" s="2" t="s">
        <v>22</v>
      </c>
      <c r="D197" s="3" t="n">
        <v>0</v>
      </c>
      <c r="E197" s="3" t="n">
        <v>5000</v>
      </c>
      <c r="F197" s="3" t="n">
        <v>4.435</v>
      </c>
    </row>
    <row r="198" customFormat="false" ht="12.75" hidden="false" customHeight="false" outlineLevel="0" collapsed="false">
      <c r="A198" s="2" t="s">
        <v>132</v>
      </c>
      <c r="B198" s="2" t="s">
        <v>7</v>
      </c>
      <c r="C198" s="2" t="s">
        <v>22</v>
      </c>
      <c r="D198" s="3" t="n">
        <v>0</v>
      </c>
      <c r="E198" s="3" t="n">
        <v>2500</v>
      </c>
      <c r="F198" s="3" t="n">
        <v>4.44</v>
      </c>
    </row>
    <row r="199" customFormat="false" ht="12.75" hidden="false" customHeight="false" outlineLevel="0" collapsed="false">
      <c r="A199" s="2" t="s">
        <v>133</v>
      </c>
      <c r="B199" s="2" t="s">
        <v>134</v>
      </c>
      <c r="C199" s="2" t="s">
        <v>22</v>
      </c>
      <c r="D199" s="3" t="n">
        <v>5000</v>
      </c>
      <c r="E199" s="3" t="n">
        <v>0</v>
      </c>
      <c r="F199" s="3" t="n">
        <v>4.425</v>
      </c>
    </row>
    <row r="200" customFormat="false" ht="12.75" hidden="false" customHeight="false" outlineLevel="0" collapsed="false">
      <c r="A200" s="2" t="s">
        <v>135</v>
      </c>
      <c r="B200" s="2" t="s">
        <v>64</v>
      </c>
      <c r="C200" s="2" t="s">
        <v>8</v>
      </c>
      <c r="D200" s="3" t="n">
        <v>20000</v>
      </c>
      <c r="E200" s="3" t="n">
        <v>0</v>
      </c>
      <c r="F200" s="3" t="n">
        <v>3.92</v>
      </c>
    </row>
    <row r="201" customFormat="false" ht="12.75" hidden="false" customHeight="false" outlineLevel="0" collapsed="false">
      <c r="A201" s="2" t="s">
        <v>135</v>
      </c>
      <c r="B201" s="2" t="s">
        <v>41</v>
      </c>
      <c r="C201" s="2" t="s">
        <v>32</v>
      </c>
      <c r="D201" s="3" t="n">
        <v>0</v>
      </c>
      <c r="E201" s="3" t="n">
        <v>20000</v>
      </c>
      <c r="F201" s="3" t="n">
        <v>4.025</v>
      </c>
    </row>
    <row r="202" customFormat="false" ht="12.75" hidden="false" customHeight="false" outlineLevel="0" collapsed="false">
      <c r="A202" s="2" t="s">
        <v>136</v>
      </c>
      <c r="B202" s="2" t="s">
        <v>86</v>
      </c>
      <c r="C202" s="2" t="s">
        <v>13</v>
      </c>
      <c r="D202" s="3" t="n">
        <v>0</v>
      </c>
      <c r="E202" s="3" t="n">
        <v>5000</v>
      </c>
      <c r="F202" s="3" t="n">
        <v>4.05</v>
      </c>
    </row>
    <row r="203" customFormat="false" ht="12.75" hidden="false" customHeight="false" outlineLevel="0" collapsed="false">
      <c r="A203" s="2" t="s">
        <v>136</v>
      </c>
      <c r="B203" s="2" t="s">
        <v>37</v>
      </c>
      <c r="C203" s="2" t="s">
        <v>8</v>
      </c>
      <c r="D203" s="3" t="n">
        <v>20000</v>
      </c>
      <c r="E203" s="3" t="n">
        <v>0</v>
      </c>
      <c r="F203" s="3" t="n">
        <v>3.925</v>
      </c>
    </row>
    <row r="204" customFormat="false" ht="12.75" hidden="false" customHeight="false" outlineLevel="0" collapsed="false">
      <c r="A204" s="2" t="s">
        <v>137</v>
      </c>
      <c r="B204" s="2" t="s">
        <v>17</v>
      </c>
      <c r="C204" s="2" t="s">
        <v>8</v>
      </c>
      <c r="D204" s="3" t="n">
        <v>0</v>
      </c>
      <c r="E204" s="3" t="n">
        <v>10000</v>
      </c>
      <c r="F204" s="3" t="n">
        <v>3.93</v>
      </c>
    </row>
    <row r="205" customFormat="false" ht="12.75" hidden="false" customHeight="false" outlineLevel="0" collapsed="false">
      <c r="A205" s="2" t="s">
        <v>137</v>
      </c>
      <c r="B205" s="2" t="s">
        <v>24</v>
      </c>
      <c r="C205" s="2" t="s">
        <v>8</v>
      </c>
      <c r="D205" s="3" t="n">
        <v>0</v>
      </c>
      <c r="E205" s="3" t="n">
        <v>10000</v>
      </c>
      <c r="F205" s="3" t="n">
        <v>3.93</v>
      </c>
    </row>
    <row r="206" customFormat="false" ht="12.75" hidden="false" customHeight="false" outlineLevel="0" collapsed="false">
      <c r="A206" s="2" t="s">
        <v>138</v>
      </c>
      <c r="B206" s="2" t="s">
        <v>139</v>
      </c>
      <c r="C206" s="2" t="s">
        <v>8</v>
      </c>
      <c r="D206" s="3" t="n">
        <v>10000</v>
      </c>
      <c r="E206" s="3" t="n">
        <v>0</v>
      </c>
      <c r="F206" s="3" t="n">
        <v>3.93</v>
      </c>
    </row>
    <row r="207" customFormat="false" ht="12.75" hidden="false" customHeight="false" outlineLevel="0" collapsed="false">
      <c r="A207" s="2" t="s">
        <v>138</v>
      </c>
      <c r="B207" s="2" t="s">
        <v>72</v>
      </c>
      <c r="C207" s="2" t="s">
        <v>8</v>
      </c>
      <c r="D207" s="3" t="n">
        <v>0</v>
      </c>
      <c r="E207" s="3" t="n">
        <v>15000</v>
      </c>
      <c r="F207" s="3" t="n">
        <v>3.935</v>
      </c>
    </row>
    <row r="208" customFormat="false" ht="12.75" hidden="false" customHeight="false" outlineLevel="0" collapsed="false">
      <c r="A208" s="2" t="s">
        <v>138</v>
      </c>
      <c r="B208" s="2" t="s">
        <v>17</v>
      </c>
      <c r="C208" s="2" t="s">
        <v>13</v>
      </c>
      <c r="D208" s="3" t="n">
        <v>0</v>
      </c>
      <c r="E208" s="3" t="n">
        <v>5000</v>
      </c>
      <c r="F208" s="3" t="n">
        <v>4.05</v>
      </c>
    </row>
    <row r="209" customFormat="false" ht="12.75" hidden="false" customHeight="false" outlineLevel="0" collapsed="false">
      <c r="A209" s="2" t="s">
        <v>140</v>
      </c>
      <c r="B209" s="2" t="s">
        <v>139</v>
      </c>
      <c r="C209" s="2" t="s">
        <v>8</v>
      </c>
      <c r="D209" s="3" t="n">
        <v>5000</v>
      </c>
      <c r="E209" s="3" t="n">
        <v>0</v>
      </c>
      <c r="F209" s="3" t="n">
        <v>3.93</v>
      </c>
    </row>
    <row r="210" customFormat="false" ht="12.75" hidden="false" customHeight="false" outlineLevel="0" collapsed="false">
      <c r="A210" s="2" t="s">
        <v>141</v>
      </c>
      <c r="B210" s="2" t="s">
        <v>88</v>
      </c>
      <c r="C210" s="2" t="s">
        <v>8</v>
      </c>
      <c r="D210" s="3" t="n">
        <v>20000</v>
      </c>
      <c r="E210" s="3" t="n">
        <v>0</v>
      </c>
      <c r="F210" s="3" t="n">
        <v>3.93</v>
      </c>
    </row>
    <row r="211" customFormat="false" ht="12.75" hidden="false" customHeight="false" outlineLevel="0" collapsed="false">
      <c r="A211" s="2" t="s">
        <v>142</v>
      </c>
      <c r="B211" s="2" t="s">
        <v>20</v>
      </c>
      <c r="C211" s="2" t="s">
        <v>65</v>
      </c>
      <c r="D211" s="3" t="n">
        <v>7500</v>
      </c>
      <c r="E211" s="3" t="n">
        <v>0</v>
      </c>
      <c r="F211" s="3" t="n">
        <v>4.0725</v>
      </c>
    </row>
    <row r="212" customFormat="false" ht="12.75" hidden="false" customHeight="false" outlineLevel="0" collapsed="false">
      <c r="A212" s="2" t="s">
        <v>143</v>
      </c>
      <c r="B212" s="2" t="s">
        <v>88</v>
      </c>
      <c r="C212" s="2" t="s">
        <v>8</v>
      </c>
      <c r="D212" s="3" t="n">
        <v>7500</v>
      </c>
      <c r="E212" s="3" t="n">
        <v>0</v>
      </c>
      <c r="F212" s="3" t="n">
        <v>3.93</v>
      </c>
    </row>
    <row r="213" customFormat="false" ht="12.75" hidden="false" customHeight="false" outlineLevel="0" collapsed="false">
      <c r="A213" s="2" t="s">
        <v>143</v>
      </c>
      <c r="B213" s="2" t="s">
        <v>72</v>
      </c>
      <c r="C213" s="2" t="s">
        <v>8</v>
      </c>
      <c r="D213" s="3" t="n">
        <v>5000</v>
      </c>
      <c r="E213" s="3" t="n">
        <v>0</v>
      </c>
      <c r="F213" s="3" t="n">
        <v>3.93</v>
      </c>
    </row>
    <row r="214" customFormat="false" ht="12.75" hidden="false" customHeight="false" outlineLevel="0" collapsed="false">
      <c r="A214" s="2" t="s">
        <v>143</v>
      </c>
      <c r="B214" s="2" t="s">
        <v>41</v>
      </c>
      <c r="C214" s="2" t="s">
        <v>32</v>
      </c>
      <c r="D214" s="3" t="n">
        <v>0</v>
      </c>
      <c r="E214" s="3" t="n">
        <v>20000</v>
      </c>
      <c r="F214" s="3" t="n">
        <v>4.035</v>
      </c>
    </row>
    <row r="215" customFormat="false" ht="12.75" hidden="false" customHeight="false" outlineLevel="0" collapsed="false">
      <c r="A215" s="2" t="s">
        <v>143</v>
      </c>
      <c r="B215" s="2" t="s">
        <v>41</v>
      </c>
      <c r="C215" s="2" t="s">
        <v>32</v>
      </c>
      <c r="D215" s="3" t="n">
        <v>0</v>
      </c>
      <c r="E215" s="3" t="n">
        <v>20000</v>
      </c>
      <c r="F215" s="3" t="n">
        <v>4.035</v>
      </c>
    </row>
    <row r="216" customFormat="false" ht="12.75" hidden="false" customHeight="false" outlineLevel="0" collapsed="false">
      <c r="A216" s="2" t="s">
        <v>144</v>
      </c>
      <c r="B216" s="2" t="s">
        <v>88</v>
      </c>
      <c r="C216" s="2" t="s">
        <v>8</v>
      </c>
      <c r="D216" s="3" t="n">
        <v>20000</v>
      </c>
      <c r="E216" s="3" t="n">
        <v>0</v>
      </c>
      <c r="F216" s="3" t="n">
        <v>3.93</v>
      </c>
    </row>
    <row r="217" customFormat="false" ht="12.75" hidden="false" customHeight="false" outlineLevel="0" collapsed="false">
      <c r="A217" s="2" t="s">
        <v>145</v>
      </c>
      <c r="B217" s="2" t="s">
        <v>41</v>
      </c>
      <c r="C217" s="2" t="s">
        <v>32</v>
      </c>
      <c r="D217" s="3" t="n">
        <v>0</v>
      </c>
      <c r="E217" s="3" t="n">
        <v>20000</v>
      </c>
      <c r="F217" s="3" t="n">
        <v>4.035</v>
      </c>
    </row>
    <row r="218" customFormat="false" ht="12.75" hidden="false" customHeight="false" outlineLevel="0" collapsed="false">
      <c r="A218" s="2" t="s">
        <v>146</v>
      </c>
      <c r="B218" s="2" t="s">
        <v>26</v>
      </c>
      <c r="C218" s="2" t="s">
        <v>32</v>
      </c>
      <c r="D218" s="3" t="n">
        <v>0</v>
      </c>
      <c r="E218" s="3" t="n">
        <v>10000</v>
      </c>
      <c r="F218" s="3" t="n">
        <v>4.04</v>
      </c>
    </row>
    <row r="219" customFormat="false" ht="12.75" hidden="false" customHeight="false" outlineLevel="0" collapsed="false">
      <c r="A219" s="2" t="s">
        <v>147</v>
      </c>
      <c r="B219" s="2" t="s">
        <v>24</v>
      </c>
      <c r="C219" s="2" t="s">
        <v>22</v>
      </c>
      <c r="D219" s="3" t="n">
        <v>0</v>
      </c>
      <c r="E219" s="3" t="n">
        <v>2500</v>
      </c>
      <c r="F219" s="3" t="n">
        <v>4.445</v>
      </c>
    </row>
    <row r="220" customFormat="false" ht="12.75" hidden="false" customHeight="false" outlineLevel="0" collapsed="false">
      <c r="A220" s="2" t="s">
        <v>148</v>
      </c>
      <c r="B220" s="2" t="s">
        <v>38</v>
      </c>
      <c r="C220" s="2" t="s">
        <v>8</v>
      </c>
      <c r="D220" s="3" t="n">
        <v>20000</v>
      </c>
      <c r="E220" s="3" t="n">
        <v>0</v>
      </c>
      <c r="F220" s="3" t="n">
        <v>3.935</v>
      </c>
    </row>
    <row r="221" customFormat="false" ht="12.75" hidden="false" customHeight="false" outlineLevel="0" collapsed="false">
      <c r="A221" s="2" t="s">
        <v>148</v>
      </c>
      <c r="B221" s="2" t="s">
        <v>109</v>
      </c>
      <c r="C221" s="2" t="s">
        <v>8</v>
      </c>
      <c r="D221" s="3" t="n">
        <v>20000</v>
      </c>
      <c r="E221" s="3" t="n">
        <v>0</v>
      </c>
      <c r="F221" s="3" t="n">
        <v>3.93</v>
      </c>
    </row>
    <row r="222" customFormat="false" ht="12.75" hidden="false" customHeight="false" outlineLevel="0" collapsed="false">
      <c r="A222" s="2" t="s">
        <v>148</v>
      </c>
      <c r="B222" s="2" t="s">
        <v>41</v>
      </c>
      <c r="C222" s="2" t="s">
        <v>13</v>
      </c>
      <c r="D222" s="3" t="n">
        <v>0</v>
      </c>
      <c r="E222" s="3" t="n">
        <v>5000</v>
      </c>
      <c r="F222" s="3" t="n">
        <v>4.05</v>
      </c>
    </row>
    <row r="223" customFormat="false" ht="12.75" hidden="false" customHeight="false" outlineLevel="0" collapsed="false">
      <c r="A223" s="2" t="s">
        <v>148</v>
      </c>
      <c r="B223" s="2" t="s">
        <v>149</v>
      </c>
      <c r="C223" s="2" t="s">
        <v>8</v>
      </c>
      <c r="D223" s="3" t="n">
        <v>0</v>
      </c>
      <c r="E223" s="3" t="n">
        <v>5000</v>
      </c>
      <c r="F223" s="3" t="n">
        <v>3.94</v>
      </c>
    </row>
    <row r="224" customFormat="false" ht="12.75" hidden="false" customHeight="false" outlineLevel="0" collapsed="false">
      <c r="A224" s="2" t="s">
        <v>148</v>
      </c>
      <c r="B224" s="2" t="s">
        <v>31</v>
      </c>
      <c r="C224" s="2" t="s">
        <v>18</v>
      </c>
      <c r="D224" s="3" t="n">
        <v>2500</v>
      </c>
      <c r="E224" s="3" t="n">
        <v>0</v>
      </c>
      <c r="F224" s="3" t="n">
        <v>4.075</v>
      </c>
    </row>
    <row r="225" customFormat="false" ht="12.75" hidden="false" customHeight="false" outlineLevel="0" collapsed="false">
      <c r="A225" s="2" t="s">
        <v>150</v>
      </c>
      <c r="B225" s="2" t="s">
        <v>72</v>
      </c>
      <c r="C225" s="2" t="s">
        <v>8</v>
      </c>
      <c r="D225" s="3" t="n">
        <v>0</v>
      </c>
      <c r="E225" s="3" t="n">
        <v>10000</v>
      </c>
      <c r="F225" s="3" t="n">
        <v>3.94</v>
      </c>
    </row>
    <row r="226" customFormat="false" ht="12.75" hidden="false" customHeight="false" outlineLevel="0" collapsed="false">
      <c r="A226" s="2" t="s">
        <v>150</v>
      </c>
      <c r="B226" s="2" t="s">
        <v>41</v>
      </c>
      <c r="C226" s="2" t="s">
        <v>32</v>
      </c>
      <c r="D226" s="3" t="n">
        <v>0</v>
      </c>
      <c r="E226" s="3" t="n">
        <v>15000</v>
      </c>
      <c r="F226" s="3" t="n">
        <v>4.035</v>
      </c>
    </row>
    <row r="227" customFormat="false" ht="12.75" hidden="false" customHeight="false" outlineLevel="0" collapsed="false">
      <c r="A227" s="2" t="s">
        <v>151</v>
      </c>
      <c r="B227" s="2" t="s">
        <v>72</v>
      </c>
      <c r="C227" s="2" t="s">
        <v>65</v>
      </c>
      <c r="D227" s="3" t="n">
        <v>0</v>
      </c>
      <c r="E227" s="3" t="n">
        <v>10000</v>
      </c>
      <c r="F227" s="3" t="n">
        <v>4.0875</v>
      </c>
    </row>
    <row r="228" customFormat="false" ht="12.75" hidden="false" customHeight="false" outlineLevel="0" collapsed="false">
      <c r="A228" s="2" t="s">
        <v>152</v>
      </c>
      <c r="B228" s="2" t="s">
        <v>109</v>
      </c>
      <c r="C228" s="2" t="s">
        <v>8</v>
      </c>
      <c r="D228" s="3" t="n">
        <v>10000</v>
      </c>
      <c r="E228" s="3" t="n">
        <v>0</v>
      </c>
      <c r="F228" s="3" t="n">
        <v>3.935</v>
      </c>
    </row>
    <row r="229" customFormat="false" ht="12.75" hidden="false" customHeight="false" outlineLevel="0" collapsed="false">
      <c r="A229" s="2" t="s">
        <v>153</v>
      </c>
      <c r="B229" s="2" t="s">
        <v>59</v>
      </c>
      <c r="C229" s="2" t="s">
        <v>8</v>
      </c>
      <c r="D229" s="3" t="n">
        <v>10000</v>
      </c>
      <c r="E229" s="3" t="n">
        <v>0</v>
      </c>
      <c r="F229" s="3" t="n">
        <v>3.935</v>
      </c>
    </row>
    <row r="230" customFormat="false" ht="12.75" hidden="false" customHeight="false" outlineLevel="0" collapsed="false">
      <c r="A230" s="2" t="s">
        <v>153</v>
      </c>
      <c r="B230" s="2" t="s">
        <v>17</v>
      </c>
      <c r="C230" s="2" t="s">
        <v>8</v>
      </c>
      <c r="D230" s="3" t="n">
        <v>0</v>
      </c>
      <c r="E230" s="3" t="n">
        <v>5000</v>
      </c>
      <c r="F230" s="3" t="n">
        <v>3.94</v>
      </c>
    </row>
    <row r="231" customFormat="false" ht="12.75" hidden="false" customHeight="false" outlineLevel="0" collapsed="false">
      <c r="A231" s="2" t="s">
        <v>154</v>
      </c>
      <c r="B231" s="2" t="s">
        <v>59</v>
      </c>
      <c r="C231" s="2" t="s">
        <v>8</v>
      </c>
      <c r="D231" s="3" t="n">
        <v>10000</v>
      </c>
      <c r="E231" s="3" t="n">
        <v>0</v>
      </c>
      <c r="F231" s="3" t="n">
        <v>3.93</v>
      </c>
    </row>
    <row r="232" customFormat="false" ht="12.75" hidden="false" customHeight="false" outlineLevel="0" collapsed="false">
      <c r="A232" s="2" t="s">
        <v>155</v>
      </c>
      <c r="B232" s="2" t="s">
        <v>23</v>
      </c>
      <c r="C232" s="2" t="s">
        <v>8</v>
      </c>
      <c r="D232" s="3" t="n">
        <v>5000</v>
      </c>
      <c r="E232" s="3" t="n">
        <v>0</v>
      </c>
      <c r="F232" s="3" t="n">
        <v>3.93</v>
      </c>
    </row>
    <row r="233" customFormat="false" ht="12.75" hidden="false" customHeight="false" outlineLevel="0" collapsed="false">
      <c r="A233" s="2" t="s">
        <v>156</v>
      </c>
      <c r="B233" s="2" t="s">
        <v>24</v>
      </c>
      <c r="C233" s="2" t="s">
        <v>65</v>
      </c>
      <c r="D233" s="3" t="n">
        <v>5000</v>
      </c>
      <c r="E233" s="3" t="n">
        <v>0</v>
      </c>
      <c r="F233" s="3" t="n">
        <v>4.0775</v>
      </c>
    </row>
    <row r="234" customFormat="false" ht="12.75" hidden="false" customHeight="false" outlineLevel="0" collapsed="false">
      <c r="A234" s="2" t="s">
        <v>157</v>
      </c>
      <c r="B234" s="2" t="s">
        <v>88</v>
      </c>
      <c r="C234" s="2" t="s">
        <v>8</v>
      </c>
      <c r="D234" s="3" t="n">
        <v>0</v>
      </c>
      <c r="E234" s="3" t="n">
        <v>15000</v>
      </c>
      <c r="F234" s="3" t="n">
        <v>3.935</v>
      </c>
    </row>
    <row r="235" customFormat="false" ht="12.75" hidden="false" customHeight="false" outlineLevel="0" collapsed="false">
      <c r="A235" s="2" t="s">
        <v>158</v>
      </c>
      <c r="B235" s="2" t="s">
        <v>12</v>
      </c>
      <c r="C235" s="2" t="s">
        <v>65</v>
      </c>
      <c r="D235" s="3" t="n">
        <v>10000</v>
      </c>
      <c r="E235" s="3" t="n">
        <v>0</v>
      </c>
      <c r="F235" s="3" t="n">
        <v>4.0775</v>
      </c>
    </row>
    <row r="236" customFormat="false" ht="12.75" hidden="false" customHeight="false" outlineLevel="0" collapsed="false">
      <c r="A236" s="2" t="s">
        <v>159</v>
      </c>
      <c r="B236" s="2" t="s">
        <v>160</v>
      </c>
      <c r="C236" s="2" t="s">
        <v>8</v>
      </c>
      <c r="D236" s="3" t="n">
        <v>5000</v>
      </c>
      <c r="E236" s="3" t="n">
        <v>0</v>
      </c>
      <c r="F236" s="3" t="n">
        <v>3.78</v>
      </c>
    </row>
    <row r="237" customFormat="false" ht="12.75" hidden="false" customHeight="false" outlineLevel="0" collapsed="false">
      <c r="A237" s="2" t="s">
        <v>161</v>
      </c>
      <c r="B237" s="2" t="s">
        <v>26</v>
      </c>
      <c r="C237" s="2" t="s">
        <v>8</v>
      </c>
      <c r="D237" s="3" t="n">
        <v>5000</v>
      </c>
      <c r="E237" s="3" t="n">
        <v>0</v>
      </c>
      <c r="F237" s="3" t="n">
        <v>3.78</v>
      </c>
    </row>
    <row r="238" customFormat="false" ht="12.75" hidden="false" customHeight="false" outlineLevel="0" collapsed="false">
      <c r="A238" s="2" t="s">
        <v>162</v>
      </c>
      <c r="B238" s="2" t="s">
        <v>46</v>
      </c>
      <c r="C238" s="2" t="s">
        <v>8</v>
      </c>
      <c r="D238" s="3" t="n">
        <v>0</v>
      </c>
      <c r="E238" s="3" t="n">
        <v>10000</v>
      </c>
      <c r="F238" s="3" t="n">
        <v>3.785</v>
      </c>
    </row>
    <row r="239" customFormat="false" ht="12.75" hidden="false" customHeight="false" outlineLevel="0" collapsed="false">
      <c r="A239" s="2" t="s">
        <v>163</v>
      </c>
      <c r="B239" s="2" t="s">
        <v>164</v>
      </c>
      <c r="C239" s="2" t="s">
        <v>8</v>
      </c>
      <c r="D239" s="3" t="n">
        <v>0</v>
      </c>
      <c r="E239" s="3" t="n">
        <v>10000</v>
      </c>
      <c r="F239" s="3" t="n">
        <v>3.79</v>
      </c>
    </row>
    <row r="240" customFormat="false" ht="12.75" hidden="false" customHeight="false" outlineLevel="0" collapsed="false">
      <c r="A240" s="2" t="s">
        <v>165</v>
      </c>
      <c r="B240" s="2" t="s">
        <v>43</v>
      </c>
      <c r="C240" s="2" t="s">
        <v>8</v>
      </c>
      <c r="D240" s="3" t="n">
        <v>0</v>
      </c>
      <c r="E240" s="3" t="n">
        <v>10000</v>
      </c>
      <c r="F240" s="3" t="n">
        <v>3.795</v>
      </c>
    </row>
    <row r="241" customFormat="false" ht="12.75" hidden="false" customHeight="false" outlineLevel="0" collapsed="false">
      <c r="A241" s="2" t="s">
        <v>166</v>
      </c>
      <c r="B241" s="2" t="s">
        <v>24</v>
      </c>
      <c r="C241" s="2" t="s">
        <v>8</v>
      </c>
      <c r="D241" s="3" t="n">
        <v>0</v>
      </c>
      <c r="E241" s="3" t="n">
        <v>10000</v>
      </c>
      <c r="F241" s="3" t="n">
        <v>3.8</v>
      </c>
    </row>
    <row r="242" customFormat="false" ht="12.75" hidden="false" customHeight="false" outlineLevel="0" collapsed="false">
      <c r="A242" s="2" t="s">
        <v>167</v>
      </c>
      <c r="B242" s="2" t="s">
        <v>168</v>
      </c>
      <c r="C242" s="2" t="s">
        <v>169</v>
      </c>
      <c r="D242" s="3" t="n">
        <v>0</v>
      </c>
      <c r="E242" s="3" t="n">
        <v>10000</v>
      </c>
      <c r="F242" s="3" t="n">
        <v>3.8</v>
      </c>
    </row>
    <row r="243" customFormat="false" ht="12.75" hidden="false" customHeight="false" outlineLevel="0" collapsed="false">
      <c r="A243" s="2" t="s">
        <v>167</v>
      </c>
      <c r="B243" s="2" t="s">
        <v>43</v>
      </c>
      <c r="C243" s="2" t="s">
        <v>8</v>
      </c>
      <c r="D243" s="3" t="n">
        <v>0</v>
      </c>
      <c r="E243" s="3" t="n">
        <v>10000</v>
      </c>
      <c r="F243" s="3" t="n">
        <v>3.81</v>
      </c>
    </row>
    <row r="244" customFormat="false" ht="12.75" hidden="false" customHeight="false" outlineLevel="0" collapsed="false">
      <c r="A244" s="2" t="s">
        <v>170</v>
      </c>
      <c r="B244" s="2" t="s">
        <v>24</v>
      </c>
      <c r="C244" s="2" t="s">
        <v>8</v>
      </c>
      <c r="D244" s="3" t="n">
        <v>0</v>
      </c>
      <c r="E244" s="3" t="n">
        <v>10000</v>
      </c>
      <c r="F244" s="3" t="n">
        <v>3.815</v>
      </c>
    </row>
    <row r="245" customFormat="false" ht="12.75" hidden="false" customHeight="false" outlineLevel="0" collapsed="false">
      <c r="A245" s="2" t="s">
        <v>171</v>
      </c>
      <c r="B245" s="2" t="s">
        <v>88</v>
      </c>
      <c r="C245" s="2" t="s">
        <v>8</v>
      </c>
      <c r="D245" s="3" t="n">
        <v>10000</v>
      </c>
      <c r="E245" s="3" t="n">
        <v>0</v>
      </c>
      <c r="F245" s="3" t="n">
        <v>3.81</v>
      </c>
    </row>
    <row r="246" customFormat="false" ht="12.75" hidden="false" customHeight="false" outlineLevel="0" collapsed="false">
      <c r="A246" s="2" t="s">
        <v>171</v>
      </c>
      <c r="B246" s="2" t="s">
        <v>88</v>
      </c>
      <c r="C246" s="2" t="s">
        <v>8</v>
      </c>
      <c r="D246" s="3" t="n">
        <v>10000</v>
      </c>
      <c r="E246" s="3" t="n">
        <v>0</v>
      </c>
      <c r="F246" s="3" t="n">
        <v>3.81</v>
      </c>
    </row>
    <row r="247" customFormat="false" ht="12.75" hidden="false" customHeight="false" outlineLevel="0" collapsed="false">
      <c r="A247" s="2" t="s">
        <v>171</v>
      </c>
      <c r="B247" s="2" t="s">
        <v>59</v>
      </c>
      <c r="C247" s="2" t="s">
        <v>8</v>
      </c>
      <c r="D247" s="3" t="n">
        <v>0</v>
      </c>
      <c r="E247" s="3" t="n">
        <v>10000</v>
      </c>
      <c r="F247" s="3" t="n">
        <v>3.815</v>
      </c>
    </row>
    <row r="248" customFormat="false" ht="12.75" hidden="false" customHeight="false" outlineLevel="0" collapsed="false">
      <c r="A248" s="2" t="s">
        <v>171</v>
      </c>
      <c r="B248" s="2" t="s">
        <v>59</v>
      </c>
      <c r="C248" s="2" t="s">
        <v>8</v>
      </c>
      <c r="D248" s="3" t="n">
        <v>0</v>
      </c>
      <c r="E248" s="3" t="n">
        <v>10000</v>
      </c>
      <c r="F248" s="3" t="n">
        <v>3.815</v>
      </c>
    </row>
    <row r="249" customFormat="false" ht="12.75" hidden="false" customHeight="false" outlineLevel="0" collapsed="false">
      <c r="A249" s="2" t="s">
        <v>172</v>
      </c>
      <c r="B249" s="2" t="s">
        <v>72</v>
      </c>
      <c r="C249" s="2" t="s">
        <v>8</v>
      </c>
      <c r="D249" s="3" t="n">
        <v>10000</v>
      </c>
      <c r="E249" s="3" t="n">
        <v>0</v>
      </c>
      <c r="F249" s="3" t="n">
        <v>3.815</v>
      </c>
    </row>
    <row r="250" customFormat="false" ht="12.75" hidden="false" customHeight="false" outlineLevel="0" collapsed="false">
      <c r="A250" s="2" t="s">
        <v>172</v>
      </c>
      <c r="B250" s="2" t="s">
        <v>59</v>
      </c>
      <c r="C250" s="2" t="s">
        <v>8</v>
      </c>
      <c r="D250" s="3" t="n">
        <v>0</v>
      </c>
      <c r="E250" s="3" t="n">
        <v>10000</v>
      </c>
      <c r="F250" s="3" t="n">
        <v>3.82</v>
      </c>
    </row>
    <row r="251" customFormat="false" ht="12.75" hidden="false" customHeight="false" outlineLevel="0" collapsed="false">
      <c r="A251" s="2" t="s">
        <v>173</v>
      </c>
      <c r="B251" s="2" t="s">
        <v>59</v>
      </c>
      <c r="C251" s="2" t="s">
        <v>8</v>
      </c>
      <c r="D251" s="3" t="n">
        <v>0</v>
      </c>
      <c r="E251" s="3" t="n">
        <v>10000</v>
      </c>
      <c r="F251" s="3" t="n">
        <v>3.82</v>
      </c>
    </row>
    <row r="252" customFormat="false" ht="12.75" hidden="false" customHeight="false" outlineLevel="0" collapsed="false">
      <c r="A252" s="2" t="s">
        <v>174</v>
      </c>
      <c r="B252" s="2" t="s">
        <v>46</v>
      </c>
      <c r="C252" s="2" t="s">
        <v>8</v>
      </c>
      <c r="D252" s="3" t="n">
        <v>10000</v>
      </c>
      <c r="E252" s="3" t="n">
        <v>0</v>
      </c>
      <c r="F252" s="3" t="n">
        <v>3.815</v>
      </c>
    </row>
    <row r="253" customFormat="false" ht="12.75" hidden="false" customHeight="false" outlineLevel="0" collapsed="false">
      <c r="A253" s="2" t="s">
        <v>175</v>
      </c>
      <c r="B253" s="2" t="s">
        <v>176</v>
      </c>
      <c r="C253" s="2" t="s">
        <v>8</v>
      </c>
      <c r="D253" s="3" t="n">
        <v>0</v>
      </c>
      <c r="E253" s="3" t="n">
        <v>10000</v>
      </c>
      <c r="F253" s="3" t="n">
        <v>3.825</v>
      </c>
    </row>
    <row r="254" customFormat="false" ht="12.75" hidden="false" customHeight="false" outlineLevel="0" collapsed="false">
      <c r="A254" s="2" t="s">
        <v>175</v>
      </c>
      <c r="B254" s="2" t="s">
        <v>164</v>
      </c>
      <c r="C254" s="2" t="s">
        <v>8</v>
      </c>
      <c r="D254" s="3" t="n">
        <v>0</v>
      </c>
      <c r="E254" s="3" t="n">
        <v>10000</v>
      </c>
      <c r="F254" s="3" t="n">
        <v>3.82</v>
      </c>
    </row>
    <row r="255" customFormat="false" ht="12.75" hidden="false" customHeight="false" outlineLevel="0" collapsed="false">
      <c r="A255" s="2" t="s">
        <v>177</v>
      </c>
      <c r="B255" s="2" t="s">
        <v>46</v>
      </c>
      <c r="C255" s="2" t="s">
        <v>8</v>
      </c>
      <c r="D255" s="3" t="n">
        <v>0</v>
      </c>
      <c r="E255" s="3" t="n">
        <v>10000</v>
      </c>
      <c r="F255" s="3" t="n">
        <v>3.83</v>
      </c>
    </row>
    <row r="256" customFormat="false" ht="12.75" hidden="false" customHeight="false" outlineLevel="0" collapsed="false">
      <c r="A256" s="2" t="s">
        <v>177</v>
      </c>
      <c r="B256" s="2" t="s">
        <v>72</v>
      </c>
      <c r="C256" s="2" t="s">
        <v>8</v>
      </c>
      <c r="D256" s="3" t="n">
        <v>10000</v>
      </c>
      <c r="E256" s="3" t="n">
        <v>0</v>
      </c>
      <c r="F256" s="3" t="n">
        <v>3.83</v>
      </c>
    </row>
    <row r="257" customFormat="false" ht="12.75" hidden="false" customHeight="false" outlineLevel="0" collapsed="false">
      <c r="A257" s="2" t="s">
        <v>177</v>
      </c>
      <c r="B257" s="2" t="s">
        <v>59</v>
      </c>
      <c r="C257" s="2" t="s">
        <v>8</v>
      </c>
      <c r="D257" s="3" t="n">
        <v>0</v>
      </c>
      <c r="E257" s="3" t="n">
        <v>10000</v>
      </c>
      <c r="F257" s="3" t="n">
        <v>3.835</v>
      </c>
    </row>
    <row r="258" customFormat="false" ht="12.75" hidden="false" customHeight="false" outlineLevel="0" collapsed="false">
      <c r="A258" s="2" t="s">
        <v>177</v>
      </c>
      <c r="B258" s="2" t="s">
        <v>24</v>
      </c>
      <c r="C258" s="2" t="s">
        <v>8</v>
      </c>
      <c r="D258" s="3" t="n">
        <v>10000</v>
      </c>
      <c r="E258" s="3" t="n">
        <v>0</v>
      </c>
      <c r="F258" s="3" t="n">
        <v>3.825</v>
      </c>
    </row>
    <row r="259" customFormat="false" ht="12.75" hidden="false" customHeight="false" outlineLevel="0" collapsed="false">
      <c r="A259" s="2" t="s">
        <v>178</v>
      </c>
      <c r="B259" s="2" t="s">
        <v>57</v>
      </c>
      <c r="C259" s="2" t="s">
        <v>8</v>
      </c>
      <c r="D259" s="3" t="n">
        <v>0</v>
      </c>
      <c r="E259" s="3" t="n">
        <v>5000</v>
      </c>
      <c r="F259" s="3" t="n">
        <v>3.835</v>
      </c>
    </row>
    <row r="260" customFormat="false" ht="12.75" hidden="false" customHeight="false" outlineLevel="0" collapsed="false">
      <c r="A260" s="2" t="s">
        <v>178</v>
      </c>
      <c r="B260" s="2" t="s">
        <v>59</v>
      </c>
      <c r="C260" s="2" t="s">
        <v>8</v>
      </c>
      <c r="D260" s="3" t="n">
        <v>0</v>
      </c>
      <c r="E260" s="3" t="n">
        <v>10000</v>
      </c>
      <c r="F260" s="3" t="n">
        <v>3.83</v>
      </c>
    </row>
    <row r="261" customFormat="false" ht="12.75" hidden="false" customHeight="false" outlineLevel="0" collapsed="false">
      <c r="A261" s="2" t="s">
        <v>179</v>
      </c>
      <c r="B261" s="2" t="s">
        <v>70</v>
      </c>
      <c r="C261" s="2" t="s">
        <v>8</v>
      </c>
      <c r="D261" s="3" t="n">
        <v>10000</v>
      </c>
      <c r="E261" s="3" t="n">
        <v>0</v>
      </c>
      <c r="F261" s="3" t="n">
        <v>3.825</v>
      </c>
    </row>
    <row r="262" customFormat="false" ht="12.75" hidden="false" customHeight="false" outlineLevel="0" collapsed="false">
      <c r="A262" s="2" t="s">
        <v>180</v>
      </c>
      <c r="B262" s="2" t="s">
        <v>37</v>
      </c>
      <c r="C262" s="2" t="s">
        <v>32</v>
      </c>
      <c r="D262" s="3" t="n">
        <v>10000</v>
      </c>
      <c r="E262" s="3" t="n">
        <v>0</v>
      </c>
      <c r="F262" s="3" t="n">
        <v>3.91</v>
      </c>
    </row>
    <row r="263" customFormat="false" ht="12.75" hidden="false" customHeight="false" outlineLevel="0" collapsed="false">
      <c r="A263" s="2" t="s">
        <v>180</v>
      </c>
      <c r="B263" s="2" t="s">
        <v>24</v>
      </c>
      <c r="C263" s="2" t="s">
        <v>8</v>
      </c>
      <c r="D263" s="3" t="n">
        <v>10000</v>
      </c>
      <c r="E263" s="3" t="n">
        <v>0</v>
      </c>
      <c r="F263" s="3" t="n">
        <v>3.815</v>
      </c>
    </row>
    <row r="264" customFormat="false" ht="12.75" hidden="false" customHeight="false" outlineLevel="0" collapsed="false">
      <c r="A264" s="2" t="s">
        <v>181</v>
      </c>
      <c r="B264" s="2" t="s">
        <v>37</v>
      </c>
      <c r="C264" s="2" t="s">
        <v>8</v>
      </c>
      <c r="D264" s="3" t="n">
        <v>10000</v>
      </c>
      <c r="E264" s="3" t="n">
        <v>0</v>
      </c>
      <c r="F264" s="3" t="n">
        <v>3.81</v>
      </c>
    </row>
    <row r="265" customFormat="false" ht="12.75" hidden="false" customHeight="false" outlineLevel="0" collapsed="false">
      <c r="A265" s="2" t="s">
        <v>182</v>
      </c>
      <c r="B265" s="2" t="s">
        <v>26</v>
      </c>
      <c r="C265" s="2" t="s">
        <v>18</v>
      </c>
      <c r="D265" s="3" t="n">
        <v>5000</v>
      </c>
      <c r="E265" s="3" t="n">
        <v>0</v>
      </c>
      <c r="F265" s="3" t="n">
        <v>3.97</v>
      </c>
    </row>
    <row r="266" customFormat="false" ht="12.75" hidden="false" customHeight="false" outlineLevel="0" collapsed="false">
      <c r="A266" s="2" t="s">
        <v>183</v>
      </c>
      <c r="B266" s="2" t="s">
        <v>57</v>
      </c>
      <c r="C266" s="2" t="s">
        <v>18</v>
      </c>
      <c r="D266" s="3" t="n">
        <v>0</v>
      </c>
      <c r="E266" s="3" t="n">
        <v>500</v>
      </c>
      <c r="F266" s="3" t="n">
        <v>3.975</v>
      </c>
    </row>
    <row r="267" customFormat="false" ht="12.75" hidden="false" customHeight="false" outlineLevel="0" collapsed="false">
      <c r="A267" s="2" t="s">
        <v>184</v>
      </c>
      <c r="B267" s="2" t="s">
        <v>46</v>
      </c>
      <c r="C267" s="2" t="s">
        <v>8</v>
      </c>
      <c r="D267" s="3" t="n">
        <v>10000</v>
      </c>
      <c r="E267" s="3" t="n">
        <v>0</v>
      </c>
      <c r="F267" s="3" t="n">
        <v>3.805</v>
      </c>
    </row>
    <row r="268" customFormat="false" ht="12.75" hidden="false" customHeight="false" outlineLevel="0" collapsed="false">
      <c r="A268" s="2" t="s">
        <v>184</v>
      </c>
      <c r="B268" s="2" t="s">
        <v>88</v>
      </c>
      <c r="C268" s="2" t="s">
        <v>8</v>
      </c>
      <c r="D268" s="3" t="n">
        <v>0</v>
      </c>
      <c r="E268" s="3" t="n">
        <v>2500</v>
      </c>
      <c r="F268" s="3" t="n">
        <v>3.81</v>
      </c>
    </row>
    <row r="269" customFormat="false" ht="12.75" hidden="false" customHeight="false" outlineLevel="0" collapsed="false">
      <c r="A269" s="2" t="s">
        <v>185</v>
      </c>
      <c r="B269" s="2" t="s">
        <v>186</v>
      </c>
      <c r="C269" s="2" t="s">
        <v>8</v>
      </c>
      <c r="D269" s="3" t="n">
        <v>15000</v>
      </c>
      <c r="E269" s="3" t="n">
        <v>0</v>
      </c>
      <c r="F269" s="3" t="n">
        <v>3.805</v>
      </c>
    </row>
    <row r="270" customFormat="false" ht="12.75" hidden="false" customHeight="false" outlineLevel="0" collapsed="false">
      <c r="A270" s="2" t="s">
        <v>185</v>
      </c>
      <c r="B270" s="2" t="s">
        <v>72</v>
      </c>
      <c r="C270" s="2" t="s">
        <v>8</v>
      </c>
      <c r="D270" s="3" t="n">
        <v>0</v>
      </c>
      <c r="E270" s="3" t="n">
        <v>5000</v>
      </c>
      <c r="F270" s="3" t="n">
        <v>3.81</v>
      </c>
    </row>
    <row r="271" customFormat="false" ht="12.75" hidden="false" customHeight="false" outlineLevel="0" collapsed="false">
      <c r="A271" s="2" t="s">
        <v>187</v>
      </c>
      <c r="B271" s="2" t="s">
        <v>35</v>
      </c>
      <c r="C271" s="2" t="s">
        <v>8</v>
      </c>
      <c r="D271" s="3" t="n">
        <v>0</v>
      </c>
      <c r="E271" s="3" t="n">
        <v>10000</v>
      </c>
      <c r="F271" s="3" t="n">
        <v>3.81</v>
      </c>
    </row>
    <row r="272" customFormat="false" ht="12.75" hidden="false" customHeight="false" outlineLevel="0" collapsed="false">
      <c r="A272" s="2" t="s">
        <v>188</v>
      </c>
      <c r="B272" s="2" t="s">
        <v>70</v>
      </c>
      <c r="C272" s="2" t="s">
        <v>8</v>
      </c>
      <c r="D272" s="3" t="n">
        <v>0</v>
      </c>
      <c r="E272" s="3" t="n">
        <v>5000</v>
      </c>
      <c r="F272" s="3" t="n">
        <v>3.81</v>
      </c>
    </row>
    <row r="273" customFormat="false" ht="12.75" hidden="false" customHeight="false" outlineLevel="0" collapsed="false">
      <c r="A273" s="2" t="s">
        <v>189</v>
      </c>
      <c r="B273" s="2" t="s">
        <v>72</v>
      </c>
      <c r="C273" s="2" t="s">
        <v>8</v>
      </c>
      <c r="D273" s="3" t="n">
        <v>15000</v>
      </c>
      <c r="E273" s="3" t="n">
        <v>0</v>
      </c>
      <c r="F273" s="3" t="n">
        <v>3.805</v>
      </c>
    </row>
    <row r="274" customFormat="false" ht="12.75" hidden="false" customHeight="false" outlineLevel="0" collapsed="false">
      <c r="A274" s="2" t="s">
        <v>190</v>
      </c>
      <c r="B274" s="2" t="s">
        <v>26</v>
      </c>
      <c r="C274" s="2" t="s">
        <v>18</v>
      </c>
      <c r="D274" s="3" t="n">
        <v>5000</v>
      </c>
      <c r="E274" s="3" t="n">
        <v>0</v>
      </c>
      <c r="F274" s="3" t="n">
        <v>3.965</v>
      </c>
    </row>
    <row r="275" customFormat="false" ht="12.75" hidden="false" customHeight="false" outlineLevel="0" collapsed="false">
      <c r="A275" s="2" t="s">
        <v>190</v>
      </c>
      <c r="B275" s="2" t="s">
        <v>191</v>
      </c>
      <c r="C275" s="2" t="s">
        <v>22</v>
      </c>
      <c r="D275" s="3" t="n">
        <v>5000</v>
      </c>
      <c r="E275" s="3" t="n">
        <v>0</v>
      </c>
      <c r="F275" s="3" t="n">
        <v>4.275</v>
      </c>
    </row>
    <row r="276" customFormat="false" ht="12.75" hidden="false" customHeight="false" outlineLevel="0" collapsed="false">
      <c r="A276" s="2" t="s">
        <v>190</v>
      </c>
      <c r="B276" s="2" t="s">
        <v>57</v>
      </c>
      <c r="C276" s="2" t="s">
        <v>22</v>
      </c>
      <c r="D276" s="3" t="n">
        <v>2500</v>
      </c>
      <c r="E276" s="3" t="n">
        <v>0</v>
      </c>
      <c r="F276" s="3" t="n">
        <v>4.28</v>
      </c>
    </row>
    <row r="277" customFormat="false" ht="12.75" hidden="false" customHeight="false" outlineLevel="0" collapsed="false">
      <c r="A277" s="2" t="s">
        <v>192</v>
      </c>
      <c r="B277" s="2" t="s">
        <v>59</v>
      </c>
      <c r="C277" s="2" t="s">
        <v>18</v>
      </c>
      <c r="D277" s="3" t="n">
        <v>5000</v>
      </c>
      <c r="E277" s="3" t="n">
        <v>0</v>
      </c>
      <c r="F277" s="3" t="n">
        <v>3.96</v>
      </c>
    </row>
    <row r="278" customFormat="false" ht="12.75" hidden="false" customHeight="false" outlineLevel="0" collapsed="false">
      <c r="A278" s="2" t="s">
        <v>193</v>
      </c>
      <c r="B278" s="2" t="s">
        <v>57</v>
      </c>
      <c r="C278" s="2" t="s">
        <v>18</v>
      </c>
      <c r="D278" s="3" t="n">
        <v>0</v>
      </c>
      <c r="E278" s="3" t="n">
        <v>500</v>
      </c>
      <c r="F278" s="3" t="n">
        <v>3.97</v>
      </c>
    </row>
    <row r="279" customFormat="false" ht="12.75" hidden="false" customHeight="false" outlineLevel="0" collapsed="false">
      <c r="A279" s="2" t="s">
        <v>194</v>
      </c>
      <c r="B279" s="2" t="s">
        <v>83</v>
      </c>
      <c r="C279" s="2" t="s">
        <v>8</v>
      </c>
      <c r="D279" s="3" t="n">
        <v>15000</v>
      </c>
      <c r="E279" s="3" t="n">
        <v>0</v>
      </c>
      <c r="F279" s="3" t="n">
        <v>3.8</v>
      </c>
    </row>
    <row r="280" customFormat="false" ht="12.75" hidden="false" customHeight="false" outlineLevel="0" collapsed="false">
      <c r="A280" s="2" t="s">
        <v>195</v>
      </c>
      <c r="B280" s="2" t="s">
        <v>46</v>
      </c>
      <c r="C280" s="2" t="s">
        <v>8</v>
      </c>
      <c r="D280" s="3" t="n">
        <v>0</v>
      </c>
      <c r="E280" s="3" t="n">
        <v>10000</v>
      </c>
      <c r="F280" s="3" t="n">
        <v>3.805</v>
      </c>
    </row>
    <row r="281" customFormat="false" ht="12.75" hidden="false" customHeight="false" outlineLevel="0" collapsed="false">
      <c r="A281" s="2" t="s">
        <v>196</v>
      </c>
      <c r="B281" s="2" t="s">
        <v>46</v>
      </c>
      <c r="C281" s="2" t="s">
        <v>8</v>
      </c>
      <c r="D281" s="3" t="n">
        <v>7500</v>
      </c>
      <c r="E281" s="3" t="n">
        <v>0</v>
      </c>
      <c r="F281" s="3" t="n">
        <v>3.795</v>
      </c>
    </row>
    <row r="282" customFormat="false" ht="12.75" hidden="false" customHeight="false" outlineLevel="0" collapsed="false">
      <c r="A282" s="2" t="s">
        <v>197</v>
      </c>
      <c r="B282" s="2" t="s">
        <v>88</v>
      </c>
      <c r="C282" s="2" t="s">
        <v>8</v>
      </c>
      <c r="D282" s="3" t="n">
        <v>0</v>
      </c>
      <c r="E282" s="3" t="n">
        <v>5000</v>
      </c>
      <c r="F282" s="3" t="n">
        <v>3.805</v>
      </c>
    </row>
    <row r="283" customFormat="false" ht="12.75" hidden="false" customHeight="false" outlineLevel="0" collapsed="false">
      <c r="A283" s="2" t="s">
        <v>197</v>
      </c>
      <c r="B283" s="2" t="s">
        <v>39</v>
      </c>
      <c r="C283" s="2" t="s">
        <v>32</v>
      </c>
      <c r="D283" s="3" t="n">
        <v>7500</v>
      </c>
      <c r="E283" s="3" t="n">
        <v>0</v>
      </c>
      <c r="F283" s="3" t="n">
        <v>3.89</v>
      </c>
    </row>
    <row r="284" customFormat="false" ht="12.75" hidden="false" customHeight="false" outlineLevel="0" collapsed="false">
      <c r="A284" s="2" t="s">
        <v>198</v>
      </c>
      <c r="B284" s="2" t="s">
        <v>199</v>
      </c>
      <c r="C284" s="2" t="s">
        <v>8</v>
      </c>
      <c r="D284" s="3" t="n">
        <v>12500</v>
      </c>
      <c r="E284" s="3" t="n">
        <v>0</v>
      </c>
      <c r="F284" s="3" t="n">
        <v>3.795</v>
      </c>
    </row>
    <row r="285" customFormat="false" ht="12.75" hidden="false" customHeight="false" outlineLevel="0" collapsed="false">
      <c r="A285" s="2" t="s">
        <v>200</v>
      </c>
      <c r="B285" s="2" t="s">
        <v>35</v>
      </c>
      <c r="C285" s="2" t="s">
        <v>8</v>
      </c>
      <c r="D285" s="3" t="n">
        <v>0</v>
      </c>
      <c r="E285" s="3" t="n">
        <v>5000</v>
      </c>
      <c r="F285" s="3" t="n">
        <v>3.8</v>
      </c>
    </row>
    <row r="286" customFormat="false" ht="12.75" hidden="false" customHeight="false" outlineLevel="0" collapsed="false">
      <c r="A286" s="2" t="s">
        <v>200</v>
      </c>
      <c r="B286" s="2" t="s">
        <v>88</v>
      </c>
      <c r="C286" s="2" t="s">
        <v>8</v>
      </c>
      <c r="D286" s="3" t="n">
        <v>0</v>
      </c>
      <c r="E286" s="3" t="n">
        <v>2500</v>
      </c>
      <c r="F286" s="3" t="n">
        <v>3.795</v>
      </c>
    </row>
    <row r="287" customFormat="false" ht="12.75" hidden="false" customHeight="false" outlineLevel="0" collapsed="false">
      <c r="A287" s="2" t="s">
        <v>200</v>
      </c>
      <c r="B287" s="2" t="s">
        <v>201</v>
      </c>
      <c r="C287" s="2" t="s">
        <v>8</v>
      </c>
      <c r="D287" s="3" t="n">
        <v>17500</v>
      </c>
      <c r="E287" s="3" t="n">
        <v>0</v>
      </c>
      <c r="F287" s="3" t="n">
        <v>3.79</v>
      </c>
    </row>
    <row r="288" customFormat="false" ht="12.75" hidden="false" customHeight="false" outlineLevel="0" collapsed="false">
      <c r="A288" s="2" t="s">
        <v>202</v>
      </c>
      <c r="B288" s="2" t="s">
        <v>35</v>
      </c>
      <c r="C288" s="2" t="s">
        <v>8</v>
      </c>
      <c r="D288" s="3" t="n">
        <v>0</v>
      </c>
      <c r="E288" s="3" t="n">
        <v>5000</v>
      </c>
      <c r="F288" s="3" t="n">
        <v>3.795</v>
      </c>
    </row>
    <row r="289" customFormat="false" ht="12.75" hidden="false" customHeight="false" outlineLevel="0" collapsed="false">
      <c r="A289" s="2" t="s">
        <v>203</v>
      </c>
      <c r="B289" s="2" t="s">
        <v>204</v>
      </c>
      <c r="C289" s="2" t="s">
        <v>18</v>
      </c>
      <c r="D289" s="3" t="n">
        <v>5000</v>
      </c>
      <c r="E289" s="3" t="n">
        <v>0</v>
      </c>
      <c r="F289" s="3" t="n">
        <v>3.955</v>
      </c>
    </row>
    <row r="290" customFormat="false" ht="12.75" hidden="false" customHeight="false" outlineLevel="0" collapsed="false">
      <c r="A290" s="2" t="s">
        <v>205</v>
      </c>
      <c r="B290" s="2" t="s">
        <v>7</v>
      </c>
      <c r="C290" s="2" t="s">
        <v>65</v>
      </c>
      <c r="D290" s="3" t="n">
        <v>5000</v>
      </c>
      <c r="E290" s="3" t="n">
        <v>0</v>
      </c>
      <c r="F290" s="3" t="n">
        <v>3.9175</v>
      </c>
    </row>
    <row r="291" customFormat="false" ht="12.75" hidden="false" customHeight="false" outlineLevel="0" collapsed="false">
      <c r="A291" s="2" t="s">
        <v>206</v>
      </c>
      <c r="B291" s="2" t="s">
        <v>7</v>
      </c>
      <c r="C291" s="2" t="s">
        <v>8</v>
      </c>
      <c r="D291" s="3" t="n">
        <v>0</v>
      </c>
      <c r="E291" s="3" t="n">
        <v>10000</v>
      </c>
      <c r="F291" s="3" t="n">
        <v>3.795</v>
      </c>
    </row>
    <row r="292" customFormat="false" ht="12.75" hidden="false" customHeight="false" outlineLevel="0" collapsed="false">
      <c r="A292" s="2" t="s">
        <v>207</v>
      </c>
      <c r="B292" s="2" t="s">
        <v>26</v>
      </c>
      <c r="C292" s="2" t="s">
        <v>8</v>
      </c>
      <c r="D292" s="3" t="n">
        <v>0</v>
      </c>
      <c r="E292" s="3" t="n">
        <v>15000</v>
      </c>
      <c r="F292" s="3" t="n">
        <v>3.795</v>
      </c>
    </row>
    <row r="293" customFormat="false" ht="12.75" hidden="false" customHeight="false" outlineLevel="0" collapsed="false">
      <c r="A293" s="2" t="s">
        <v>208</v>
      </c>
      <c r="B293" s="2" t="s">
        <v>100</v>
      </c>
      <c r="C293" s="2" t="s">
        <v>8</v>
      </c>
      <c r="D293" s="3" t="n">
        <v>5000</v>
      </c>
      <c r="E293" s="3" t="n">
        <v>0</v>
      </c>
      <c r="F293" s="3" t="n">
        <v>3.79</v>
      </c>
    </row>
    <row r="294" customFormat="false" ht="12.75" hidden="false" customHeight="false" outlineLevel="0" collapsed="false">
      <c r="A294" s="2" t="s">
        <v>208</v>
      </c>
      <c r="B294" s="2" t="s">
        <v>35</v>
      </c>
      <c r="C294" s="2" t="s">
        <v>13</v>
      </c>
      <c r="D294" s="3" t="n">
        <v>0</v>
      </c>
      <c r="E294" s="3" t="n">
        <v>2500</v>
      </c>
      <c r="F294" s="3" t="n">
        <v>3.9</v>
      </c>
    </row>
    <row r="295" customFormat="false" ht="12.75" hidden="false" customHeight="false" outlineLevel="0" collapsed="false">
      <c r="A295" s="2" t="s">
        <v>209</v>
      </c>
      <c r="B295" s="2" t="s">
        <v>97</v>
      </c>
      <c r="C295" s="2" t="s">
        <v>18</v>
      </c>
      <c r="D295" s="3" t="n">
        <v>0</v>
      </c>
      <c r="E295" s="3" t="n">
        <v>5000</v>
      </c>
      <c r="F295" s="3" t="n">
        <v>3.96</v>
      </c>
    </row>
    <row r="296" customFormat="false" ht="12.75" hidden="false" customHeight="false" outlineLevel="0" collapsed="false">
      <c r="A296" s="2" t="s">
        <v>210</v>
      </c>
      <c r="B296" s="2" t="s">
        <v>20</v>
      </c>
      <c r="C296" s="2" t="s">
        <v>65</v>
      </c>
      <c r="D296" s="3" t="n">
        <v>12500</v>
      </c>
      <c r="E296" s="3" t="n">
        <v>0</v>
      </c>
      <c r="F296" s="3" t="n">
        <v>3.9225</v>
      </c>
    </row>
    <row r="297" customFormat="false" ht="12.75" hidden="false" customHeight="false" outlineLevel="0" collapsed="false">
      <c r="A297" s="2" t="s">
        <v>210</v>
      </c>
      <c r="B297" s="2" t="s">
        <v>211</v>
      </c>
      <c r="C297" s="2" t="s">
        <v>8</v>
      </c>
      <c r="D297" s="3" t="n">
        <v>2500</v>
      </c>
      <c r="E297" s="3" t="n">
        <v>0</v>
      </c>
      <c r="F297" s="3" t="n">
        <v>3.79</v>
      </c>
    </row>
    <row r="298" customFormat="false" ht="12.75" hidden="false" customHeight="false" outlineLevel="0" collapsed="false">
      <c r="A298" s="2" t="s">
        <v>212</v>
      </c>
      <c r="B298" s="2" t="s">
        <v>46</v>
      </c>
      <c r="C298" s="2" t="s">
        <v>8</v>
      </c>
      <c r="D298" s="3" t="n">
        <v>0</v>
      </c>
      <c r="E298" s="3" t="n">
        <v>15000</v>
      </c>
      <c r="F298" s="3" t="n">
        <v>3.795</v>
      </c>
    </row>
    <row r="299" customFormat="false" ht="12.75" hidden="false" customHeight="false" outlineLevel="0" collapsed="false">
      <c r="A299" s="2" t="s">
        <v>212</v>
      </c>
      <c r="B299" s="2" t="s">
        <v>213</v>
      </c>
      <c r="C299" s="2" t="s">
        <v>8</v>
      </c>
      <c r="D299" s="3" t="n">
        <v>15000</v>
      </c>
      <c r="E299" s="3" t="n">
        <v>0</v>
      </c>
      <c r="F299" s="3" t="n">
        <v>3.785</v>
      </c>
    </row>
    <row r="300" customFormat="false" ht="12.75" hidden="false" customHeight="false" outlineLevel="0" collapsed="false">
      <c r="A300" s="2" t="s">
        <v>212</v>
      </c>
      <c r="B300" s="2" t="s">
        <v>214</v>
      </c>
      <c r="C300" s="2" t="s">
        <v>8</v>
      </c>
      <c r="D300" s="3" t="n">
        <v>0</v>
      </c>
      <c r="E300" s="3" t="n">
        <v>2500</v>
      </c>
      <c r="F300" s="3" t="n">
        <v>3.795</v>
      </c>
    </row>
    <row r="301" customFormat="false" ht="12.75" hidden="false" customHeight="false" outlineLevel="0" collapsed="false">
      <c r="A301" s="2" t="s">
        <v>215</v>
      </c>
      <c r="B301" s="2" t="s">
        <v>12</v>
      </c>
      <c r="C301" s="2" t="s">
        <v>13</v>
      </c>
      <c r="D301" s="3" t="n">
        <v>5000</v>
      </c>
      <c r="E301" s="3" t="n">
        <v>0</v>
      </c>
      <c r="F301" s="3" t="n">
        <v>3.89</v>
      </c>
    </row>
    <row r="302" customFormat="false" ht="12.75" hidden="false" customHeight="false" outlineLevel="0" collapsed="false">
      <c r="A302" s="2" t="s">
        <v>216</v>
      </c>
      <c r="B302" s="2" t="s">
        <v>211</v>
      </c>
      <c r="C302" s="2" t="s">
        <v>65</v>
      </c>
      <c r="D302" s="3" t="n">
        <v>2500</v>
      </c>
      <c r="E302" s="3" t="n">
        <v>0</v>
      </c>
      <c r="F302" s="3" t="n">
        <v>3.9175</v>
      </c>
    </row>
    <row r="303" customFormat="false" ht="12.75" hidden="false" customHeight="false" outlineLevel="0" collapsed="false">
      <c r="A303" s="2" t="s">
        <v>216</v>
      </c>
      <c r="B303" s="2" t="s">
        <v>211</v>
      </c>
      <c r="C303" s="2" t="s">
        <v>8</v>
      </c>
      <c r="D303" s="3" t="n">
        <v>0</v>
      </c>
      <c r="E303" s="3" t="n">
        <v>2500</v>
      </c>
      <c r="F303" s="3" t="n">
        <v>3.795</v>
      </c>
    </row>
    <row r="304" customFormat="false" ht="12.75" hidden="false" customHeight="false" outlineLevel="0" collapsed="false">
      <c r="A304" s="2" t="s">
        <v>217</v>
      </c>
      <c r="B304" s="2" t="s">
        <v>20</v>
      </c>
      <c r="C304" s="2" t="s">
        <v>8</v>
      </c>
      <c r="D304" s="3" t="n">
        <v>0</v>
      </c>
      <c r="E304" s="3" t="n">
        <v>5000</v>
      </c>
      <c r="F304" s="3" t="n">
        <v>3.795</v>
      </c>
    </row>
    <row r="305" customFormat="false" ht="12.75" hidden="false" customHeight="false" outlineLevel="0" collapsed="false">
      <c r="A305" s="2" t="s">
        <v>217</v>
      </c>
      <c r="B305" s="2" t="s">
        <v>218</v>
      </c>
      <c r="C305" s="2" t="s">
        <v>8</v>
      </c>
      <c r="D305" s="3" t="n">
        <v>5000</v>
      </c>
      <c r="E305" s="3" t="n">
        <v>0</v>
      </c>
      <c r="F305" s="3" t="n">
        <v>3.785</v>
      </c>
    </row>
    <row r="306" customFormat="false" ht="12.75" hidden="false" customHeight="false" outlineLevel="0" collapsed="false">
      <c r="A306" s="2" t="s">
        <v>219</v>
      </c>
      <c r="B306" s="2" t="s">
        <v>88</v>
      </c>
      <c r="C306" s="2" t="s">
        <v>8</v>
      </c>
      <c r="D306" s="3" t="n">
        <v>0</v>
      </c>
      <c r="E306" s="3" t="n">
        <v>5000</v>
      </c>
      <c r="F306" s="3" t="n">
        <v>3.785</v>
      </c>
    </row>
    <row r="307" customFormat="false" ht="12.75" hidden="false" customHeight="false" outlineLevel="0" collapsed="false">
      <c r="A307" s="2" t="s">
        <v>219</v>
      </c>
      <c r="B307" s="2" t="s">
        <v>89</v>
      </c>
      <c r="C307" s="2" t="s">
        <v>8</v>
      </c>
      <c r="D307" s="3" t="n">
        <v>15000</v>
      </c>
      <c r="E307" s="3" t="n">
        <v>0</v>
      </c>
      <c r="F307" s="3" t="n">
        <v>3.78</v>
      </c>
    </row>
    <row r="308" customFormat="false" ht="12.75" hidden="false" customHeight="false" outlineLevel="0" collapsed="false">
      <c r="A308" s="2" t="s">
        <v>219</v>
      </c>
      <c r="B308" s="2" t="s">
        <v>220</v>
      </c>
      <c r="C308" s="2" t="s">
        <v>8</v>
      </c>
      <c r="D308" s="3" t="n">
        <v>0</v>
      </c>
      <c r="E308" s="3" t="n">
        <v>10000</v>
      </c>
      <c r="F308" s="3" t="n">
        <v>3.785</v>
      </c>
    </row>
    <row r="309" customFormat="false" ht="12.75" hidden="false" customHeight="false" outlineLevel="0" collapsed="false">
      <c r="A309" s="2" t="s">
        <v>221</v>
      </c>
      <c r="B309" s="2" t="s">
        <v>104</v>
      </c>
      <c r="C309" s="2" t="s">
        <v>18</v>
      </c>
      <c r="D309" s="3" t="n">
        <v>5000</v>
      </c>
      <c r="E309" s="3" t="n">
        <v>0</v>
      </c>
      <c r="F309" s="3" t="n">
        <v>3.955</v>
      </c>
    </row>
    <row r="310" customFormat="false" ht="12.75" hidden="false" customHeight="false" outlineLevel="0" collapsed="false">
      <c r="A310" s="2" t="s">
        <v>221</v>
      </c>
      <c r="B310" s="2" t="s">
        <v>211</v>
      </c>
      <c r="C310" s="2" t="s">
        <v>32</v>
      </c>
      <c r="D310" s="3" t="n">
        <v>2500</v>
      </c>
      <c r="E310" s="3" t="n">
        <v>0</v>
      </c>
      <c r="F310" s="3" t="n">
        <v>3.865</v>
      </c>
    </row>
    <row r="311" customFormat="false" ht="12.75" hidden="false" customHeight="false" outlineLevel="0" collapsed="false">
      <c r="A311" s="2" t="s">
        <v>222</v>
      </c>
      <c r="B311" s="2" t="s">
        <v>46</v>
      </c>
      <c r="C311" s="2" t="s">
        <v>8</v>
      </c>
      <c r="D311" s="3" t="n">
        <v>0</v>
      </c>
      <c r="E311" s="3" t="n">
        <v>5000</v>
      </c>
      <c r="F311" s="3" t="n">
        <v>3.77</v>
      </c>
    </row>
    <row r="312" customFormat="false" ht="12.75" hidden="false" customHeight="false" outlineLevel="0" collapsed="false">
      <c r="A312" s="2" t="s">
        <v>222</v>
      </c>
      <c r="B312" s="2" t="s">
        <v>20</v>
      </c>
      <c r="C312" s="2" t="s">
        <v>169</v>
      </c>
      <c r="D312" s="3" t="n">
        <v>20000</v>
      </c>
      <c r="E312" s="3" t="n">
        <v>0</v>
      </c>
      <c r="F312" s="3" t="n">
        <v>3.7575</v>
      </c>
    </row>
    <row r="313" customFormat="false" ht="12.75" hidden="false" customHeight="false" outlineLevel="0" collapsed="false">
      <c r="A313" s="2" t="s">
        <v>222</v>
      </c>
      <c r="B313" s="2" t="s">
        <v>20</v>
      </c>
      <c r="C313" s="2" t="s">
        <v>8</v>
      </c>
      <c r="D313" s="3" t="n">
        <v>0</v>
      </c>
      <c r="E313" s="3" t="n">
        <v>2500</v>
      </c>
      <c r="F313" s="3" t="n">
        <v>3.77</v>
      </c>
    </row>
    <row r="314" customFormat="false" ht="12.75" hidden="false" customHeight="false" outlineLevel="0" collapsed="false">
      <c r="A314" s="2" t="s">
        <v>222</v>
      </c>
      <c r="B314" s="2" t="s">
        <v>160</v>
      </c>
      <c r="C314" s="2" t="s">
        <v>8</v>
      </c>
      <c r="D314" s="3" t="n">
        <v>17500</v>
      </c>
      <c r="E314" s="3" t="n">
        <v>0</v>
      </c>
      <c r="F314" s="3" t="n">
        <v>3.775</v>
      </c>
    </row>
    <row r="315" customFormat="false" ht="12.75" hidden="false" customHeight="false" outlineLevel="0" collapsed="false">
      <c r="A315" s="2" t="s">
        <v>222</v>
      </c>
      <c r="B315" s="2" t="s">
        <v>88</v>
      </c>
      <c r="C315" s="2" t="s">
        <v>8</v>
      </c>
      <c r="D315" s="3" t="n">
        <v>0</v>
      </c>
      <c r="E315" s="3" t="n">
        <v>2500</v>
      </c>
      <c r="F315" s="3" t="n">
        <v>3.78</v>
      </c>
    </row>
    <row r="316" customFormat="false" ht="12.75" hidden="false" customHeight="false" outlineLevel="0" collapsed="false">
      <c r="A316" s="2" t="s">
        <v>222</v>
      </c>
      <c r="B316" s="2" t="s">
        <v>88</v>
      </c>
      <c r="C316" s="2" t="s">
        <v>8</v>
      </c>
      <c r="D316" s="3" t="n">
        <v>0</v>
      </c>
      <c r="E316" s="3" t="n">
        <v>5000</v>
      </c>
      <c r="F316" s="3" t="n">
        <v>3.77</v>
      </c>
    </row>
    <row r="317" customFormat="false" ht="12.75" hidden="false" customHeight="false" outlineLevel="0" collapsed="false">
      <c r="A317" s="2" t="s">
        <v>222</v>
      </c>
      <c r="B317" s="2" t="s">
        <v>104</v>
      </c>
      <c r="C317" s="2" t="s">
        <v>18</v>
      </c>
      <c r="D317" s="3" t="n">
        <v>5000</v>
      </c>
      <c r="E317" s="3" t="n">
        <v>0</v>
      </c>
      <c r="F317" s="3" t="n">
        <v>3.95</v>
      </c>
    </row>
    <row r="318" customFormat="false" ht="12.75" hidden="false" customHeight="false" outlineLevel="0" collapsed="false">
      <c r="A318" s="2" t="s">
        <v>222</v>
      </c>
      <c r="B318" s="2" t="s">
        <v>164</v>
      </c>
      <c r="C318" s="2" t="s">
        <v>8</v>
      </c>
      <c r="D318" s="3" t="n">
        <v>20000</v>
      </c>
      <c r="E318" s="3" t="n">
        <v>0</v>
      </c>
      <c r="F318" s="3" t="n">
        <v>3.77</v>
      </c>
    </row>
    <row r="319" customFormat="false" ht="12.75" hidden="false" customHeight="false" outlineLevel="0" collapsed="false">
      <c r="A319" s="2" t="s">
        <v>223</v>
      </c>
      <c r="B319" s="2" t="s">
        <v>35</v>
      </c>
      <c r="C319" s="2" t="s">
        <v>8</v>
      </c>
      <c r="D319" s="3" t="n">
        <v>0</v>
      </c>
      <c r="E319" s="3" t="n">
        <v>5000</v>
      </c>
      <c r="F319" s="3" t="n">
        <v>3.775</v>
      </c>
    </row>
    <row r="320" customFormat="false" ht="12.75" hidden="false" customHeight="false" outlineLevel="0" collapsed="false">
      <c r="A320" s="2" t="s">
        <v>223</v>
      </c>
      <c r="B320" s="2" t="s">
        <v>12</v>
      </c>
      <c r="C320" s="2" t="s">
        <v>13</v>
      </c>
      <c r="D320" s="3" t="n">
        <v>0</v>
      </c>
      <c r="E320" s="3" t="n">
        <v>5000</v>
      </c>
      <c r="F320" s="3" t="n">
        <v>3.88</v>
      </c>
    </row>
    <row r="321" customFormat="false" ht="12.75" hidden="false" customHeight="false" outlineLevel="0" collapsed="false">
      <c r="A321" s="2" t="s">
        <v>224</v>
      </c>
      <c r="B321" s="2" t="s">
        <v>24</v>
      </c>
      <c r="C321" s="2" t="s">
        <v>8</v>
      </c>
      <c r="D321" s="3" t="n">
        <v>0</v>
      </c>
      <c r="E321" s="3" t="n">
        <v>15000</v>
      </c>
      <c r="F321" s="3" t="n">
        <v>3.775</v>
      </c>
    </row>
    <row r="322" customFormat="false" ht="12.75" hidden="false" customHeight="false" outlineLevel="0" collapsed="false">
      <c r="A322" s="2" t="s">
        <v>225</v>
      </c>
      <c r="B322" s="2" t="s">
        <v>37</v>
      </c>
      <c r="C322" s="2" t="s">
        <v>8</v>
      </c>
      <c r="D322" s="3" t="n">
        <v>0</v>
      </c>
      <c r="E322" s="3" t="n">
        <v>5000</v>
      </c>
      <c r="F322" s="3" t="n">
        <v>3.78</v>
      </c>
    </row>
    <row r="323" customFormat="false" ht="12.75" hidden="false" customHeight="false" outlineLevel="0" collapsed="false">
      <c r="A323" s="2" t="s">
        <v>226</v>
      </c>
      <c r="B323" s="2" t="s">
        <v>35</v>
      </c>
      <c r="C323" s="2" t="s">
        <v>8</v>
      </c>
      <c r="D323" s="3" t="n">
        <v>2500</v>
      </c>
      <c r="E323" s="3" t="n">
        <v>0</v>
      </c>
      <c r="F323" s="3" t="n">
        <v>3.77</v>
      </c>
    </row>
    <row r="324" customFormat="false" ht="12.75" hidden="false" customHeight="false" outlineLevel="0" collapsed="false">
      <c r="A324" s="2" t="s">
        <v>226</v>
      </c>
      <c r="B324" s="2" t="s">
        <v>88</v>
      </c>
      <c r="C324" s="2" t="s">
        <v>8</v>
      </c>
      <c r="D324" s="3" t="n">
        <v>0</v>
      </c>
      <c r="E324" s="3" t="n">
        <v>5000</v>
      </c>
      <c r="F324" s="3" t="n">
        <v>3.775</v>
      </c>
    </row>
    <row r="325" customFormat="false" ht="12.75" hidden="false" customHeight="false" outlineLevel="0" collapsed="false">
      <c r="A325" s="2" t="s">
        <v>226</v>
      </c>
      <c r="B325" s="2" t="s">
        <v>51</v>
      </c>
      <c r="C325" s="2" t="s">
        <v>8</v>
      </c>
      <c r="D325" s="3" t="n">
        <v>15000</v>
      </c>
      <c r="E325" s="3" t="n">
        <v>0</v>
      </c>
      <c r="F325" s="3" t="n">
        <v>3.77</v>
      </c>
    </row>
    <row r="326" customFormat="false" ht="12.75" hidden="false" customHeight="false" outlineLevel="0" collapsed="false">
      <c r="A326" s="2" t="s">
        <v>226</v>
      </c>
      <c r="B326" s="2" t="s">
        <v>72</v>
      </c>
      <c r="C326" s="2" t="s">
        <v>13</v>
      </c>
      <c r="D326" s="3" t="n">
        <v>5000</v>
      </c>
      <c r="E326" s="3" t="n">
        <v>0</v>
      </c>
      <c r="F326" s="3" t="n">
        <v>3.875</v>
      </c>
    </row>
    <row r="327" customFormat="false" ht="12.75" hidden="false" customHeight="false" outlineLevel="0" collapsed="false">
      <c r="A327" s="2" t="s">
        <v>226</v>
      </c>
      <c r="B327" s="2" t="s">
        <v>227</v>
      </c>
      <c r="C327" s="2" t="s">
        <v>8</v>
      </c>
      <c r="D327" s="3" t="n">
        <v>2500</v>
      </c>
      <c r="E327" s="3" t="n">
        <v>0</v>
      </c>
      <c r="F327" s="3" t="n">
        <v>3.77</v>
      </c>
    </row>
    <row r="328" customFormat="false" ht="12.75" hidden="false" customHeight="false" outlineLevel="0" collapsed="false">
      <c r="A328" s="2" t="s">
        <v>228</v>
      </c>
      <c r="B328" s="2" t="s">
        <v>88</v>
      </c>
      <c r="C328" s="2" t="s">
        <v>22</v>
      </c>
      <c r="D328" s="3" t="n">
        <v>0</v>
      </c>
      <c r="E328" s="3" t="n">
        <v>5000</v>
      </c>
      <c r="F328" s="3" t="n">
        <v>4.255</v>
      </c>
    </row>
    <row r="329" customFormat="false" ht="12.75" hidden="false" customHeight="false" outlineLevel="0" collapsed="false">
      <c r="A329" s="2" t="s">
        <v>228</v>
      </c>
      <c r="B329" s="2" t="s">
        <v>76</v>
      </c>
      <c r="C329" s="2" t="s">
        <v>13</v>
      </c>
      <c r="D329" s="3" t="n">
        <v>5000</v>
      </c>
      <c r="E329" s="3" t="n">
        <v>0</v>
      </c>
      <c r="F329" s="3" t="n">
        <v>3.87</v>
      </c>
    </row>
    <row r="330" customFormat="false" ht="12.75" hidden="false" customHeight="false" outlineLevel="0" collapsed="false">
      <c r="A330" s="2" t="s">
        <v>229</v>
      </c>
      <c r="B330" s="2" t="s">
        <v>70</v>
      </c>
      <c r="C330" s="2" t="s">
        <v>18</v>
      </c>
      <c r="D330" s="3" t="n">
        <v>5000</v>
      </c>
      <c r="E330" s="3" t="n">
        <v>0</v>
      </c>
      <c r="F330" s="3" t="n">
        <v>3.945</v>
      </c>
    </row>
    <row r="331" customFormat="false" ht="12.75" hidden="false" customHeight="false" outlineLevel="0" collapsed="false">
      <c r="A331" s="2" t="s">
        <v>229</v>
      </c>
      <c r="B331" s="2" t="s">
        <v>70</v>
      </c>
      <c r="C331" s="2" t="s">
        <v>18</v>
      </c>
      <c r="D331" s="3" t="n">
        <v>5000</v>
      </c>
      <c r="E331" s="3" t="n">
        <v>0</v>
      </c>
      <c r="F331" s="3" t="n">
        <v>3.94</v>
      </c>
    </row>
    <row r="332" customFormat="false" ht="12.75" hidden="false" customHeight="false" outlineLevel="0" collapsed="false">
      <c r="A332" s="2" t="s">
        <v>229</v>
      </c>
      <c r="B332" s="2" t="s">
        <v>230</v>
      </c>
      <c r="C332" s="2" t="s">
        <v>8</v>
      </c>
      <c r="D332" s="3" t="n">
        <v>10000</v>
      </c>
      <c r="E332" s="3" t="n">
        <v>0</v>
      </c>
      <c r="F332" s="3" t="n">
        <v>3.765</v>
      </c>
    </row>
    <row r="333" customFormat="false" ht="12.75" hidden="false" customHeight="false" outlineLevel="0" collapsed="false">
      <c r="A333" s="2" t="s">
        <v>229</v>
      </c>
      <c r="B333" s="2" t="s">
        <v>7</v>
      </c>
      <c r="C333" s="2" t="s">
        <v>65</v>
      </c>
      <c r="D333" s="3" t="n">
        <v>2500</v>
      </c>
      <c r="E333" s="3" t="n">
        <v>0</v>
      </c>
      <c r="F333" s="3" t="n">
        <v>3.8925</v>
      </c>
    </row>
    <row r="334" customFormat="false" ht="12.75" hidden="false" customHeight="false" outlineLevel="0" collapsed="false">
      <c r="A334" s="2" t="s">
        <v>229</v>
      </c>
      <c r="B334" s="2" t="s">
        <v>51</v>
      </c>
      <c r="C334" s="2" t="s">
        <v>8</v>
      </c>
      <c r="D334" s="3" t="n">
        <v>10000</v>
      </c>
      <c r="E334" s="3" t="n">
        <v>0</v>
      </c>
      <c r="F334" s="3" t="n">
        <v>3.765</v>
      </c>
    </row>
    <row r="335" customFormat="false" ht="12.75" hidden="false" customHeight="false" outlineLevel="0" collapsed="false">
      <c r="A335" s="2" t="s">
        <v>229</v>
      </c>
      <c r="B335" s="2" t="s">
        <v>72</v>
      </c>
      <c r="C335" s="2" t="s">
        <v>13</v>
      </c>
      <c r="D335" s="3" t="n">
        <v>5000</v>
      </c>
      <c r="E335" s="3" t="n">
        <v>0</v>
      </c>
      <c r="F335" s="3" t="n">
        <v>3.865</v>
      </c>
    </row>
    <row r="336" customFormat="false" ht="12.75" hidden="false" customHeight="false" outlineLevel="0" collapsed="false">
      <c r="A336" s="2" t="s">
        <v>231</v>
      </c>
      <c r="B336" s="2" t="s">
        <v>46</v>
      </c>
      <c r="C336" s="2" t="s">
        <v>8</v>
      </c>
      <c r="D336" s="3" t="n">
        <v>15000</v>
      </c>
      <c r="E336" s="3" t="n">
        <v>0</v>
      </c>
      <c r="F336" s="3" t="n">
        <v>3.76</v>
      </c>
    </row>
    <row r="337" customFormat="false" ht="12.75" hidden="false" customHeight="false" outlineLevel="0" collapsed="false">
      <c r="A337" s="2" t="s">
        <v>231</v>
      </c>
      <c r="B337" s="2" t="s">
        <v>20</v>
      </c>
      <c r="C337" s="2" t="s">
        <v>8</v>
      </c>
      <c r="D337" s="3" t="n">
        <v>0</v>
      </c>
      <c r="E337" s="3" t="n">
        <v>2500</v>
      </c>
      <c r="F337" s="3" t="n">
        <v>3.77</v>
      </c>
    </row>
    <row r="338" customFormat="false" ht="12.75" hidden="false" customHeight="false" outlineLevel="0" collapsed="false">
      <c r="A338" s="2" t="s">
        <v>231</v>
      </c>
      <c r="B338" s="2" t="s">
        <v>35</v>
      </c>
      <c r="C338" s="2" t="s">
        <v>8</v>
      </c>
      <c r="D338" s="3" t="n">
        <v>0</v>
      </c>
      <c r="E338" s="3" t="n">
        <v>5000</v>
      </c>
      <c r="F338" s="3" t="n">
        <v>3.77</v>
      </c>
    </row>
    <row r="339" customFormat="false" ht="12.75" hidden="false" customHeight="false" outlineLevel="0" collapsed="false">
      <c r="A339" s="2" t="s">
        <v>231</v>
      </c>
      <c r="B339" s="2" t="s">
        <v>88</v>
      </c>
      <c r="C339" s="2" t="s">
        <v>8</v>
      </c>
      <c r="D339" s="3" t="n">
        <v>0</v>
      </c>
      <c r="E339" s="3" t="n">
        <v>2500</v>
      </c>
      <c r="F339" s="3" t="n">
        <v>3.77</v>
      </c>
    </row>
    <row r="340" customFormat="false" ht="12.75" hidden="false" customHeight="false" outlineLevel="0" collapsed="false">
      <c r="A340" s="2" t="s">
        <v>232</v>
      </c>
      <c r="B340" s="2" t="s">
        <v>46</v>
      </c>
      <c r="C340" s="2" t="s">
        <v>8</v>
      </c>
      <c r="D340" s="3" t="n">
        <v>2500</v>
      </c>
      <c r="E340" s="3" t="n">
        <v>0</v>
      </c>
      <c r="F340" s="3" t="n">
        <v>3.765</v>
      </c>
    </row>
    <row r="341" customFormat="false" ht="12.75" hidden="false" customHeight="false" outlineLevel="0" collapsed="false">
      <c r="A341" s="2" t="s">
        <v>233</v>
      </c>
      <c r="B341" s="2" t="s">
        <v>85</v>
      </c>
      <c r="C341" s="2" t="s">
        <v>32</v>
      </c>
      <c r="D341" s="3" t="n">
        <v>0</v>
      </c>
      <c r="E341" s="3" t="n">
        <v>10000</v>
      </c>
      <c r="F341" s="3" t="n">
        <v>3.86</v>
      </c>
    </row>
    <row r="342" customFormat="false" ht="12.75" hidden="false" customHeight="false" outlineLevel="0" collapsed="false">
      <c r="A342" s="2" t="s">
        <v>233</v>
      </c>
      <c r="B342" s="2" t="s">
        <v>234</v>
      </c>
      <c r="C342" s="2" t="s">
        <v>8</v>
      </c>
      <c r="D342" s="3" t="n">
        <v>0</v>
      </c>
      <c r="E342" s="3" t="n">
        <v>10000</v>
      </c>
      <c r="F342" s="3" t="n">
        <v>3.765</v>
      </c>
    </row>
    <row r="343" customFormat="false" ht="12.75" hidden="false" customHeight="false" outlineLevel="0" collapsed="false">
      <c r="A343" s="2" t="s">
        <v>233</v>
      </c>
      <c r="B343" s="2" t="s">
        <v>234</v>
      </c>
      <c r="C343" s="2" t="s">
        <v>8</v>
      </c>
      <c r="D343" s="3" t="n">
        <v>0</v>
      </c>
      <c r="E343" s="3" t="n">
        <v>10000</v>
      </c>
      <c r="F343" s="3" t="n">
        <v>3.765</v>
      </c>
    </row>
    <row r="344" customFormat="false" ht="12.75" hidden="false" customHeight="false" outlineLevel="0" collapsed="false">
      <c r="A344" s="2" t="s">
        <v>233</v>
      </c>
      <c r="B344" s="2" t="s">
        <v>201</v>
      </c>
      <c r="C344" s="2" t="s">
        <v>8</v>
      </c>
      <c r="D344" s="3" t="n">
        <v>20000</v>
      </c>
      <c r="E344" s="3" t="n">
        <v>0</v>
      </c>
      <c r="F344" s="3" t="n">
        <v>3.76</v>
      </c>
    </row>
    <row r="345" customFormat="false" ht="12.75" hidden="false" customHeight="false" outlineLevel="0" collapsed="false">
      <c r="A345" s="2" t="s">
        <v>233</v>
      </c>
      <c r="B345" s="2" t="s">
        <v>59</v>
      </c>
      <c r="C345" s="2" t="s">
        <v>8</v>
      </c>
      <c r="D345" s="3" t="n">
        <v>20000</v>
      </c>
      <c r="E345" s="3" t="n">
        <v>0</v>
      </c>
      <c r="F345" s="3" t="n">
        <v>3.76</v>
      </c>
    </row>
    <row r="346" customFormat="false" ht="12.75" hidden="false" customHeight="false" outlineLevel="0" collapsed="false">
      <c r="A346" s="2" t="s">
        <v>233</v>
      </c>
      <c r="B346" s="2" t="s">
        <v>43</v>
      </c>
      <c r="C346" s="2" t="s">
        <v>65</v>
      </c>
      <c r="D346" s="3" t="n">
        <v>10000</v>
      </c>
      <c r="E346" s="3" t="n">
        <v>0</v>
      </c>
      <c r="F346" s="3" t="n">
        <v>3.8875</v>
      </c>
    </row>
    <row r="347" customFormat="false" ht="12.75" hidden="false" customHeight="false" outlineLevel="0" collapsed="false">
      <c r="A347" s="2" t="s">
        <v>235</v>
      </c>
      <c r="B347" s="2" t="s">
        <v>46</v>
      </c>
      <c r="C347" s="2" t="s">
        <v>8</v>
      </c>
      <c r="D347" s="3" t="n">
        <v>0</v>
      </c>
      <c r="E347" s="3" t="n">
        <v>10000</v>
      </c>
      <c r="F347" s="3" t="n">
        <v>3.76</v>
      </c>
    </row>
    <row r="348" customFormat="false" ht="12.75" hidden="false" customHeight="false" outlineLevel="0" collapsed="false">
      <c r="A348" s="2" t="s">
        <v>235</v>
      </c>
      <c r="B348" s="2" t="s">
        <v>88</v>
      </c>
      <c r="C348" s="2" t="s">
        <v>8</v>
      </c>
      <c r="D348" s="3" t="n">
        <v>0</v>
      </c>
      <c r="E348" s="3" t="n">
        <v>5000</v>
      </c>
      <c r="F348" s="3" t="n">
        <v>3.765</v>
      </c>
    </row>
    <row r="349" customFormat="false" ht="12.75" hidden="false" customHeight="false" outlineLevel="0" collapsed="false">
      <c r="A349" s="2" t="s">
        <v>235</v>
      </c>
      <c r="B349" s="2" t="s">
        <v>88</v>
      </c>
      <c r="C349" s="2" t="s">
        <v>22</v>
      </c>
      <c r="D349" s="3" t="n">
        <v>0</v>
      </c>
      <c r="E349" s="3" t="n">
        <v>5000</v>
      </c>
      <c r="F349" s="3" t="n">
        <v>4.25</v>
      </c>
    </row>
    <row r="350" customFormat="false" ht="12.75" hidden="false" customHeight="false" outlineLevel="0" collapsed="false">
      <c r="A350" s="2" t="s">
        <v>235</v>
      </c>
      <c r="B350" s="2" t="s">
        <v>234</v>
      </c>
      <c r="C350" s="2" t="s">
        <v>8</v>
      </c>
      <c r="D350" s="3" t="n">
        <v>0</v>
      </c>
      <c r="E350" s="3" t="n">
        <v>10000</v>
      </c>
      <c r="F350" s="3" t="n">
        <v>3.76</v>
      </c>
    </row>
    <row r="351" customFormat="false" ht="12.75" hidden="false" customHeight="false" outlineLevel="0" collapsed="false">
      <c r="A351" s="2" t="s">
        <v>235</v>
      </c>
      <c r="B351" s="2" t="s">
        <v>72</v>
      </c>
      <c r="C351" s="2" t="s">
        <v>32</v>
      </c>
      <c r="D351" s="3" t="n">
        <v>10000</v>
      </c>
      <c r="E351" s="3" t="n">
        <v>0</v>
      </c>
      <c r="F351" s="3" t="n">
        <v>3.845</v>
      </c>
    </row>
    <row r="352" customFormat="false" ht="12.75" hidden="false" customHeight="false" outlineLevel="0" collapsed="false">
      <c r="A352" s="2" t="s">
        <v>235</v>
      </c>
      <c r="B352" s="2" t="s">
        <v>236</v>
      </c>
      <c r="C352" s="2" t="s">
        <v>8</v>
      </c>
      <c r="D352" s="3" t="n">
        <v>0</v>
      </c>
      <c r="E352" s="3" t="n">
        <v>15000</v>
      </c>
      <c r="F352" s="3" t="n">
        <v>3.765</v>
      </c>
    </row>
    <row r="353" customFormat="false" ht="12.75" hidden="false" customHeight="false" outlineLevel="0" collapsed="false">
      <c r="A353" s="2" t="s">
        <v>235</v>
      </c>
      <c r="B353" s="2" t="s">
        <v>59</v>
      </c>
      <c r="C353" s="2" t="s">
        <v>8</v>
      </c>
      <c r="D353" s="3" t="n">
        <v>20000</v>
      </c>
      <c r="E353" s="3" t="n">
        <v>0</v>
      </c>
      <c r="F353" s="3" t="n">
        <v>3.755</v>
      </c>
    </row>
    <row r="354" customFormat="false" ht="12.75" hidden="false" customHeight="false" outlineLevel="0" collapsed="false">
      <c r="A354" s="2" t="s">
        <v>237</v>
      </c>
      <c r="B354" s="2" t="s">
        <v>17</v>
      </c>
      <c r="C354" s="2" t="s">
        <v>18</v>
      </c>
      <c r="D354" s="3" t="n">
        <v>0</v>
      </c>
      <c r="E354" s="3" t="n">
        <v>5000</v>
      </c>
      <c r="F354" s="3" t="n">
        <v>3.945</v>
      </c>
    </row>
    <row r="355" customFormat="false" ht="12.75" hidden="false" customHeight="false" outlineLevel="0" collapsed="false">
      <c r="A355" s="2" t="s">
        <v>238</v>
      </c>
      <c r="B355" s="2" t="s">
        <v>239</v>
      </c>
      <c r="C355" s="2" t="s">
        <v>18</v>
      </c>
      <c r="D355" s="3" t="n">
        <v>5000</v>
      </c>
      <c r="E355" s="3" t="n">
        <v>0</v>
      </c>
      <c r="F355" s="3" t="n">
        <v>3.935</v>
      </c>
    </row>
    <row r="356" customFormat="false" ht="12.75" hidden="false" customHeight="false" outlineLevel="0" collapsed="false">
      <c r="A356" s="2" t="s">
        <v>238</v>
      </c>
      <c r="B356" s="2" t="s">
        <v>239</v>
      </c>
      <c r="C356" s="2" t="s">
        <v>18</v>
      </c>
      <c r="D356" s="3" t="n">
        <v>5000</v>
      </c>
      <c r="E356" s="3" t="n">
        <v>0</v>
      </c>
      <c r="F356" s="3" t="n">
        <v>3.935</v>
      </c>
    </row>
    <row r="357" customFormat="false" ht="12.75" hidden="false" customHeight="false" outlineLevel="0" collapsed="false">
      <c r="A357" s="2" t="s">
        <v>240</v>
      </c>
      <c r="B357" s="2" t="s">
        <v>100</v>
      </c>
      <c r="C357" s="2" t="s">
        <v>8</v>
      </c>
      <c r="D357" s="3" t="n">
        <v>0</v>
      </c>
      <c r="E357" s="3" t="n">
        <v>5000</v>
      </c>
      <c r="F357" s="3" t="n">
        <v>3.76</v>
      </c>
    </row>
    <row r="358" customFormat="false" ht="12.75" hidden="false" customHeight="false" outlineLevel="0" collapsed="false">
      <c r="A358" s="2" t="s">
        <v>240</v>
      </c>
      <c r="B358" s="2" t="s">
        <v>88</v>
      </c>
      <c r="C358" s="2" t="s">
        <v>22</v>
      </c>
      <c r="D358" s="3" t="n">
        <v>0</v>
      </c>
      <c r="E358" s="3" t="n">
        <v>5000</v>
      </c>
      <c r="F358" s="3" t="n">
        <v>4.25</v>
      </c>
    </row>
    <row r="359" customFormat="false" ht="12.75" hidden="false" customHeight="false" outlineLevel="0" collapsed="false">
      <c r="A359" s="2" t="s">
        <v>240</v>
      </c>
      <c r="B359" s="2" t="s">
        <v>234</v>
      </c>
      <c r="C359" s="2" t="s">
        <v>8</v>
      </c>
      <c r="D359" s="3" t="n">
        <v>0</v>
      </c>
      <c r="E359" s="3" t="n">
        <v>10000</v>
      </c>
      <c r="F359" s="3" t="n">
        <v>3.76</v>
      </c>
    </row>
    <row r="360" customFormat="false" ht="12.75" hidden="false" customHeight="false" outlineLevel="0" collapsed="false">
      <c r="A360" s="2" t="s">
        <v>240</v>
      </c>
      <c r="B360" s="2" t="s">
        <v>72</v>
      </c>
      <c r="C360" s="2" t="s">
        <v>32</v>
      </c>
      <c r="D360" s="3" t="n">
        <v>10000</v>
      </c>
      <c r="E360" s="3" t="n">
        <v>0</v>
      </c>
      <c r="F360" s="3" t="n">
        <v>3.85</v>
      </c>
    </row>
    <row r="361" customFormat="false" ht="12.75" hidden="false" customHeight="false" outlineLevel="0" collapsed="false">
      <c r="A361" s="2" t="s">
        <v>240</v>
      </c>
      <c r="B361" s="2" t="s">
        <v>239</v>
      </c>
      <c r="C361" s="2" t="s">
        <v>18</v>
      </c>
      <c r="D361" s="3" t="n">
        <v>5000</v>
      </c>
      <c r="E361" s="3" t="n">
        <v>0</v>
      </c>
      <c r="F361" s="3" t="n">
        <v>3.935</v>
      </c>
    </row>
    <row r="362" customFormat="false" ht="12.75" hidden="false" customHeight="false" outlineLevel="0" collapsed="false">
      <c r="A362" s="2" t="s">
        <v>240</v>
      </c>
      <c r="B362" s="2" t="s">
        <v>24</v>
      </c>
      <c r="C362" s="2" t="s">
        <v>8</v>
      </c>
      <c r="D362" s="3" t="n">
        <v>20000</v>
      </c>
      <c r="E362" s="3" t="n">
        <v>0</v>
      </c>
      <c r="F362" s="3" t="n">
        <v>3.755</v>
      </c>
    </row>
    <row r="363" customFormat="false" ht="12.75" hidden="false" customHeight="false" outlineLevel="0" collapsed="false">
      <c r="A363" s="2" t="s">
        <v>241</v>
      </c>
      <c r="B363" s="2" t="s">
        <v>51</v>
      </c>
      <c r="C363" s="2" t="s">
        <v>242</v>
      </c>
      <c r="D363" s="3" t="n">
        <v>150</v>
      </c>
      <c r="E363" s="3" t="n">
        <v>0</v>
      </c>
      <c r="F363" s="3" t="n">
        <v>3.845</v>
      </c>
    </row>
    <row r="364" customFormat="false" ht="12.75" hidden="false" customHeight="false" outlineLevel="0" collapsed="false">
      <c r="A364" s="2" t="s">
        <v>241</v>
      </c>
      <c r="B364" s="2" t="s">
        <v>51</v>
      </c>
      <c r="C364" s="2" t="s">
        <v>243</v>
      </c>
      <c r="D364" s="3" t="n">
        <v>0</v>
      </c>
      <c r="E364" s="3" t="n">
        <v>150</v>
      </c>
      <c r="F364" s="3" t="n">
        <v>3.89</v>
      </c>
    </row>
    <row r="365" customFormat="false" ht="12.75" hidden="false" customHeight="false" outlineLevel="0" collapsed="false">
      <c r="A365" s="2" t="s">
        <v>241</v>
      </c>
      <c r="B365" s="2" t="s">
        <v>51</v>
      </c>
      <c r="C365" s="2" t="s">
        <v>242</v>
      </c>
      <c r="D365" s="3" t="n">
        <v>50</v>
      </c>
      <c r="E365" s="3" t="n">
        <v>0</v>
      </c>
      <c r="F365" s="3" t="n">
        <v>3.845</v>
      </c>
    </row>
    <row r="366" customFormat="false" ht="12.75" hidden="false" customHeight="false" outlineLevel="0" collapsed="false">
      <c r="A366" s="2" t="s">
        <v>241</v>
      </c>
      <c r="B366" s="2" t="s">
        <v>51</v>
      </c>
      <c r="C366" s="2" t="s">
        <v>243</v>
      </c>
      <c r="D366" s="3" t="n">
        <v>0</v>
      </c>
      <c r="E366" s="3" t="n">
        <v>50</v>
      </c>
      <c r="F366" s="3" t="n">
        <v>3.891</v>
      </c>
    </row>
    <row r="367" customFormat="false" ht="12.75" hidden="false" customHeight="false" outlineLevel="0" collapsed="false">
      <c r="A367" s="2" t="s">
        <v>241</v>
      </c>
      <c r="B367" s="2" t="s">
        <v>199</v>
      </c>
      <c r="C367" s="2" t="s">
        <v>13</v>
      </c>
      <c r="D367" s="3" t="n">
        <v>5000</v>
      </c>
      <c r="E367" s="3" t="n">
        <v>0</v>
      </c>
      <c r="F367" s="3" t="n">
        <v>3.86</v>
      </c>
    </row>
    <row r="368" customFormat="false" ht="12.75" hidden="false" customHeight="false" outlineLevel="0" collapsed="false">
      <c r="A368" s="2" t="s">
        <v>241</v>
      </c>
      <c r="B368" s="2" t="s">
        <v>239</v>
      </c>
      <c r="C368" s="2" t="s">
        <v>18</v>
      </c>
      <c r="D368" s="3" t="n">
        <v>5000</v>
      </c>
      <c r="E368" s="3" t="n">
        <v>0</v>
      </c>
      <c r="F368" s="3" t="n">
        <v>3.93</v>
      </c>
    </row>
    <row r="369" customFormat="false" ht="12.75" hidden="false" customHeight="false" outlineLevel="0" collapsed="false">
      <c r="A369" s="2" t="s">
        <v>244</v>
      </c>
      <c r="B369" s="2" t="s">
        <v>245</v>
      </c>
      <c r="C369" s="2" t="s">
        <v>8</v>
      </c>
      <c r="D369" s="3" t="n">
        <v>2500</v>
      </c>
      <c r="E369" s="3" t="n">
        <v>0</v>
      </c>
      <c r="F369" s="3" t="n">
        <v>3.75</v>
      </c>
    </row>
    <row r="370" customFormat="false" ht="12.75" hidden="false" customHeight="false" outlineLevel="0" collapsed="false">
      <c r="A370" s="2" t="s">
        <v>244</v>
      </c>
      <c r="B370" s="2" t="s">
        <v>94</v>
      </c>
      <c r="C370" s="2" t="s">
        <v>8</v>
      </c>
      <c r="D370" s="3" t="n">
        <v>5000</v>
      </c>
      <c r="E370" s="3" t="n">
        <v>0</v>
      </c>
      <c r="F370" s="3" t="n">
        <v>3.75</v>
      </c>
    </row>
    <row r="371" customFormat="false" ht="12.75" hidden="false" customHeight="false" outlineLevel="0" collapsed="false">
      <c r="A371" s="2" t="s">
        <v>244</v>
      </c>
      <c r="B371" s="2" t="s">
        <v>17</v>
      </c>
      <c r="C371" s="2" t="s">
        <v>32</v>
      </c>
      <c r="D371" s="3" t="n">
        <v>10000</v>
      </c>
      <c r="E371" s="3" t="n">
        <v>0</v>
      </c>
      <c r="F371" s="3" t="n">
        <v>3.84</v>
      </c>
    </row>
    <row r="372" customFormat="false" ht="12.75" hidden="false" customHeight="false" outlineLevel="0" collapsed="false">
      <c r="A372" s="2" t="s">
        <v>246</v>
      </c>
      <c r="B372" s="2" t="s">
        <v>46</v>
      </c>
      <c r="C372" s="2" t="s">
        <v>8</v>
      </c>
      <c r="D372" s="3" t="n">
        <v>0</v>
      </c>
      <c r="E372" s="3" t="n">
        <v>2500</v>
      </c>
      <c r="F372" s="3" t="n">
        <v>3.76</v>
      </c>
    </row>
    <row r="373" customFormat="false" ht="12.75" hidden="false" customHeight="false" outlineLevel="0" collapsed="false">
      <c r="A373" s="2" t="s">
        <v>247</v>
      </c>
      <c r="B373" s="2" t="s">
        <v>26</v>
      </c>
      <c r="C373" s="2" t="s">
        <v>8</v>
      </c>
      <c r="D373" s="3" t="n">
        <v>20000</v>
      </c>
      <c r="E373" s="3" t="n">
        <v>0</v>
      </c>
      <c r="F373" s="3" t="n">
        <v>3.755</v>
      </c>
    </row>
    <row r="374" customFormat="false" ht="12.75" hidden="false" customHeight="false" outlineLevel="0" collapsed="false">
      <c r="A374" s="2" t="s">
        <v>247</v>
      </c>
      <c r="B374" s="2" t="s">
        <v>85</v>
      </c>
      <c r="C374" s="2" t="s">
        <v>22</v>
      </c>
      <c r="D374" s="3" t="n">
        <v>0</v>
      </c>
      <c r="E374" s="3" t="n">
        <v>5000</v>
      </c>
      <c r="F374" s="3" t="n">
        <v>4.24</v>
      </c>
    </row>
    <row r="375" customFormat="false" ht="12.75" hidden="false" customHeight="false" outlineLevel="0" collapsed="false">
      <c r="A375" s="2" t="s">
        <v>247</v>
      </c>
      <c r="B375" s="2" t="s">
        <v>234</v>
      </c>
      <c r="C375" s="2" t="s">
        <v>8</v>
      </c>
      <c r="D375" s="3" t="n">
        <v>0</v>
      </c>
      <c r="E375" s="3" t="n">
        <v>17500</v>
      </c>
      <c r="F375" s="3" t="n">
        <v>3.755</v>
      </c>
    </row>
    <row r="376" customFormat="false" ht="12.75" hidden="false" customHeight="false" outlineLevel="0" collapsed="false">
      <c r="A376" s="2" t="s">
        <v>247</v>
      </c>
      <c r="B376" s="2" t="s">
        <v>248</v>
      </c>
      <c r="C376" s="2" t="s">
        <v>8</v>
      </c>
      <c r="D376" s="3" t="n">
        <v>17500</v>
      </c>
      <c r="E376" s="3" t="n">
        <v>0</v>
      </c>
      <c r="F376" s="3" t="n">
        <v>3.75</v>
      </c>
    </row>
    <row r="377" customFormat="false" ht="12.75" hidden="false" customHeight="false" outlineLevel="0" collapsed="false">
      <c r="A377" s="2" t="s">
        <v>247</v>
      </c>
      <c r="B377" s="2" t="s">
        <v>214</v>
      </c>
      <c r="C377" s="2" t="s">
        <v>8</v>
      </c>
      <c r="D377" s="3" t="n">
        <v>0</v>
      </c>
      <c r="E377" s="3" t="n">
        <v>2500</v>
      </c>
      <c r="F377" s="3" t="n">
        <v>3.76</v>
      </c>
    </row>
    <row r="378" customFormat="false" ht="12.75" hidden="false" customHeight="false" outlineLevel="0" collapsed="false">
      <c r="A378" s="2" t="s">
        <v>247</v>
      </c>
      <c r="B378" s="2" t="s">
        <v>199</v>
      </c>
      <c r="C378" s="2" t="s">
        <v>8</v>
      </c>
      <c r="D378" s="3" t="n">
        <v>0</v>
      </c>
      <c r="E378" s="3" t="n">
        <v>20000</v>
      </c>
      <c r="F378" s="3" t="n">
        <v>3.76</v>
      </c>
    </row>
    <row r="379" customFormat="false" ht="12.75" hidden="false" customHeight="false" outlineLevel="0" collapsed="false">
      <c r="A379" s="2" t="s">
        <v>247</v>
      </c>
      <c r="B379" s="2" t="s">
        <v>24</v>
      </c>
      <c r="C379" s="2" t="s">
        <v>13</v>
      </c>
      <c r="D379" s="3" t="n">
        <v>5000</v>
      </c>
      <c r="E379" s="3" t="n">
        <v>0</v>
      </c>
      <c r="F379" s="3" t="n">
        <v>3.855</v>
      </c>
    </row>
    <row r="380" customFormat="false" ht="12.75" hidden="false" customHeight="false" outlineLevel="0" collapsed="false">
      <c r="A380" s="2" t="s">
        <v>247</v>
      </c>
      <c r="B380" s="2" t="s">
        <v>24</v>
      </c>
      <c r="C380" s="2" t="s">
        <v>22</v>
      </c>
      <c r="D380" s="3" t="n">
        <v>5000</v>
      </c>
      <c r="E380" s="3" t="n">
        <v>0</v>
      </c>
      <c r="F380" s="3" t="n">
        <v>4.235</v>
      </c>
    </row>
    <row r="381" customFormat="false" ht="12.75" hidden="false" customHeight="false" outlineLevel="0" collapsed="false">
      <c r="A381" s="2" t="s">
        <v>249</v>
      </c>
      <c r="B381" s="2" t="s">
        <v>236</v>
      </c>
      <c r="C381" s="2" t="s">
        <v>8</v>
      </c>
      <c r="D381" s="3" t="n">
        <v>0</v>
      </c>
      <c r="E381" s="3" t="n">
        <v>10000</v>
      </c>
      <c r="F381" s="3" t="n">
        <v>3.76</v>
      </c>
    </row>
    <row r="382" customFormat="false" ht="12.75" hidden="false" customHeight="false" outlineLevel="0" collapsed="false">
      <c r="A382" s="2" t="s">
        <v>250</v>
      </c>
      <c r="B382" s="2" t="s">
        <v>88</v>
      </c>
      <c r="C382" s="2" t="s">
        <v>8</v>
      </c>
      <c r="D382" s="3" t="n">
        <v>20000</v>
      </c>
      <c r="E382" s="3" t="n">
        <v>0</v>
      </c>
      <c r="F382" s="3" t="n">
        <v>3.755</v>
      </c>
    </row>
    <row r="383" customFormat="false" ht="12.75" hidden="false" customHeight="false" outlineLevel="0" collapsed="false">
      <c r="A383" s="2" t="s">
        <v>250</v>
      </c>
      <c r="B383" s="2" t="s">
        <v>88</v>
      </c>
      <c r="C383" s="2" t="s">
        <v>22</v>
      </c>
      <c r="D383" s="3" t="n">
        <v>0</v>
      </c>
      <c r="E383" s="3" t="n">
        <v>5000</v>
      </c>
      <c r="F383" s="3" t="n">
        <v>4.245</v>
      </c>
    </row>
    <row r="384" customFormat="false" ht="12.75" hidden="false" customHeight="false" outlineLevel="0" collapsed="false">
      <c r="A384" s="2" t="s">
        <v>250</v>
      </c>
      <c r="B384" s="2" t="s">
        <v>85</v>
      </c>
      <c r="C384" s="2" t="s">
        <v>8</v>
      </c>
      <c r="D384" s="3" t="n">
        <v>0</v>
      </c>
      <c r="E384" s="3" t="n">
        <v>7500</v>
      </c>
      <c r="F384" s="3" t="n">
        <v>3.76</v>
      </c>
    </row>
    <row r="385" customFormat="false" ht="12.75" hidden="false" customHeight="false" outlineLevel="0" collapsed="false">
      <c r="A385" s="2" t="s">
        <v>250</v>
      </c>
      <c r="B385" s="2" t="s">
        <v>236</v>
      </c>
      <c r="C385" s="2" t="s">
        <v>8</v>
      </c>
      <c r="D385" s="3" t="n">
        <v>0</v>
      </c>
      <c r="E385" s="3" t="n">
        <v>20000</v>
      </c>
      <c r="F385" s="3" t="n">
        <v>3.76</v>
      </c>
    </row>
    <row r="386" customFormat="false" ht="12.75" hidden="false" customHeight="false" outlineLevel="0" collapsed="false">
      <c r="A386" s="2" t="s">
        <v>251</v>
      </c>
      <c r="B386" s="2" t="s">
        <v>252</v>
      </c>
      <c r="C386" s="2" t="s">
        <v>18</v>
      </c>
      <c r="D386" s="3" t="n">
        <v>0</v>
      </c>
      <c r="E386" s="3" t="n">
        <v>1500</v>
      </c>
      <c r="F386" s="3" t="n">
        <v>3.94</v>
      </c>
    </row>
    <row r="387" customFormat="false" ht="12.75" hidden="false" customHeight="false" outlineLevel="0" collapsed="false">
      <c r="A387" s="2" t="s">
        <v>251</v>
      </c>
      <c r="B387" s="2" t="s">
        <v>214</v>
      </c>
      <c r="C387" s="2" t="s">
        <v>8</v>
      </c>
      <c r="D387" s="3" t="n">
        <v>15000</v>
      </c>
      <c r="E387" s="3" t="n">
        <v>0</v>
      </c>
      <c r="F387" s="3" t="n">
        <v>3.755</v>
      </c>
    </row>
    <row r="388" customFormat="false" ht="12.75" hidden="false" customHeight="false" outlineLevel="0" collapsed="false">
      <c r="A388" s="2" t="s">
        <v>251</v>
      </c>
      <c r="B388" s="2" t="s">
        <v>214</v>
      </c>
      <c r="C388" s="2" t="s">
        <v>8</v>
      </c>
      <c r="D388" s="3" t="n">
        <v>2500</v>
      </c>
      <c r="E388" s="3" t="n">
        <v>0</v>
      </c>
      <c r="F388" s="3" t="n">
        <v>3.75</v>
      </c>
    </row>
    <row r="389" customFormat="false" ht="12.75" hidden="false" customHeight="false" outlineLevel="0" collapsed="false">
      <c r="A389" s="2" t="s">
        <v>251</v>
      </c>
      <c r="B389" s="2" t="s">
        <v>12</v>
      </c>
      <c r="C389" s="2" t="s">
        <v>13</v>
      </c>
      <c r="D389" s="3" t="n">
        <v>5000</v>
      </c>
      <c r="E389" s="3" t="n">
        <v>0</v>
      </c>
      <c r="F389" s="3" t="n">
        <v>3.86</v>
      </c>
    </row>
    <row r="390" customFormat="false" ht="12.75" hidden="false" customHeight="false" outlineLevel="0" collapsed="false">
      <c r="A390" s="2" t="s">
        <v>253</v>
      </c>
      <c r="B390" s="2" t="s">
        <v>70</v>
      </c>
      <c r="C390" s="2" t="s">
        <v>13</v>
      </c>
      <c r="D390" s="3" t="n">
        <v>5000</v>
      </c>
      <c r="E390" s="3" t="n">
        <v>0</v>
      </c>
      <c r="F390" s="3" t="n">
        <v>3.855</v>
      </c>
    </row>
    <row r="391" customFormat="false" ht="12.75" hidden="false" customHeight="false" outlineLevel="0" collapsed="false">
      <c r="A391" s="2" t="s">
        <v>253</v>
      </c>
      <c r="B391" s="2" t="s">
        <v>70</v>
      </c>
      <c r="C391" s="2" t="s">
        <v>13</v>
      </c>
      <c r="D391" s="3" t="n">
        <v>5000</v>
      </c>
      <c r="E391" s="3" t="n">
        <v>0</v>
      </c>
      <c r="F391" s="3" t="n">
        <v>3.85</v>
      </c>
    </row>
    <row r="392" customFormat="false" ht="12.75" hidden="false" customHeight="false" outlineLevel="0" collapsed="false">
      <c r="A392" s="2" t="s">
        <v>253</v>
      </c>
      <c r="B392" s="2" t="s">
        <v>46</v>
      </c>
      <c r="C392" s="2" t="s">
        <v>8</v>
      </c>
      <c r="D392" s="3" t="n">
        <v>17500</v>
      </c>
      <c r="E392" s="3" t="n">
        <v>0</v>
      </c>
      <c r="F392" s="3" t="n">
        <v>3.75</v>
      </c>
    </row>
    <row r="393" customFormat="false" ht="12.75" hidden="false" customHeight="false" outlineLevel="0" collapsed="false">
      <c r="A393" s="2" t="s">
        <v>253</v>
      </c>
      <c r="B393" s="2" t="s">
        <v>254</v>
      </c>
      <c r="C393" s="2" t="s">
        <v>8</v>
      </c>
      <c r="D393" s="3" t="n">
        <v>2500</v>
      </c>
      <c r="E393" s="3" t="n">
        <v>0</v>
      </c>
      <c r="F393" s="3" t="n">
        <v>3.745</v>
      </c>
    </row>
    <row r="394" customFormat="false" ht="12.75" hidden="false" customHeight="false" outlineLevel="0" collapsed="false">
      <c r="A394" s="2" t="s">
        <v>253</v>
      </c>
      <c r="B394" s="2" t="s">
        <v>234</v>
      </c>
      <c r="C394" s="2" t="s">
        <v>8</v>
      </c>
      <c r="D394" s="3" t="n">
        <v>0</v>
      </c>
      <c r="E394" s="3" t="n">
        <v>10000</v>
      </c>
      <c r="F394" s="3" t="n">
        <v>3.75</v>
      </c>
    </row>
    <row r="395" customFormat="false" ht="12.75" hidden="false" customHeight="false" outlineLevel="0" collapsed="false">
      <c r="A395" s="2" t="s">
        <v>253</v>
      </c>
      <c r="B395" s="2" t="s">
        <v>30</v>
      </c>
      <c r="C395" s="2" t="s">
        <v>8</v>
      </c>
      <c r="D395" s="3" t="n">
        <v>0</v>
      </c>
      <c r="E395" s="3" t="n">
        <v>10000</v>
      </c>
      <c r="F395" s="3" t="n">
        <v>3.7525</v>
      </c>
    </row>
    <row r="396" customFormat="false" ht="12.75" hidden="false" customHeight="false" outlineLevel="0" collapsed="false">
      <c r="A396" s="2" t="s">
        <v>253</v>
      </c>
      <c r="B396" s="2" t="s">
        <v>214</v>
      </c>
      <c r="C396" s="2" t="s">
        <v>8</v>
      </c>
      <c r="D396" s="3" t="n">
        <v>20000</v>
      </c>
      <c r="E396" s="3" t="n">
        <v>0</v>
      </c>
      <c r="F396" s="3" t="n">
        <v>3.745</v>
      </c>
    </row>
    <row r="397" customFormat="false" ht="12.75" hidden="false" customHeight="false" outlineLevel="0" collapsed="false">
      <c r="A397" s="2" t="s">
        <v>255</v>
      </c>
      <c r="B397" s="2" t="s">
        <v>26</v>
      </c>
      <c r="C397" s="2" t="s">
        <v>18</v>
      </c>
      <c r="D397" s="3" t="n">
        <v>5000</v>
      </c>
      <c r="E397" s="3" t="n">
        <v>0</v>
      </c>
      <c r="F397" s="3" t="n">
        <v>3.93</v>
      </c>
    </row>
    <row r="398" customFormat="false" ht="12.75" hidden="false" customHeight="false" outlineLevel="0" collapsed="false">
      <c r="A398" s="2" t="s">
        <v>256</v>
      </c>
      <c r="B398" s="2" t="s">
        <v>70</v>
      </c>
      <c r="C398" s="2" t="s">
        <v>13</v>
      </c>
      <c r="D398" s="3" t="n">
        <v>5000</v>
      </c>
      <c r="E398" s="3" t="n">
        <v>0</v>
      </c>
      <c r="F398" s="3" t="n">
        <v>3.85</v>
      </c>
    </row>
    <row r="399" customFormat="false" ht="12.75" hidden="false" customHeight="false" outlineLevel="0" collapsed="false">
      <c r="A399" s="2" t="s">
        <v>256</v>
      </c>
      <c r="B399" s="2" t="s">
        <v>20</v>
      </c>
      <c r="C399" s="2" t="s">
        <v>8</v>
      </c>
      <c r="D399" s="3" t="n">
        <v>0</v>
      </c>
      <c r="E399" s="3" t="n">
        <v>5000</v>
      </c>
      <c r="F399" s="3" t="n">
        <v>3.755</v>
      </c>
    </row>
    <row r="400" customFormat="false" ht="12.75" hidden="false" customHeight="false" outlineLevel="0" collapsed="false">
      <c r="A400" s="2" t="s">
        <v>256</v>
      </c>
      <c r="B400" s="2" t="s">
        <v>35</v>
      </c>
      <c r="C400" s="2" t="s">
        <v>8</v>
      </c>
      <c r="D400" s="3" t="n">
        <v>0</v>
      </c>
      <c r="E400" s="3" t="n">
        <v>2500</v>
      </c>
      <c r="F400" s="3" t="n">
        <v>3.755</v>
      </c>
    </row>
    <row r="401" customFormat="false" ht="12.75" hidden="false" customHeight="false" outlineLevel="0" collapsed="false">
      <c r="A401" s="2" t="s">
        <v>256</v>
      </c>
      <c r="B401" s="2" t="s">
        <v>57</v>
      </c>
      <c r="C401" s="2" t="s">
        <v>8</v>
      </c>
      <c r="D401" s="3" t="n">
        <v>5000</v>
      </c>
      <c r="E401" s="3" t="n">
        <v>0</v>
      </c>
      <c r="F401" s="3" t="n">
        <v>3.745</v>
      </c>
    </row>
    <row r="402" customFormat="false" ht="12.75" hidden="false" customHeight="false" outlineLevel="0" collapsed="false">
      <c r="A402" s="2" t="s">
        <v>256</v>
      </c>
      <c r="B402" s="2" t="s">
        <v>12</v>
      </c>
      <c r="C402" s="2" t="s">
        <v>13</v>
      </c>
      <c r="D402" s="3" t="n">
        <v>0</v>
      </c>
      <c r="E402" s="3" t="n">
        <v>5000</v>
      </c>
      <c r="F402" s="3" t="n">
        <v>3.855</v>
      </c>
    </row>
    <row r="403" customFormat="false" ht="12.75" hidden="false" customHeight="false" outlineLevel="0" collapsed="false">
      <c r="A403" s="2" t="s">
        <v>257</v>
      </c>
      <c r="B403" s="2" t="s">
        <v>26</v>
      </c>
      <c r="C403" s="2" t="s">
        <v>8</v>
      </c>
      <c r="D403" s="3" t="n">
        <v>20000</v>
      </c>
      <c r="E403" s="3" t="n">
        <v>0</v>
      </c>
      <c r="F403" s="3" t="n">
        <v>3.74</v>
      </c>
    </row>
    <row r="404" customFormat="false" ht="12.75" hidden="false" customHeight="false" outlineLevel="0" collapsed="false">
      <c r="A404" s="2" t="s">
        <v>257</v>
      </c>
      <c r="B404" s="2" t="s">
        <v>234</v>
      </c>
      <c r="C404" s="2" t="s">
        <v>8</v>
      </c>
      <c r="D404" s="3" t="n">
        <v>0</v>
      </c>
      <c r="E404" s="3" t="n">
        <v>20000</v>
      </c>
      <c r="F404" s="3" t="n">
        <v>3.74</v>
      </c>
    </row>
    <row r="405" customFormat="false" ht="12.75" hidden="false" customHeight="false" outlineLevel="0" collapsed="false">
      <c r="A405" s="2" t="s">
        <v>257</v>
      </c>
      <c r="B405" s="2" t="s">
        <v>258</v>
      </c>
      <c r="C405" s="2" t="s">
        <v>8</v>
      </c>
      <c r="D405" s="3" t="n">
        <v>5000</v>
      </c>
      <c r="E405" s="3" t="n">
        <v>0</v>
      </c>
      <c r="F405" s="3" t="n">
        <v>3.735</v>
      </c>
    </row>
    <row r="406" customFormat="false" ht="12.75" hidden="false" customHeight="false" outlineLevel="0" collapsed="false">
      <c r="A406" s="2" t="s">
        <v>257</v>
      </c>
      <c r="B406" s="2" t="s">
        <v>94</v>
      </c>
      <c r="C406" s="2" t="s">
        <v>32</v>
      </c>
      <c r="D406" s="3" t="n">
        <v>10000</v>
      </c>
      <c r="E406" s="3" t="n">
        <v>0</v>
      </c>
      <c r="F406" s="3" t="n">
        <v>3.825</v>
      </c>
    </row>
    <row r="407" customFormat="false" ht="12.75" hidden="false" customHeight="false" outlineLevel="0" collapsed="false">
      <c r="A407" s="2" t="s">
        <v>257</v>
      </c>
      <c r="B407" s="2" t="s">
        <v>239</v>
      </c>
      <c r="C407" s="2" t="s">
        <v>18</v>
      </c>
      <c r="D407" s="3" t="n">
        <v>5000</v>
      </c>
      <c r="E407" s="3" t="n">
        <v>0</v>
      </c>
      <c r="F407" s="3" t="n">
        <v>3.92</v>
      </c>
    </row>
    <row r="408" customFormat="false" ht="12.75" hidden="false" customHeight="false" outlineLevel="0" collapsed="false">
      <c r="A408" s="2" t="s">
        <v>257</v>
      </c>
      <c r="B408" s="2" t="s">
        <v>59</v>
      </c>
      <c r="C408" s="2" t="s">
        <v>8</v>
      </c>
      <c r="D408" s="3" t="n">
        <v>5000</v>
      </c>
      <c r="E408" s="3" t="n">
        <v>0</v>
      </c>
      <c r="F408" s="3" t="n">
        <v>3.735</v>
      </c>
    </row>
    <row r="409" customFormat="false" ht="12.75" hidden="false" customHeight="false" outlineLevel="0" collapsed="false">
      <c r="A409" s="2" t="s">
        <v>257</v>
      </c>
      <c r="B409" s="2" t="s">
        <v>24</v>
      </c>
      <c r="C409" s="2" t="s">
        <v>8</v>
      </c>
      <c r="D409" s="3" t="n">
        <v>15000</v>
      </c>
      <c r="E409" s="3" t="n">
        <v>0</v>
      </c>
      <c r="F409" s="3" t="n">
        <v>3.745</v>
      </c>
    </row>
    <row r="410" customFormat="false" ht="12.75" hidden="false" customHeight="false" outlineLevel="0" collapsed="false">
      <c r="A410" s="2" t="s">
        <v>259</v>
      </c>
      <c r="B410" s="2" t="s">
        <v>100</v>
      </c>
      <c r="C410" s="2" t="s">
        <v>8</v>
      </c>
      <c r="D410" s="3" t="n">
        <v>10000</v>
      </c>
      <c r="E410" s="3" t="n">
        <v>0</v>
      </c>
      <c r="F410" s="3" t="n">
        <v>3.735</v>
      </c>
    </row>
    <row r="411" customFormat="false" ht="12.75" hidden="false" customHeight="false" outlineLevel="0" collapsed="false">
      <c r="A411" s="2" t="s">
        <v>259</v>
      </c>
      <c r="B411" s="2" t="s">
        <v>85</v>
      </c>
      <c r="C411" s="2" t="s">
        <v>22</v>
      </c>
      <c r="D411" s="3" t="n">
        <v>0</v>
      </c>
      <c r="E411" s="3" t="n">
        <v>5000</v>
      </c>
      <c r="F411" s="3" t="n">
        <v>4.23</v>
      </c>
    </row>
    <row r="412" customFormat="false" ht="12.75" hidden="false" customHeight="false" outlineLevel="0" collapsed="false">
      <c r="A412" s="2" t="s">
        <v>259</v>
      </c>
      <c r="B412" s="2" t="s">
        <v>109</v>
      </c>
      <c r="C412" s="2" t="s">
        <v>8</v>
      </c>
      <c r="D412" s="3" t="n">
        <v>10000</v>
      </c>
      <c r="E412" s="3" t="n">
        <v>0</v>
      </c>
      <c r="F412" s="3" t="n">
        <v>3.735</v>
      </c>
    </row>
    <row r="413" customFormat="false" ht="12.75" hidden="false" customHeight="false" outlineLevel="0" collapsed="false">
      <c r="A413" s="2" t="s">
        <v>260</v>
      </c>
      <c r="B413" s="2" t="s">
        <v>26</v>
      </c>
      <c r="C413" s="2" t="s">
        <v>8</v>
      </c>
      <c r="D413" s="3" t="n">
        <v>20000</v>
      </c>
      <c r="E413" s="3" t="n">
        <v>0</v>
      </c>
      <c r="F413" s="3" t="n">
        <v>3.73</v>
      </c>
    </row>
    <row r="414" customFormat="false" ht="12.75" hidden="false" customHeight="false" outlineLevel="0" collapsed="false">
      <c r="A414" s="2" t="s">
        <v>260</v>
      </c>
      <c r="B414" s="2" t="s">
        <v>26</v>
      </c>
      <c r="C414" s="2" t="s">
        <v>8</v>
      </c>
      <c r="D414" s="3" t="n">
        <v>5000</v>
      </c>
      <c r="E414" s="3" t="n">
        <v>0</v>
      </c>
      <c r="F414" s="3" t="n">
        <v>3.73</v>
      </c>
    </row>
    <row r="415" customFormat="false" ht="12.75" hidden="false" customHeight="false" outlineLevel="0" collapsed="false">
      <c r="A415" s="2" t="s">
        <v>260</v>
      </c>
      <c r="B415" s="2" t="s">
        <v>160</v>
      </c>
      <c r="C415" s="2" t="s">
        <v>8</v>
      </c>
      <c r="D415" s="3" t="n">
        <v>2500</v>
      </c>
      <c r="E415" s="3" t="n">
        <v>0</v>
      </c>
      <c r="F415" s="3" t="n">
        <v>3.73</v>
      </c>
    </row>
    <row r="416" customFormat="false" ht="12.75" hidden="false" customHeight="false" outlineLevel="0" collapsed="false">
      <c r="A416" s="2" t="s">
        <v>260</v>
      </c>
      <c r="B416" s="2" t="s">
        <v>88</v>
      </c>
      <c r="C416" s="2" t="s">
        <v>8</v>
      </c>
      <c r="D416" s="3" t="n">
        <v>10000</v>
      </c>
      <c r="E416" s="3" t="n">
        <v>0</v>
      </c>
      <c r="F416" s="3" t="n">
        <v>3.73</v>
      </c>
    </row>
    <row r="417" customFormat="false" ht="12.75" hidden="false" customHeight="false" outlineLevel="0" collapsed="false">
      <c r="A417" s="2" t="s">
        <v>260</v>
      </c>
      <c r="B417" s="2" t="s">
        <v>49</v>
      </c>
      <c r="C417" s="2" t="s">
        <v>22</v>
      </c>
      <c r="D417" s="3" t="n">
        <v>0</v>
      </c>
      <c r="E417" s="3" t="n">
        <v>5000</v>
      </c>
      <c r="F417" s="3" t="n">
        <v>4.225</v>
      </c>
    </row>
    <row r="418" customFormat="false" ht="12.75" hidden="false" customHeight="false" outlineLevel="0" collapsed="false">
      <c r="A418" s="2" t="s">
        <v>260</v>
      </c>
      <c r="B418" s="2" t="s">
        <v>17</v>
      </c>
      <c r="C418" s="2" t="s">
        <v>18</v>
      </c>
      <c r="D418" s="3" t="n">
        <v>0</v>
      </c>
      <c r="E418" s="3" t="n">
        <v>5000</v>
      </c>
      <c r="F418" s="3" t="n">
        <v>3.925</v>
      </c>
    </row>
    <row r="419" customFormat="false" ht="12.75" hidden="false" customHeight="false" outlineLevel="0" collapsed="false">
      <c r="A419" s="2" t="s">
        <v>260</v>
      </c>
      <c r="B419" s="2" t="s">
        <v>24</v>
      </c>
      <c r="C419" s="2" t="s">
        <v>8</v>
      </c>
      <c r="D419" s="3" t="n">
        <v>2500</v>
      </c>
      <c r="E419" s="3" t="n">
        <v>0</v>
      </c>
      <c r="F419" s="3" t="n">
        <v>3.73</v>
      </c>
    </row>
    <row r="420" customFormat="false" ht="12.75" hidden="false" customHeight="false" outlineLevel="0" collapsed="false">
      <c r="A420" s="2" t="s">
        <v>260</v>
      </c>
      <c r="B420" s="2" t="s">
        <v>12</v>
      </c>
      <c r="C420" s="2" t="s">
        <v>32</v>
      </c>
      <c r="D420" s="3" t="n">
        <v>0</v>
      </c>
      <c r="E420" s="3" t="n">
        <v>20000</v>
      </c>
      <c r="F420" s="3" t="n">
        <v>3.825</v>
      </c>
    </row>
    <row r="421" customFormat="false" ht="12.75" hidden="false" customHeight="false" outlineLevel="0" collapsed="false">
      <c r="A421" s="2" t="s">
        <v>261</v>
      </c>
      <c r="B421" s="2" t="s">
        <v>89</v>
      </c>
      <c r="C421" s="2" t="s">
        <v>8</v>
      </c>
      <c r="D421" s="3" t="n">
        <v>20000</v>
      </c>
      <c r="E421" s="3" t="n">
        <v>0</v>
      </c>
      <c r="F421" s="3" t="n">
        <v>3.73</v>
      </c>
    </row>
    <row r="422" customFormat="false" ht="12.75" hidden="false" customHeight="false" outlineLevel="0" collapsed="false">
      <c r="A422" s="2" t="s">
        <v>261</v>
      </c>
      <c r="B422" s="2" t="s">
        <v>72</v>
      </c>
      <c r="C422" s="2" t="s">
        <v>32</v>
      </c>
      <c r="D422" s="3" t="n">
        <v>0</v>
      </c>
      <c r="E422" s="3" t="n">
        <v>5000</v>
      </c>
      <c r="F422" s="3" t="n">
        <v>3.825</v>
      </c>
    </row>
    <row r="423" customFormat="false" ht="12.75" hidden="false" customHeight="false" outlineLevel="0" collapsed="false">
      <c r="A423" s="2" t="s">
        <v>261</v>
      </c>
      <c r="B423" s="2" t="s">
        <v>168</v>
      </c>
      <c r="C423" s="2" t="s">
        <v>32</v>
      </c>
      <c r="D423" s="3" t="n">
        <v>0</v>
      </c>
      <c r="E423" s="3" t="n">
        <v>5000</v>
      </c>
      <c r="F423" s="3" t="n">
        <v>3.83</v>
      </c>
    </row>
    <row r="424" customFormat="false" ht="12.75" hidden="false" customHeight="false" outlineLevel="0" collapsed="false">
      <c r="A424" s="2" t="s">
        <v>261</v>
      </c>
      <c r="B424" s="2" t="s">
        <v>24</v>
      </c>
      <c r="C424" s="2" t="s">
        <v>8</v>
      </c>
      <c r="D424" s="3" t="n">
        <v>0</v>
      </c>
      <c r="E424" s="3" t="n">
        <v>10000</v>
      </c>
      <c r="F424" s="3" t="n">
        <v>3.735</v>
      </c>
    </row>
    <row r="425" customFormat="false" ht="12.75" hidden="false" customHeight="false" outlineLevel="0" collapsed="false">
      <c r="A425" s="2" t="s">
        <v>261</v>
      </c>
      <c r="B425" s="2" t="s">
        <v>12</v>
      </c>
      <c r="C425" s="2" t="s">
        <v>32</v>
      </c>
      <c r="D425" s="3" t="n">
        <v>0</v>
      </c>
      <c r="E425" s="3" t="n">
        <v>20000</v>
      </c>
      <c r="F425" s="3" t="n">
        <v>3.825</v>
      </c>
    </row>
    <row r="426" customFormat="false" ht="12.75" hidden="false" customHeight="false" outlineLevel="0" collapsed="false">
      <c r="A426" s="2" t="s">
        <v>261</v>
      </c>
      <c r="B426" s="2" t="s">
        <v>12</v>
      </c>
      <c r="C426" s="2" t="s">
        <v>13</v>
      </c>
      <c r="D426" s="3" t="n">
        <v>5000</v>
      </c>
      <c r="E426" s="3" t="n">
        <v>0</v>
      </c>
      <c r="F426" s="3" t="n">
        <v>3.84</v>
      </c>
    </row>
    <row r="427" customFormat="false" ht="12.75" hidden="false" customHeight="false" outlineLevel="0" collapsed="false">
      <c r="A427" s="2" t="s">
        <v>261</v>
      </c>
      <c r="B427" s="2" t="s">
        <v>12</v>
      </c>
      <c r="C427" s="2" t="s">
        <v>32</v>
      </c>
      <c r="D427" s="3" t="n">
        <v>0</v>
      </c>
      <c r="E427" s="3" t="n">
        <v>20000</v>
      </c>
      <c r="F427" s="3" t="n">
        <v>3.83</v>
      </c>
    </row>
    <row r="428" customFormat="false" ht="12.75" hidden="false" customHeight="false" outlineLevel="0" collapsed="false">
      <c r="A428" s="2" t="s">
        <v>261</v>
      </c>
      <c r="B428" s="2" t="s">
        <v>55</v>
      </c>
      <c r="C428" s="2" t="s">
        <v>13</v>
      </c>
      <c r="D428" s="3" t="n">
        <v>0</v>
      </c>
      <c r="E428" s="3" t="n">
        <v>5000</v>
      </c>
      <c r="F428" s="3" t="n">
        <v>3.845</v>
      </c>
    </row>
    <row r="429" customFormat="false" ht="12.75" hidden="false" customHeight="false" outlineLevel="0" collapsed="false">
      <c r="A429" s="2" t="s">
        <v>262</v>
      </c>
      <c r="B429" s="2" t="s">
        <v>26</v>
      </c>
      <c r="C429" s="2" t="s">
        <v>8</v>
      </c>
      <c r="D429" s="3" t="n">
        <v>2500</v>
      </c>
      <c r="E429" s="3" t="n">
        <v>0</v>
      </c>
      <c r="F429" s="3" t="n">
        <v>3.74</v>
      </c>
    </row>
    <row r="430" customFormat="false" ht="12.75" hidden="false" customHeight="false" outlineLevel="0" collapsed="false">
      <c r="A430" s="2" t="s">
        <v>262</v>
      </c>
      <c r="B430" s="2" t="s">
        <v>15</v>
      </c>
      <c r="C430" s="2" t="s">
        <v>32</v>
      </c>
      <c r="D430" s="3" t="n">
        <v>0</v>
      </c>
      <c r="E430" s="3" t="n">
        <v>20000</v>
      </c>
      <c r="F430" s="3" t="n">
        <v>3.835</v>
      </c>
    </row>
    <row r="431" customFormat="false" ht="12.75" hidden="false" customHeight="false" outlineLevel="0" collapsed="false">
      <c r="A431" s="2" t="s">
        <v>262</v>
      </c>
      <c r="B431" s="2" t="s">
        <v>199</v>
      </c>
      <c r="C431" s="2" t="s">
        <v>13</v>
      </c>
      <c r="D431" s="3" t="n">
        <v>0</v>
      </c>
      <c r="E431" s="3" t="n">
        <v>5000</v>
      </c>
      <c r="F431" s="3" t="n">
        <v>3.845</v>
      </c>
    </row>
    <row r="432" customFormat="false" ht="12.75" hidden="false" customHeight="false" outlineLevel="0" collapsed="false">
      <c r="A432" s="2" t="s">
        <v>263</v>
      </c>
      <c r="B432" s="2" t="s">
        <v>26</v>
      </c>
      <c r="C432" s="2" t="s">
        <v>32</v>
      </c>
      <c r="D432" s="3" t="n">
        <v>20000</v>
      </c>
      <c r="E432" s="3" t="n">
        <v>0</v>
      </c>
      <c r="F432" s="3" t="n">
        <v>3.825</v>
      </c>
    </row>
    <row r="433" customFormat="false" ht="12.75" hidden="false" customHeight="false" outlineLevel="0" collapsed="false">
      <c r="A433" s="2" t="s">
        <v>263</v>
      </c>
      <c r="B433" s="2" t="s">
        <v>26</v>
      </c>
      <c r="C433" s="2" t="s">
        <v>8</v>
      </c>
      <c r="D433" s="3" t="n">
        <v>2500</v>
      </c>
      <c r="E433" s="3" t="n">
        <v>0</v>
      </c>
      <c r="F433" s="3" t="n">
        <v>3.735</v>
      </c>
    </row>
    <row r="434" customFormat="false" ht="12.75" hidden="false" customHeight="false" outlineLevel="0" collapsed="false">
      <c r="A434" s="2" t="s">
        <v>263</v>
      </c>
      <c r="B434" s="2" t="s">
        <v>88</v>
      </c>
      <c r="C434" s="2" t="s">
        <v>8</v>
      </c>
      <c r="D434" s="3" t="n">
        <v>15000</v>
      </c>
      <c r="E434" s="3" t="n">
        <v>0</v>
      </c>
      <c r="F434" s="3" t="n">
        <v>3.74</v>
      </c>
    </row>
    <row r="435" customFormat="false" ht="12.75" hidden="false" customHeight="false" outlineLevel="0" collapsed="false">
      <c r="A435" s="2" t="s">
        <v>263</v>
      </c>
      <c r="B435" s="2" t="s">
        <v>36</v>
      </c>
      <c r="C435" s="2" t="s">
        <v>8</v>
      </c>
      <c r="D435" s="3" t="n">
        <v>2500</v>
      </c>
      <c r="E435" s="3" t="n">
        <v>0</v>
      </c>
      <c r="F435" s="3" t="n">
        <v>3.74</v>
      </c>
    </row>
    <row r="436" customFormat="false" ht="12.75" hidden="false" customHeight="false" outlineLevel="0" collapsed="false">
      <c r="A436" s="2" t="s">
        <v>263</v>
      </c>
      <c r="B436" s="2" t="s">
        <v>72</v>
      </c>
      <c r="C436" s="2" t="s">
        <v>8</v>
      </c>
      <c r="D436" s="3" t="n">
        <v>0</v>
      </c>
      <c r="E436" s="3" t="n">
        <v>20000</v>
      </c>
      <c r="F436" s="3" t="n">
        <v>3.74</v>
      </c>
    </row>
    <row r="437" customFormat="false" ht="12.75" hidden="false" customHeight="false" outlineLevel="0" collapsed="false">
      <c r="A437" s="2" t="s">
        <v>263</v>
      </c>
      <c r="B437" s="2" t="s">
        <v>12</v>
      </c>
      <c r="C437" s="2" t="s">
        <v>13</v>
      </c>
      <c r="D437" s="3" t="n">
        <v>5000</v>
      </c>
      <c r="E437" s="3" t="n">
        <v>0</v>
      </c>
      <c r="F437" s="3" t="n">
        <v>3.84</v>
      </c>
    </row>
    <row r="438" customFormat="false" ht="12.75" hidden="false" customHeight="false" outlineLevel="0" collapsed="false">
      <c r="A438" s="2" t="s">
        <v>264</v>
      </c>
      <c r="B438" s="2" t="s">
        <v>68</v>
      </c>
      <c r="C438" s="2" t="s">
        <v>8</v>
      </c>
      <c r="D438" s="3" t="n">
        <v>0</v>
      </c>
      <c r="E438" s="3" t="n">
        <v>10000</v>
      </c>
      <c r="F438" s="3" t="n">
        <v>3.745</v>
      </c>
    </row>
    <row r="439" customFormat="false" ht="12.75" hidden="false" customHeight="false" outlineLevel="0" collapsed="false">
      <c r="A439" s="2" t="s">
        <v>264</v>
      </c>
      <c r="B439" s="2" t="s">
        <v>24</v>
      </c>
      <c r="C439" s="2" t="s">
        <v>8</v>
      </c>
      <c r="D439" s="3" t="n">
        <v>12500</v>
      </c>
      <c r="E439" s="3" t="n">
        <v>0</v>
      </c>
      <c r="F439" s="3" t="n">
        <v>3.735</v>
      </c>
    </row>
    <row r="440" customFormat="false" ht="12.75" hidden="false" customHeight="false" outlineLevel="0" collapsed="false">
      <c r="A440" s="2" t="s">
        <v>265</v>
      </c>
      <c r="B440" s="2" t="s">
        <v>97</v>
      </c>
      <c r="C440" s="2" t="s">
        <v>8</v>
      </c>
      <c r="D440" s="3" t="n">
        <v>0</v>
      </c>
      <c r="E440" s="3" t="n">
        <v>10000</v>
      </c>
      <c r="F440" s="3" t="n">
        <v>3.745</v>
      </c>
    </row>
    <row r="441" customFormat="false" ht="12.75" hidden="false" customHeight="false" outlineLevel="0" collapsed="false">
      <c r="A441" s="2" t="s">
        <v>265</v>
      </c>
      <c r="B441" s="2" t="s">
        <v>97</v>
      </c>
      <c r="C441" s="2" t="s">
        <v>18</v>
      </c>
      <c r="D441" s="3" t="n">
        <v>0</v>
      </c>
      <c r="E441" s="3" t="n">
        <v>5000</v>
      </c>
      <c r="F441" s="3" t="n">
        <v>3.93</v>
      </c>
    </row>
    <row r="442" customFormat="false" ht="12.75" hidden="false" customHeight="false" outlineLevel="0" collapsed="false">
      <c r="A442" s="2" t="s">
        <v>265</v>
      </c>
      <c r="B442" s="2" t="s">
        <v>97</v>
      </c>
      <c r="C442" s="2" t="s">
        <v>13</v>
      </c>
      <c r="D442" s="3" t="n">
        <v>0</v>
      </c>
      <c r="E442" s="3" t="n">
        <v>5000</v>
      </c>
      <c r="F442" s="3" t="n">
        <v>3.845</v>
      </c>
    </row>
    <row r="443" customFormat="false" ht="12.75" hidden="false" customHeight="false" outlineLevel="0" collapsed="false">
      <c r="A443" s="2" t="s">
        <v>265</v>
      </c>
      <c r="B443" s="2" t="s">
        <v>86</v>
      </c>
      <c r="C443" s="2" t="s">
        <v>8</v>
      </c>
      <c r="D443" s="3" t="n">
        <v>5000</v>
      </c>
      <c r="E443" s="3" t="n">
        <v>0</v>
      </c>
      <c r="F443" s="3" t="n">
        <v>3.74</v>
      </c>
    </row>
    <row r="444" customFormat="false" ht="12.75" hidden="false" customHeight="false" outlineLevel="0" collapsed="false">
      <c r="A444" s="2" t="s">
        <v>265</v>
      </c>
      <c r="B444" s="2" t="s">
        <v>214</v>
      </c>
      <c r="C444" s="2" t="s">
        <v>8</v>
      </c>
      <c r="D444" s="3" t="n">
        <v>0</v>
      </c>
      <c r="E444" s="3" t="n">
        <v>2500</v>
      </c>
      <c r="F444" s="3" t="n">
        <v>3.75</v>
      </c>
    </row>
    <row r="445" customFormat="false" ht="12.75" hidden="false" customHeight="false" outlineLevel="0" collapsed="false">
      <c r="A445" s="2" t="s">
        <v>265</v>
      </c>
      <c r="B445" s="2" t="s">
        <v>12</v>
      </c>
      <c r="C445" s="2" t="s">
        <v>32</v>
      </c>
      <c r="D445" s="3" t="n">
        <v>0</v>
      </c>
      <c r="E445" s="3" t="n">
        <v>20000</v>
      </c>
      <c r="F445" s="3" t="n">
        <v>3.835</v>
      </c>
    </row>
    <row r="446" customFormat="false" ht="12.75" hidden="false" customHeight="false" outlineLevel="0" collapsed="false">
      <c r="A446" s="2" t="s">
        <v>266</v>
      </c>
      <c r="B446" s="2" t="s">
        <v>85</v>
      </c>
      <c r="C446" s="2" t="s">
        <v>8</v>
      </c>
      <c r="D446" s="3" t="n">
        <v>5000</v>
      </c>
      <c r="E446" s="3" t="n">
        <v>0</v>
      </c>
      <c r="F446" s="3" t="n">
        <v>3.74</v>
      </c>
    </row>
    <row r="447" customFormat="false" ht="12.75" hidden="false" customHeight="false" outlineLevel="0" collapsed="false">
      <c r="A447" s="2" t="s">
        <v>266</v>
      </c>
      <c r="B447" s="2" t="s">
        <v>36</v>
      </c>
      <c r="C447" s="2" t="s">
        <v>8</v>
      </c>
      <c r="D447" s="3" t="n">
        <v>10000</v>
      </c>
      <c r="E447" s="3" t="n">
        <v>0</v>
      </c>
      <c r="F447" s="3" t="n">
        <v>3.74</v>
      </c>
    </row>
    <row r="448" customFormat="false" ht="12.75" hidden="false" customHeight="false" outlineLevel="0" collapsed="false">
      <c r="A448" s="2" t="s">
        <v>266</v>
      </c>
      <c r="B448" s="2" t="s">
        <v>239</v>
      </c>
      <c r="C448" s="2" t="s">
        <v>18</v>
      </c>
      <c r="D448" s="3" t="n">
        <v>5000</v>
      </c>
      <c r="E448" s="3" t="n">
        <v>0</v>
      </c>
      <c r="F448" s="3" t="n">
        <v>3.925</v>
      </c>
    </row>
    <row r="449" customFormat="false" ht="12.75" hidden="false" customHeight="false" outlineLevel="0" collapsed="false">
      <c r="A449" s="2" t="s">
        <v>266</v>
      </c>
      <c r="B449" s="2" t="s">
        <v>24</v>
      </c>
      <c r="C449" s="2" t="s">
        <v>8</v>
      </c>
      <c r="D449" s="3" t="n">
        <v>5000</v>
      </c>
      <c r="E449" s="3" t="n">
        <v>0</v>
      </c>
      <c r="F449" s="3" t="n">
        <v>3.74</v>
      </c>
    </row>
    <row r="450" customFormat="false" ht="12.75" hidden="false" customHeight="false" outlineLevel="0" collapsed="false">
      <c r="A450" s="2" t="s">
        <v>266</v>
      </c>
      <c r="B450" s="2" t="s">
        <v>12</v>
      </c>
      <c r="C450" s="2" t="s">
        <v>65</v>
      </c>
      <c r="D450" s="3" t="n">
        <v>0</v>
      </c>
      <c r="E450" s="3" t="n">
        <v>17500</v>
      </c>
      <c r="F450" s="3" t="n">
        <v>3.8775</v>
      </c>
    </row>
    <row r="451" customFormat="false" ht="12.75" hidden="false" customHeight="false" outlineLevel="0" collapsed="false">
      <c r="A451" s="2" t="s">
        <v>267</v>
      </c>
      <c r="B451" s="2" t="s">
        <v>97</v>
      </c>
      <c r="C451" s="2" t="s">
        <v>18</v>
      </c>
      <c r="D451" s="3" t="n">
        <v>0</v>
      </c>
      <c r="E451" s="3" t="n">
        <v>5000</v>
      </c>
      <c r="F451" s="3" t="n">
        <v>3.93</v>
      </c>
    </row>
    <row r="452" customFormat="false" ht="12.75" hidden="false" customHeight="false" outlineLevel="0" collapsed="false">
      <c r="A452" s="2" t="s">
        <v>267</v>
      </c>
      <c r="B452" s="2" t="s">
        <v>268</v>
      </c>
      <c r="C452" s="2" t="s">
        <v>8</v>
      </c>
      <c r="D452" s="3" t="n">
        <v>10000</v>
      </c>
      <c r="E452" s="3" t="n">
        <v>0</v>
      </c>
      <c r="F452" s="3" t="n">
        <v>3.74</v>
      </c>
    </row>
    <row r="453" customFormat="false" ht="12.75" hidden="false" customHeight="false" outlineLevel="0" collapsed="false">
      <c r="A453" s="2" t="s">
        <v>267</v>
      </c>
      <c r="B453" s="2" t="s">
        <v>49</v>
      </c>
      <c r="C453" s="2" t="s">
        <v>8</v>
      </c>
      <c r="D453" s="3" t="n">
        <v>2500</v>
      </c>
      <c r="E453" s="3" t="n">
        <v>0</v>
      </c>
      <c r="F453" s="3" t="n">
        <v>3.74</v>
      </c>
    </row>
    <row r="454" customFormat="false" ht="12.75" hidden="false" customHeight="false" outlineLevel="0" collapsed="false">
      <c r="A454" s="2" t="s">
        <v>269</v>
      </c>
      <c r="B454" s="2" t="s">
        <v>258</v>
      </c>
      <c r="C454" s="2" t="s">
        <v>8</v>
      </c>
      <c r="D454" s="3" t="n">
        <v>2500</v>
      </c>
      <c r="E454" s="3" t="n">
        <v>0</v>
      </c>
      <c r="F454" s="3" t="n">
        <v>3.74</v>
      </c>
    </row>
    <row r="455" customFormat="false" ht="12.75" hidden="false" customHeight="false" outlineLevel="0" collapsed="false">
      <c r="A455" s="2" t="s">
        <v>269</v>
      </c>
      <c r="B455" s="2" t="s">
        <v>12</v>
      </c>
      <c r="C455" s="2" t="s">
        <v>13</v>
      </c>
      <c r="D455" s="3" t="n">
        <v>0</v>
      </c>
      <c r="E455" s="3" t="n">
        <v>5000</v>
      </c>
      <c r="F455" s="3" t="n">
        <v>3.85</v>
      </c>
    </row>
    <row r="456" customFormat="false" ht="12.75" hidden="false" customHeight="false" outlineLevel="0" collapsed="false">
      <c r="A456" s="2" t="s">
        <v>270</v>
      </c>
      <c r="B456" s="2" t="s">
        <v>70</v>
      </c>
      <c r="C456" s="2" t="s">
        <v>18</v>
      </c>
      <c r="D456" s="3" t="n">
        <v>0</v>
      </c>
      <c r="E456" s="3" t="n">
        <v>5000</v>
      </c>
      <c r="F456" s="3" t="n">
        <v>3.935</v>
      </c>
    </row>
    <row r="457" customFormat="false" ht="12.75" hidden="false" customHeight="false" outlineLevel="0" collapsed="false">
      <c r="A457" s="2" t="s">
        <v>270</v>
      </c>
      <c r="B457" s="2" t="s">
        <v>97</v>
      </c>
      <c r="C457" s="2" t="s">
        <v>18</v>
      </c>
      <c r="D457" s="3" t="n">
        <v>0</v>
      </c>
      <c r="E457" s="3" t="n">
        <v>5000</v>
      </c>
      <c r="F457" s="3" t="n">
        <v>3.94</v>
      </c>
    </row>
    <row r="458" customFormat="false" ht="12.75" hidden="false" customHeight="false" outlineLevel="0" collapsed="false">
      <c r="A458" s="2" t="s">
        <v>270</v>
      </c>
      <c r="B458" s="2" t="s">
        <v>7</v>
      </c>
      <c r="C458" s="2" t="s">
        <v>8</v>
      </c>
      <c r="D458" s="3" t="n">
        <v>0</v>
      </c>
      <c r="E458" s="3" t="n">
        <v>20000</v>
      </c>
      <c r="F458" s="3" t="n">
        <v>3.75</v>
      </c>
    </row>
    <row r="459" customFormat="false" ht="12.75" hidden="false" customHeight="false" outlineLevel="0" collapsed="false">
      <c r="A459" s="2" t="s">
        <v>270</v>
      </c>
      <c r="B459" s="2" t="s">
        <v>12</v>
      </c>
      <c r="C459" s="2" t="s">
        <v>13</v>
      </c>
      <c r="D459" s="3" t="n">
        <v>0</v>
      </c>
      <c r="E459" s="3" t="n">
        <v>5000</v>
      </c>
      <c r="F459" s="3" t="n">
        <v>3.855</v>
      </c>
    </row>
    <row r="460" customFormat="false" ht="12.75" hidden="false" customHeight="false" outlineLevel="0" collapsed="false">
      <c r="A460" s="2" t="s">
        <v>271</v>
      </c>
      <c r="B460" s="2" t="s">
        <v>46</v>
      </c>
      <c r="C460" s="2" t="s">
        <v>272</v>
      </c>
      <c r="D460" s="3" t="n">
        <v>150</v>
      </c>
      <c r="E460" s="3" t="n">
        <v>0</v>
      </c>
      <c r="F460" s="3" t="n">
        <v>3.75</v>
      </c>
    </row>
    <row r="461" customFormat="false" ht="12.75" hidden="false" customHeight="false" outlineLevel="0" collapsed="false">
      <c r="A461" s="2" t="s">
        <v>271</v>
      </c>
      <c r="B461" s="2" t="s">
        <v>46</v>
      </c>
      <c r="C461" s="2" t="s">
        <v>242</v>
      </c>
      <c r="D461" s="3" t="n">
        <v>0</v>
      </c>
      <c r="E461" s="3" t="n">
        <v>150</v>
      </c>
      <c r="F461" s="3" t="n">
        <v>3.83975</v>
      </c>
    </row>
    <row r="462" customFormat="false" ht="12.75" hidden="false" customHeight="false" outlineLevel="0" collapsed="false">
      <c r="A462" s="2" t="s">
        <v>271</v>
      </c>
      <c r="B462" s="2" t="s">
        <v>49</v>
      </c>
      <c r="C462" s="2" t="s">
        <v>13</v>
      </c>
      <c r="D462" s="3" t="n">
        <v>5000</v>
      </c>
      <c r="E462" s="3" t="n">
        <v>0</v>
      </c>
      <c r="F462" s="3" t="n">
        <v>3.85</v>
      </c>
    </row>
    <row r="463" customFormat="false" ht="12.75" hidden="false" customHeight="false" outlineLevel="0" collapsed="false">
      <c r="A463" s="2" t="s">
        <v>271</v>
      </c>
      <c r="B463" s="2" t="s">
        <v>204</v>
      </c>
      <c r="C463" s="2" t="s">
        <v>18</v>
      </c>
      <c r="D463" s="3" t="n">
        <v>5000</v>
      </c>
      <c r="E463" s="3" t="n">
        <v>0</v>
      </c>
      <c r="F463" s="3" t="n">
        <v>3.93</v>
      </c>
    </row>
    <row r="464" customFormat="false" ht="12.75" hidden="false" customHeight="false" outlineLevel="0" collapsed="false">
      <c r="A464" s="2" t="s">
        <v>271</v>
      </c>
      <c r="B464" s="2" t="s">
        <v>57</v>
      </c>
      <c r="C464" s="2" t="s">
        <v>32</v>
      </c>
      <c r="D464" s="3" t="n">
        <v>0</v>
      </c>
      <c r="E464" s="3" t="n">
        <v>20000</v>
      </c>
      <c r="F464" s="3" t="n">
        <v>3.845</v>
      </c>
    </row>
    <row r="465" customFormat="false" ht="12.75" hidden="false" customHeight="false" outlineLevel="0" collapsed="false">
      <c r="A465" s="2" t="s">
        <v>273</v>
      </c>
      <c r="B465" s="2" t="s">
        <v>245</v>
      </c>
      <c r="C465" s="2" t="s">
        <v>32</v>
      </c>
      <c r="D465" s="3" t="n">
        <v>0</v>
      </c>
      <c r="E465" s="3" t="n">
        <v>2500</v>
      </c>
      <c r="F465" s="3" t="n">
        <v>3.845</v>
      </c>
    </row>
    <row r="466" customFormat="false" ht="12.75" hidden="false" customHeight="false" outlineLevel="0" collapsed="false">
      <c r="A466" s="2" t="s">
        <v>273</v>
      </c>
      <c r="B466" s="2" t="s">
        <v>76</v>
      </c>
      <c r="C466" s="2" t="s">
        <v>8</v>
      </c>
      <c r="D466" s="3" t="n">
        <v>5000</v>
      </c>
      <c r="E466" s="3" t="n">
        <v>0</v>
      </c>
      <c r="F466" s="3" t="n">
        <v>3.75</v>
      </c>
    </row>
    <row r="467" customFormat="false" ht="12.75" hidden="false" customHeight="false" outlineLevel="0" collapsed="false">
      <c r="A467" s="2" t="s">
        <v>273</v>
      </c>
      <c r="B467" s="2" t="s">
        <v>39</v>
      </c>
      <c r="C467" s="2" t="s">
        <v>22</v>
      </c>
      <c r="D467" s="3" t="n">
        <v>0</v>
      </c>
      <c r="E467" s="3" t="n">
        <v>5000</v>
      </c>
      <c r="F467" s="3" t="n">
        <v>4.235</v>
      </c>
    </row>
    <row r="468" customFormat="false" ht="12.75" hidden="false" customHeight="false" outlineLevel="0" collapsed="false">
      <c r="A468" s="2" t="s">
        <v>273</v>
      </c>
      <c r="B468" s="2" t="s">
        <v>12</v>
      </c>
      <c r="C468" s="2" t="s">
        <v>13</v>
      </c>
      <c r="D468" s="3" t="n">
        <v>0</v>
      </c>
      <c r="E468" s="3" t="n">
        <v>5000</v>
      </c>
      <c r="F468" s="3" t="n">
        <v>3.855</v>
      </c>
    </row>
    <row r="469" customFormat="false" ht="12.75" hidden="false" customHeight="false" outlineLevel="0" collapsed="false">
      <c r="A469" s="2" t="s">
        <v>274</v>
      </c>
      <c r="B469" s="2" t="s">
        <v>46</v>
      </c>
      <c r="C469" s="2" t="s">
        <v>8</v>
      </c>
      <c r="D469" s="3" t="n">
        <v>20000</v>
      </c>
      <c r="E469" s="3" t="n">
        <v>0</v>
      </c>
      <c r="F469" s="3" t="n">
        <v>3.75</v>
      </c>
    </row>
    <row r="470" customFormat="false" ht="12.75" hidden="false" customHeight="false" outlineLevel="0" collapsed="false">
      <c r="A470" s="2" t="s">
        <v>274</v>
      </c>
      <c r="B470" s="2" t="s">
        <v>191</v>
      </c>
      <c r="C470" s="2" t="s">
        <v>169</v>
      </c>
      <c r="D470" s="3" t="n">
        <v>0</v>
      </c>
      <c r="E470" s="3" t="n">
        <v>10000</v>
      </c>
      <c r="F470" s="3" t="n">
        <v>3.7475</v>
      </c>
    </row>
    <row r="471" customFormat="false" ht="12.75" hidden="false" customHeight="false" outlineLevel="0" collapsed="false">
      <c r="A471" s="2" t="s">
        <v>274</v>
      </c>
      <c r="B471" s="2" t="s">
        <v>68</v>
      </c>
      <c r="C471" s="2" t="s">
        <v>8</v>
      </c>
      <c r="D471" s="3" t="n">
        <v>0</v>
      </c>
      <c r="E471" s="3" t="n">
        <v>5000</v>
      </c>
      <c r="F471" s="3" t="n">
        <v>3.755</v>
      </c>
    </row>
    <row r="472" customFormat="false" ht="12.75" hidden="false" customHeight="false" outlineLevel="0" collapsed="false">
      <c r="A472" s="2" t="s">
        <v>274</v>
      </c>
      <c r="B472" s="2" t="s">
        <v>68</v>
      </c>
      <c r="C472" s="2" t="s">
        <v>8</v>
      </c>
      <c r="D472" s="3" t="n">
        <v>0</v>
      </c>
      <c r="E472" s="3" t="n">
        <v>7500</v>
      </c>
      <c r="F472" s="3" t="n">
        <v>3.755</v>
      </c>
    </row>
    <row r="473" customFormat="false" ht="12.75" hidden="false" customHeight="false" outlineLevel="0" collapsed="false">
      <c r="A473" s="2" t="s">
        <v>274</v>
      </c>
      <c r="B473" s="2" t="s">
        <v>12</v>
      </c>
      <c r="C473" s="2" t="s">
        <v>32</v>
      </c>
      <c r="D473" s="3" t="n">
        <v>0</v>
      </c>
      <c r="E473" s="3" t="n">
        <v>7500</v>
      </c>
      <c r="F473" s="3" t="n">
        <v>3.845</v>
      </c>
    </row>
    <row r="474" customFormat="false" ht="12.75" hidden="false" customHeight="false" outlineLevel="0" collapsed="false">
      <c r="A474" s="2" t="s">
        <v>275</v>
      </c>
      <c r="B474" s="2" t="s">
        <v>76</v>
      </c>
      <c r="C474" s="2" t="s">
        <v>8</v>
      </c>
      <c r="D474" s="3" t="n">
        <v>5000</v>
      </c>
      <c r="E474" s="3" t="n">
        <v>0</v>
      </c>
      <c r="F474" s="3" t="n">
        <v>3.75</v>
      </c>
    </row>
    <row r="475" customFormat="false" ht="12.75" hidden="false" customHeight="false" outlineLevel="0" collapsed="false">
      <c r="A475" s="2" t="s">
        <v>275</v>
      </c>
      <c r="B475" s="2" t="s">
        <v>17</v>
      </c>
      <c r="C475" s="2" t="s">
        <v>13</v>
      </c>
      <c r="D475" s="3" t="n">
        <v>0</v>
      </c>
      <c r="E475" s="3" t="n">
        <v>5000</v>
      </c>
      <c r="F475" s="3" t="n">
        <v>3.86</v>
      </c>
    </row>
    <row r="476" customFormat="false" ht="12.75" hidden="false" customHeight="false" outlineLevel="0" collapsed="false">
      <c r="A476" s="2" t="s">
        <v>275</v>
      </c>
      <c r="B476" s="2" t="s">
        <v>24</v>
      </c>
      <c r="C476" s="2" t="s">
        <v>8</v>
      </c>
      <c r="D476" s="3" t="n">
        <v>0</v>
      </c>
      <c r="E476" s="3" t="n">
        <v>10000</v>
      </c>
      <c r="F476" s="3" t="n">
        <v>3.755</v>
      </c>
    </row>
    <row r="477" customFormat="false" ht="12.75" hidden="false" customHeight="false" outlineLevel="0" collapsed="false">
      <c r="A477" s="2" t="s">
        <v>275</v>
      </c>
      <c r="B477" s="2" t="s">
        <v>83</v>
      </c>
      <c r="C477" s="2" t="s">
        <v>8</v>
      </c>
      <c r="D477" s="3" t="n">
        <v>0</v>
      </c>
      <c r="E477" s="3" t="n">
        <v>10000</v>
      </c>
      <c r="F477" s="3" t="n">
        <v>3.755</v>
      </c>
    </row>
    <row r="478" customFormat="false" ht="12.75" hidden="false" customHeight="false" outlineLevel="0" collapsed="false">
      <c r="A478" s="2" t="s">
        <v>276</v>
      </c>
      <c r="B478" s="2" t="s">
        <v>277</v>
      </c>
      <c r="C478" s="2" t="s">
        <v>22</v>
      </c>
      <c r="D478" s="3" t="n">
        <v>0</v>
      </c>
      <c r="E478" s="3" t="n">
        <v>5000</v>
      </c>
      <c r="F478" s="3" t="n">
        <v>4.25</v>
      </c>
    </row>
    <row r="479" customFormat="false" ht="12.75" hidden="false" customHeight="false" outlineLevel="0" collapsed="false">
      <c r="A479" s="2" t="s">
        <v>276</v>
      </c>
      <c r="B479" s="2" t="s">
        <v>97</v>
      </c>
      <c r="C479" s="2" t="s">
        <v>8</v>
      </c>
      <c r="D479" s="3" t="n">
        <v>10000</v>
      </c>
      <c r="E479" s="3" t="n">
        <v>0</v>
      </c>
      <c r="F479" s="3" t="n">
        <v>3.755</v>
      </c>
    </row>
    <row r="480" customFormat="false" ht="12.75" hidden="false" customHeight="false" outlineLevel="0" collapsed="false">
      <c r="A480" s="2" t="s">
        <v>276</v>
      </c>
      <c r="B480" s="2" t="s">
        <v>35</v>
      </c>
      <c r="C480" s="2" t="s">
        <v>8</v>
      </c>
      <c r="D480" s="3" t="n">
        <v>5000</v>
      </c>
      <c r="E480" s="3" t="n">
        <v>0</v>
      </c>
      <c r="F480" s="3" t="n">
        <v>3.755</v>
      </c>
    </row>
    <row r="481" customFormat="false" ht="12.75" hidden="false" customHeight="false" outlineLevel="0" collapsed="false">
      <c r="A481" s="2" t="s">
        <v>276</v>
      </c>
      <c r="B481" s="2" t="s">
        <v>85</v>
      </c>
      <c r="C481" s="2" t="s">
        <v>22</v>
      </c>
      <c r="D481" s="3" t="n">
        <v>0</v>
      </c>
      <c r="E481" s="3" t="n">
        <v>5000</v>
      </c>
      <c r="F481" s="3" t="n">
        <v>4.25</v>
      </c>
    </row>
    <row r="482" customFormat="false" ht="12.75" hidden="false" customHeight="false" outlineLevel="0" collapsed="false">
      <c r="A482" s="2" t="s">
        <v>276</v>
      </c>
      <c r="B482" s="2" t="s">
        <v>37</v>
      </c>
      <c r="C482" s="2" t="s">
        <v>22</v>
      </c>
      <c r="D482" s="3" t="n">
        <v>0</v>
      </c>
      <c r="E482" s="3" t="n">
        <v>5000</v>
      </c>
      <c r="F482" s="3" t="n">
        <v>4.245</v>
      </c>
    </row>
    <row r="483" customFormat="false" ht="12.75" hidden="false" customHeight="false" outlineLevel="0" collapsed="false">
      <c r="A483" s="2" t="s">
        <v>276</v>
      </c>
      <c r="B483" s="2" t="s">
        <v>12</v>
      </c>
      <c r="C483" s="2" t="s">
        <v>65</v>
      </c>
      <c r="D483" s="3" t="n">
        <v>0</v>
      </c>
      <c r="E483" s="3" t="n">
        <v>20000</v>
      </c>
      <c r="F483" s="3" t="n">
        <v>3.8925</v>
      </c>
    </row>
    <row r="484" customFormat="false" ht="12.75" hidden="false" customHeight="false" outlineLevel="0" collapsed="false">
      <c r="A484" s="2" t="s">
        <v>278</v>
      </c>
      <c r="B484" s="2" t="s">
        <v>70</v>
      </c>
      <c r="C484" s="2" t="s">
        <v>13</v>
      </c>
      <c r="D484" s="3" t="n">
        <v>5000</v>
      </c>
      <c r="E484" s="3" t="n">
        <v>0</v>
      </c>
      <c r="F484" s="3" t="n">
        <v>3.855</v>
      </c>
    </row>
    <row r="485" customFormat="false" ht="12.75" hidden="false" customHeight="false" outlineLevel="0" collapsed="false">
      <c r="A485" s="2" t="s">
        <v>278</v>
      </c>
      <c r="B485" s="2" t="s">
        <v>36</v>
      </c>
      <c r="C485" s="2" t="s">
        <v>8</v>
      </c>
      <c r="D485" s="3" t="n">
        <v>5000</v>
      </c>
      <c r="E485" s="3" t="n">
        <v>0</v>
      </c>
      <c r="F485" s="3" t="n">
        <v>3.75</v>
      </c>
    </row>
    <row r="486" customFormat="false" ht="12.75" hidden="false" customHeight="false" outlineLevel="0" collapsed="false">
      <c r="A486" s="2" t="s">
        <v>278</v>
      </c>
      <c r="B486" s="2" t="s">
        <v>55</v>
      </c>
      <c r="C486" s="2" t="s">
        <v>13</v>
      </c>
      <c r="D486" s="3" t="n">
        <v>5000</v>
      </c>
      <c r="E486" s="3" t="n">
        <v>0</v>
      </c>
      <c r="F486" s="3" t="n">
        <v>3.855</v>
      </c>
    </row>
    <row r="487" customFormat="false" ht="12.75" hidden="false" customHeight="false" outlineLevel="0" collapsed="false">
      <c r="A487" s="2" t="s">
        <v>279</v>
      </c>
      <c r="B487" s="2" t="s">
        <v>114</v>
      </c>
      <c r="C487" s="2" t="s">
        <v>8</v>
      </c>
      <c r="D487" s="3" t="n">
        <v>0</v>
      </c>
      <c r="E487" s="3" t="n">
        <v>5000</v>
      </c>
      <c r="F487" s="3" t="n">
        <v>3.76</v>
      </c>
    </row>
    <row r="488" customFormat="false" ht="12.75" hidden="false" customHeight="false" outlineLevel="0" collapsed="false">
      <c r="A488" s="2" t="s">
        <v>279</v>
      </c>
      <c r="B488" s="2" t="s">
        <v>17</v>
      </c>
      <c r="C488" s="2" t="s">
        <v>8</v>
      </c>
      <c r="D488" s="3" t="n">
        <v>5000</v>
      </c>
      <c r="E488" s="3" t="n">
        <v>0</v>
      </c>
      <c r="F488" s="3" t="n">
        <v>3.75</v>
      </c>
    </row>
    <row r="489" customFormat="false" ht="12.75" hidden="false" customHeight="false" outlineLevel="0" collapsed="false">
      <c r="A489" s="2" t="s">
        <v>280</v>
      </c>
      <c r="B489" s="2" t="s">
        <v>51</v>
      </c>
      <c r="C489" s="2" t="s">
        <v>22</v>
      </c>
      <c r="D489" s="3" t="n">
        <v>0</v>
      </c>
      <c r="E489" s="3" t="n">
        <v>5000</v>
      </c>
      <c r="F489" s="3" t="n">
        <v>4.25</v>
      </c>
    </row>
    <row r="490" customFormat="false" ht="12.75" hidden="false" customHeight="false" outlineLevel="0" collapsed="false">
      <c r="A490" s="2" t="s">
        <v>280</v>
      </c>
      <c r="B490" s="2" t="s">
        <v>104</v>
      </c>
      <c r="C490" s="2" t="s">
        <v>8</v>
      </c>
      <c r="D490" s="3" t="n">
        <v>0</v>
      </c>
      <c r="E490" s="3" t="n">
        <v>20000</v>
      </c>
      <c r="F490" s="3" t="n">
        <v>3.755</v>
      </c>
    </row>
    <row r="491" customFormat="false" ht="12.75" hidden="false" customHeight="false" outlineLevel="0" collapsed="false">
      <c r="A491" s="2" t="s">
        <v>280</v>
      </c>
      <c r="B491" s="2" t="s">
        <v>24</v>
      </c>
      <c r="C491" s="2" t="s">
        <v>22</v>
      </c>
      <c r="D491" s="3" t="n">
        <v>0</v>
      </c>
      <c r="E491" s="3" t="n">
        <v>5000</v>
      </c>
      <c r="F491" s="3" t="n">
        <v>4.245</v>
      </c>
    </row>
    <row r="492" customFormat="false" ht="12.75" hidden="false" customHeight="false" outlineLevel="0" collapsed="false">
      <c r="A492" s="2" t="s">
        <v>280</v>
      </c>
      <c r="B492" s="2" t="s">
        <v>24</v>
      </c>
      <c r="C492" s="2" t="s">
        <v>18</v>
      </c>
      <c r="D492" s="3" t="n">
        <v>0</v>
      </c>
      <c r="E492" s="3" t="n">
        <v>5000</v>
      </c>
      <c r="F492" s="3" t="n">
        <v>3.94</v>
      </c>
    </row>
    <row r="493" customFormat="false" ht="12.75" hidden="false" customHeight="false" outlineLevel="0" collapsed="false">
      <c r="A493" s="2" t="s">
        <v>280</v>
      </c>
      <c r="B493" s="2" t="s">
        <v>12</v>
      </c>
      <c r="C493" s="2" t="s">
        <v>32</v>
      </c>
      <c r="D493" s="3" t="n">
        <v>0</v>
      </c>
      <c r="E493" s="3" t="n">
        <v>20000</v>
      </c>
      <c r="F493" s="3" t="n">
        <v>3.8525</v>
      </c>
    </row>
    <row r="494" customFormat="false" ht="12.75" hidden="false" customHeight="false" outlineLevel="0" collapsed="false">
      <c r="A494" s="2" t="s">
        <v>281</v>
      </c>
      <c r="B494" s="2" t="s">
        <v>46</v>
      </c>
      <c r="C494" s="2" t="s">
        <v>8</v>
      </c>
      <c r="D494" s="3" t="n">
        <v>10000</v>
      </c>
      <c r="E494" s="3" t="n">
        <v>0</v>
      </c>
      <c r="F494" s="3" t="n">
        <v>3.755</v>
      </c>
    </row>
    <row r="495" customFormat="false" ht="12.75" hidden="false" customHeight="false" outlineLevel="0" collapsed="false">
      <c r="A495" s="2" t="s">
        <v>281</v>
      </c>
      <c r="B495" s="2" t="s">
        <v>15</v>
      </c>
      <c r="C495" s="2" t="s">
        <v>13</v>
      </c>
      <c r="D495" s="3" t="n">
        <v>0</v>
      </c>
      <c r="E495" s="3" t="n">
        <v>2500</v>
      </c>
      <c r="F495" s="3" t="n">
        <v>3.87</v>
      </c>
    </row>
    <row r="496" customFormat="false" ht="12.75" hidden="false" customHeight="false" outlineLevel="0" collapsed="false">
      <c r="A496" s="2" t="s">
        <v>281</v>
      </c>
      <c r="B496" s="2" t="s">
        <v>15</v>
      </c>
      <c r="C496" s="2" t="s">
        <v>13</v>
      </c>
      <c r="D496" s="3" t="n">
        <v>0</v>
      </c>
      <c r="E496" s="3" t="n">
        <v>2500</v>
      </c>
      <c r="F496" s="3" t="n">
        <v>3.87</v>
      </c>
    </row>
    <row r="497" customFormat="false" ht="12.75" hidden="false" customHeight="false" outlineLevel="0" collapsed="false">
      <c r="A497" s="2" t="s">
        <v>281</v>
      </c>
      <c r="B497" s="2" t="s">
        <v>35</v>
      </c>
      <c r="C497" s="2" t="s">
        <v>8</v>
      </c>
      <c r="D497" s="3" t="n">
        <v>5000</v>
      </c>
      <c r="E497" s="3" t="n">
        <v>0</v>
      </c>
      <c r="F497" s="3" t="n">
        <v>3.755</v>
      </c>
    </row>
    <row r="498" customFormat="false" ht="12.75" hidden="false" customHeight="false" outlineLevel="0" collapsed="false">
      <c r="A498" s="2" t="s">
        <v>281</v>
      </c>
      <c r="B498" s="2" t="s">
        <v>51</v>
      </c>
      <c r="C498" s="2" t="s">
        <v>22</v>
      </c>
      <c r="D498" s="3" t="n">
        <v>0</v>
      </c>
      <c r="E498" s="3" t="n">
        <v>5000</v>
      </c>
      <c r="F498" s="3" t="n">
        <v>4.255</v>
      </c>
    </row>
    <row r="499" customFormat="false" ht="12.75" hidden="false" customHeight="false" outlineLevel="0" collapsed="false">
      <c r="A499" s="2" t="s">
        <v>281</v>
      </c>
      <c r="B499" s="2" t="s">
        <v>12</v>
      </c>
      <c r="C499" s="2" t="s">
        <v>32</v>
      </c>
      <c r="D499" s="3" t="n">
        <v>0</v>
      </c>
      <c r="E499" s="3" t="n">
        <v>20000</v>
      </c>
      <c r="F499" s="3" t="n">
        <v>3.8525</v>
      </c>
    </row>
    <row r="500" customFormat="false" ht="12.75" hidden="false" customHeight="false" outlineLevel="0" collapsed="false">
      <c r="A500" s="2" t="s">
        <v>282</v>
      </c>
      <c r="B500" s="2" t="s">
        <v>268</v>
      </c>
      <c r="C500" s="2" t="s">
        <v>8</v>
      </c>
      <c r="D500" s="3" t="n">
        <v>10000</v>
      </c>
      <c r="E500" s="3" t="n">
        <v>0</v>
      </c>
      <c r="F500" s="3" t="n">
        <v>3.755</v>
      </c>
    </row>
    <row r="501" customFormat="false" ht="12.75" hidden="false" customHeight="false" outlineLevel="0" collapsed="false">
      <c r="A501" s="2" t="s">
        <v>282</v>
      </c>
      <c r="B501" s="2" t="s">
        <v>12</v>
      </c>
      <c r="C501" s="2" t="s">
        <v>32</v>
      </c>
      <c r="D501" s="3" t="n">
        <v>0</v>
      </c>
      <c r="E501" s="3" t="n">
        <v>20000</v>
      </c>
      <c r="F501" s="3" t="n">
        <v>3.8525</v>
      </c>
    </row>
    <row r="502" customFormat="false" ht="12.75" hidden="false" customHeight="false" outlineLevel="0" collapsed="false">
      <c r="A502" s="2" t="s">
        <v>283</v>
      </c>
      <c r="B502" s="2" t="s">
        <v>284</v>
      </c>
      <c r="C502" s="2" t="s">
        <v>8</v>
      </c>
      <c r="D502" s="3" t="n">
        <v>0</v>
      </c>
      <c r="E502" s="3" t="n">
        <v>5000</v>
      </c>
      <c r="F502" s="3" t="n">
        <v>3.765</v>
      </c>
    </row>
    <row r="503" customFormat="false" ht="12.75" hidden="false" customHeight="false" outlineLevel="0" collapsed="false">
      <c r="A503" s="2" t="s">
        <v>283</v>
      </c>
      <c r="B503" s="2" t="s">
        <v>72</v>
      </c>
      <c r="C503" s="2" t="s">
        <v>65</v>
      </c>
      <c r="D503" s="3" t="n">
        <v>7500</v>
      </c>
      <c r="E503" s="3" t="n">
        <v>0</v>
      </c>
      <c r="F503" s="3" t="n">
        <v>3.89</v>
      </c>
    </row>
    <row r="504" customFormat="false" ht="12.75" hidden="false" customHeight="false" outlineLevel="0" collapsed="false">
      <c r="A504" s="2" t="s">
        <v>285</v>
      </c>
      <c r="B504" s="2" t="s">
        <v>72</v>
      </c>
      <c r="C504" s="2" t="s">
        <v>65</v>
      </c>
      <c r="D504" s="3" t="n">
        <v>7500</v>
      </c>
      <c r="E504" s="3" t="n">
        <v>0</v>
      </c>
      <c r="F504" s="3" t="n">
        <v>3.89</v>
      </c>
    </row>
    <row r="505" customFormat="false" ht="12.75" hidden="false" customHeight="false" outlineLevel="0" collapsed="false">
      <c r="A505" s="2" t="s">
        <v>286</v>
      </c>
      <c r="B505" s="2" t="s">
        <v>116</v>
      </c>
      <c r="C505" s="2" t="s">
        <v>8</v>
      </c>
      <c r="D505" s="3" t="n">
        <v>0</v>
      </c>
      <c r="E505" s="3" t="n">
        <v>15000</v>
      </c>
      <c r="F505" s="3" t="n">
        <v>3.765</v>
      </c>
    </row>
    <row r="506" customFormat="false" ht="12.75" hidden="false" customHeight="false" outlineLevel="0" collapsed="false">
      <c r="A506" s="2" t="s">
        <v>286</v>
      </c>
      <c r="B506" s="2" t="s">
        <v>24</v>
      </c>
      <c r="C506" s="2" t="s">
        <v>8</v>
      </c>
      <c r="D506" s="3" t="n">
        <v>20000</v>
      </c>
      <c r="E506" s="3" t="n">
        <v>0</v>
      </c>
      <c r="F506" s="3" t="n">
        <v>3.755</v>
      </c>
    </row>
    <row r="507" customFormat="false" ht="12.75" hidden="false" customHeight="false" outlineLevel="0" collapsed="false">
      <c r="A507" s="2" t="s">
        <v>287</v>
      </c>
      <c r="B507" s="2" t="s">
        <v>24</v>
      </c>
      <c r="C507" s="2" t="s">
        <v>8</v>
      </c>
      <c r="D507" s="3" t="n">
        <v>20000</v>
      </c>
      <c r="E507" s="3" t="n">
        <v>0</v>
      </c>
      <c r="F507" s="3" t="n">
        <v>3.755</v>
      </c>
    </row>
    <row r="508" customFormat="false" ht="12.75" hidden="false" customHeight="false" outlineLevel="0" collapsed="false">
      <c r="A508" s="2" t="s">
        <v>287</v>
      </c>
      <c r="B508" s="2" t="s">
        <v>12</v>
      </c>
      <c r="C508" s="2" t="s">
        <v>8</v>
      </c>
      <c r="D508" s="3" t="n">
        <v>0</v>
      </c>
      <c r="E508" s="3" t="n">
        <v>15000</v>
      </c>
      <c r="F508" s="3" t="n">
        <v>3.76</v>
      </c>
    </row>
    <row r="509" customFormat="false" ht="12.75" hidden="false" customHeight="false" outlineLevel="0" collapsed="false">
      <c r="A509" s="2" t="s">
        <v>288</v>
      </c>
      <c r="B509" s="2" t="s">
        <v>85</v>
      </c>
      <c r="C509" s="2" t="s">
        <v>13</v>
      </c>
      <c r="D509" s="3" t="n">
        <v>0</v>
      </c>
      <c r="E509" s="3" t="n">
        <v>5000</v>
      </c>
      <c r="F509" s="3" t="n">
        <v>3.865</v>
      </c>
    </row>
    <row r="510" customFormat="false" ht="12.75" hidden="false" customHeight="false" outlineLevel="0" collapsed="false">
      <c r="A510" s="2" t="s">
        <v>288</v>
      </c>
      <c r="B510" s="2" t="s">
        <v>85</v>
      </c>
      <c r="C510" s="2" t="s">
        <v>22</v>
      </c>
      <c r="D510" s="3" t="n">
        <v>0</v>
      </c>
      <c r="E510" s="3" t="n">
        <v>5000</v>
      </c>
      <c r="F510" s="3" t="n">
        <v>4.25</v>
      </c>
    </row>
    <row r="511" customFormat="false" ht="12.75" hidden="false" customHeight="false" outlineLevel="0" collapsed="false">
      <c r="A511" s="2" t="s">
        <v>288</v>
      </c>
      <c r="B511" s="2" t="s">
        <v>36</v>
      </c>
      <c r="C511" s="2" t="s">
        <v>8</v>
      </c>
      <c r="D511" s="3" t="n">
        <v>20000</v>
      </c>
      <c r="E511" s="3" t="n">
        <v>0</v>
      </c>
      <c r="F511" s="3" t="n">
        <v>3.755</v>
      </c>
    </row>
    <row r="512" customFormat="false" ht="12.75" hidden="false" customHeight="false" outlineLevel="0" collapsed="false">
      <c r="A512" s="2" t="s">
        <v>288</v>
      </c>
      <c r="B512" s="2" t="s">
        <v>12</v>
      </c>
      <c r="C512" s="2" t="s">
        <v>32</v>
      </c>
      <c r="D512" s="3" t="n">
        <v>0</v>
      </c>
      <c r="E512" s="3" t="n">
        <v>20000</v>
      </c>
      <c r="F512" s="3" t="n">
        <v>3.8525</v>
      </c>
    </row>
    <row r="513" customFormat="false" ht="12.75" hidden="false" customHeight="false" outlineLevel="0" collapsed="false">
      <c r="A513" s="2" t="s">
        <v>289</v>
      </c>
      <c r="B513" s="2" t="s">
        <v>41</v>
      </c>
      <c r="C513" s="2" t="s">
        <v>18</v>
      </c>
      <c r="D513" s="3" t="n">
        <v>0</v>
      </c>
      <c r="E513" s="3" t="n">
        <v>5000</v>
      </c>
      <c r="F513" s="3" t="n">
        <v>3.945</v>
      </c>
    </row>
    <row r="514" customFormat="false" ht="12.75" hidden="false" customHeight="false" outlineLevel="0" collapsed="false">
      <c r="A514" s="2" t="s">
        <v>290</v>
      </c>
      <c r="B514" s="2" t="s">
        <v>72</v>
      </c>
      <c r="C514" s="2" t="s">
        <v>8</v>
      </c>
      <c r="D514" s="3" t="n">
        <v>0</v>
      </c>
      <c r="E514" s="3" t="n">
        <v>10000</v>
      </c>
      <c r="F514" s="3" t="n">
        <v>3.76</v>
      </c>
    </row>
    <row r="515" customFormat="false" ht="12.75" hidden="false" customHeight="false" outlineLevel="0" collapsed="false">
      <c r="A515" s="2" t="s">
        <v>291</v>
      </c>
      <c r="B515" s="2" t="s">
        <v>252</v>
      </c>
      <c r="C515" s="2" t="s">
        <v>22</v>
      </c>
      <c r="D515" s="3" t="n">
        <v>0</v>
      </c>
      <c r="E515" s="3" t="n">
        <v>2500</v>
      </c>
      <c r="F515" s="3" t="n">
        <v>4.245</v>
      </c>
    </row>
    <row r="516" customFormat="false" ht="12.75" hidden="false" customHeight="false" outlineLevel="0" collapsed="false">
      <c r="A516" s="2" t="s">
        <v>291</v>
      </c>
      <c r="B516" s="2" t="s">
        <v>36</v>
      </c>
      <c r="C516" s="2" t="s">
        <v>8</v>
      </c>
      <c r="D516" s="3" t="n">
        <v>5000</v>
      </c>
      <c r="E516" s="3" t="n">
        <v>0</v>
      </c>
      <c r="F516" s="3" t="n">
        <v>3.755</v>
      </c>
    </row>
    <row r="517" customFormat="false" ht="12.75" hidden="false" customHeight="false" outlineLevel="0" collapsed="false">
      <c r="A517" s="2" t="s">
        <v>291</v>
      </c>
      <c r="B517" s="2" t="s">
        <v>72</v>
      </c>
      <c r="C517" s="2" t="s">
        <v>8</v>
      </c>
      <c r="D517" s="3" t="n">
        <v>0</v>
      </c>
      <c r="E517" s="3" t="n">
        <v>10000</v>
      </c>
      <c r="F517" s="3" t="n">
        <v>3.76</v>
      </c>
    </row>
    <row r="518" customFormat="false" ht="12.75" hidden="false" customHeight="false" outlineLevel="0" collapsed="false">
      <c r="A518" s="2" t="s">
        <v>292</v>
      </c>
      <c r="B518" s="2" t="s">
        <v>12</v>
      </c>
      <c r="C518" s="2" t="s">
        <v>13</v>
      </c>
      <c r="D518" s="3" t="n">
        <v>0</v>
      </c>
      <c r="E518" s="3" t="n">
        <v>5000</v>
      </c>
      <c r="F518" s="3" t="n">
        <v>3.86</v>
      </c>
    </row>
    <row r="519" customFormat="false" ht="12.75" hidden="false" customHeight="false" outlineLevel="0" collapsed="false">
      <c r="A519" s="2" t="s">
        <v>292</v>
      </c>
      <c r="B519" s="2" t="s">
        <v>83</v>
      </c>
      <c r="C519" s="2" t="s">
        <v>8</v>
      </c>
      <c r="D519" s="3" t="n">
        <v>5000</v>
      </c>
      <c r="E519" s="3" t="n">
        <v>0</v>
      </c>
      <c r="F519" s="3" t="n">
        <v>3.755</v>
      </c>
    </row>
    <row r="520" customFormat="false" ht="12.75" hidden="false" customHeight="false" outlineLevel="0" collapsed="false">
      <c r="A520" s="2" t="s">
        <v>293</v>
      </c>
      <c r="B520" s="2" t="s">
        <v>12</v>
      </c>
      <c r="C520" s="2" t="s">
        <v>8</v>
      </c>
      <c r="D520" s="3" t="n">
        <v>0</v>
      </c>
      <c r="E520" s="3" t="n">
        <v>20000</v>
      </c>
      <c r="F520" s="3" t="n">
        <v>3.76</v>
      </c>
    </row>
    <row r="521" customFormat="false" ht="12.75" hidden="false" customHeight="false" outlineLevel="0" collapsed="false">
      <c r="A521" s="2" t="s">
        <v>294</v>
      </c>
      <c r="B521" s="2" t="s">
        <v>199</v>
      </c>
      <c r="C521" s="2" t="s">
        <v>8</v>
      </c>
      <c r="D521" s="3" t="n">
        <v>20000</v>
      </c>
      <c r="E521" s="3" t="n">
        <v>0</v>
      </c>
      <c r="F521" s="3" t="n">
        <v>3.755</v>
      </c>
    </row>
    <row r="522" customFormat="false" ht="12.75" hidden="false" customHeight="false" outlineLevel="0" collapsed="false">
      <c r="A522" s="2" t="s">
        <v>295</v>
      </c>
      <c r="B522" s="2" t="s">
        <v>15</v>
      </c>
      <c r="C522" s="2" t="s">
        <v>13</v>
      </c>
      <c r="D522" s="3" t="n">
        <v>0</v>
      </c>
      <c r="E522" s="3" t="n">
        <v>2500</v>
      </c>
      <c r="F522" s="3" t="n">
        <v>3.865</v>
      </c>
    </row>
    <row r="523" customFormat="false" ht="12.75" hidden="false" customHeight="false" outlineLevel="0" collapsed="false">
      <c r="A523" s="2" t="s">
        <v>295</v>
      </c>
      <c r="B523" s="2" t="s">
        <v>94</v>
      </c>
      <c r="C523" s="2" t="s">
        <v>8</v>
      </c>
      <c r="D523" s="3" t="n">
        <v>5000</v>
      </c>
      <c r="E523" s="3" t="n">
        <v>0</v>
      </c>
      <c r="F523" s="3" t="n">
        <v>3.75</v>
      </c>
    </row>
    <row r="524" customFormat="false" ht="12.75" hidden="false" customHeight="false" outlineLevel="0" collapsed="false">
      <c r="A524" s="2" t="s">
        <v>295</v>
      </c>
      <c r="B524" s="2" t="s">
        <v>42</v>
      </c>
      <c r="C524" s="2" t="s">
        <v>32</v>
      </c>
      <c r="D524" s="3" t="n">
        <v>0</v>
      </c>
      <c r="E524" s="3" t="n">
        <v>20000</v>
      </c>
      <c r="F524" s="3" t="n">
        <v>3.8525</v>
      </c>
    </row>
    <row r="525" customFormat="false" ht="12.75" hidden="false" customHeight="false" outlineLevel="0" collapsed="false">
      <c r="A525" s="2" t="s">
        <v>296</v>
      </c>
      <c r="B525" s="2" t="s">
        <v>88</v>
      </c>
      <c r="C525" s="2" t="s">
        <v>8</v>
      </c>
      <c r="D525" s="3" t="n">
        <v>10000</v>
      </c>
      <c r="E525" s="3" t="n">
        <v>0</v>
      </c>
      <c r="F525" s="3" t="n">
        <v>3.76</v>
      </c>
    </row>
    <row r="526" customFormat="false" ht="12.75" hidden="false" customHeight="false" outlineLevel="0" collapsed="false">
      <c r="A526" s="2" t="s">
        <v>296</v>
      </c>
      <c r="B526" s="2" t="s">
        <v>7</v>
      </c>
      <c r="C526" s="2" t="s">
        <v>8</v>
      </c>
      <c r="D526" s="3" t="n">
        <v>5000</v>
      </c>
      <c r="E526" s="3" t="n">
        <v>0</v>
      </c>
      <c r="F526" s="3" t="n">
        <v>3.76</v>
      </c>
    </row>
    <row r="527" customFormat="false" ht="12.75" hidden="false" customHeight="false" outlineLevel="0" collapsed="false">
      <c r="A527" s="2" t="s">
        <v>296</v>
      </c>
      <c r="B527" s="2" t="s">
        <v>41</v>
      </c>
      <c r="C527" s="2" t="s">
        <v>18</v>
      </c>
      <c r="D527" s="3" t="n">
        <v>0</v>
      </c>
      <c r="E527" s="3" t="n">
        <v>5000</v>
      </c>
      <c r="F527" s="3" t="n">
        <v>3.945</v>
      </c>
    </row>
    <row r="528" customFormat="false" ht="12.75" hidden="false" customHeight="false" outlineLevel="0" collapsed="false">
      <c r="A528" s="2" t="s">
        <v>296</v>
      </c>
      <c r="B528" s="2" t="s">
        <v>42</v>
      </c>
      <c r="C528" s="2" t="s">
        <v>32</v>
      </c>
      <c r="D528" s="3" t="n">
        <v>0</v>
      </c>
      <c r="E528" s="3" t="n">
        <v>20000</v>
      </c>
      <c r="F528" s="3" t="n">
        <v>3.8575</v>
      </c>
    </row>
    <row r="529" customFormat="false" ht="12.75" hidden="false" customHeight="false" outlineLevel="0" collapsed="false">
      <c r="A529" s="2" t="s">
        <v>297</v>
      </c>
      <c r="B529" s="2" t="s">
        <v>12</v>
      </c>
      <c r="C529" s="2" t="s">
        <v>13</v>
      </c>
      <c r="D529" s="3" t="n">
        <v>0</v>
      </c>
      <c r="E529" s="3" t="n">
        <v>5000</v>
      </c>
      <c r="F529" s="3" t="n">
        <v>3.865</v>
      </c>
    </row>
    <row r="530" customFormat="false" ht="12.75" hidden="false" customHeight="false" outlineLevel="0" collapsed="false">
      <c r="A530" s="2" t="s">
        <v>298</v>
      </c>
      <c r="B530" s="2" t="s">
        <v>12</v>
      </c>
      <c r="C530" s="2" t="s">
        <v>13</v>
      </c>
      <c r="D530" s="3" t="n">
        <v>0</v>
      </c>
      <c r="E530" s="3" t="n">
        <v>5000</v>
      </c>
      <c r="F530" s="3" t="n">
        <v>3.865</v>
      </c>
    </row>
    <row r="531" customFormat="false" ht="12.75" hidden="false" customHeight="false" outlineLevel="0" collapsed="false">
      <c r="A531" s="2" t="s">
        <v>298</v>
      </c>
      <c r="B531" s="2" t="s">
        <v>12</v>
      </c>
      <c r="C531" s="2" t="s">
        <v>8</v>
      </c>
      <c r="D531" s="3" t="n">
        <v>0</v>
      </c>
      <c r="E531" s="3" t="n">
        <v>15000</v>
      </c>
      <c r="F531" s="3" t="n">
        <v>3.765</v>
      </c>
    </row>
    <row r="532" customFormat="false" ht="12.75" hidden="false" customHeight="false" outlineLevel="0" collapsed="false">
      <c r="A532" s="2" t="s">
        <v>298</v>
      </c>
      <c r="B532" s="2" t="s">
        <v>299</v>
      </c>
      <c r="C532" s="2" t="s">
        <v>169</v>
      </c>
      <c r="D532" s="3" t="n">
        <v>0</v>
      </c>
      <c r="E532" s="3" t="n">
        <v>5000</v>
      </c>
      <c r="F532" s="3" t="n">
        <v>3.7575</v>
      </c>
    </row>
    <row r="533" customFormat="false" ht="12.75" hidden="false" customHeight="false" outlineLevel="0" collapsed="false">
      <c r="A533" s="2" t="s">
        <v>300</v>
      </c>
      <c r="B533" s="2" t="s">
        <v>24</v>
      </c>
      <c r="C533" s="2" t="s">
        <v>65</v>
      </c>
      <c r="D533" s="3" t="n">
        <v>2500</v>
      </c>
      <c r="E533" s="3" t="n">
        <v>0</v>
      </c>
      <c r="F533" s="3" t="n">
        <v>3.895</v>
      </c>
    </row>
    <row r="534" customFormat="false" ht="12.75" hidden="false" customHeight="false" outlineLevel="0" collapsed="false">
      <c r="A534" s="2" t="s">
        <v>300</v>
      </c>
      <c r="B534" s="2" t="s">
        <v>24</v>
      </c>
      <c r="C534" s="2" t="s">
        <v>65</v>
      </c>
      <c r="D534" s="3" t="n">
        <v>2500</v>
      </c>
      <c r="E534" s="3" t="n">
        <v>0</v>
      </c>
      <c r="F534" s="3" t="n">
        <v>3.895</v>
      </c>
    </row>
    <row r="535" customFormat="false" ht="12.75" hidden="false" customHeight="false" outlineLevel="0" collapsed="false">
      <c r="A535" s="2" t="s">
        <v>300</v>
      </c>
      <c r="B535" s="2" t="s">
        <v>12</v>
      </c>
      <c r="C535" s="2" t="s">
        <v>13</v>
      </c>
      <c r="D535" s="3" t="n">
        <v>0</v>
      </c>
      <c r="E535" s="3" t="n">
        <v>5000</v>
      </c>
      <c r="F535" s="3" t="n">
        <v>3.87</v>
      </c>
    </row>
    <row r="536" customFormat="false" ht="12.75" hidden="false" customHeight="false" outlineLevel="0" collapsed="false">
      <c r="A536" s="2" t="s">
        <v>301</v>
      </c>
      <c r="B536" s="2" t="s">
        <v>100</v>
      </c>
      <c r="C536" s="2" t="s">
        <v>8</v>
      </c>
      <c r="D536" s="3" t="n">
        <v>15000</v>
      </c>
      <c r="E536" s="3" t="n">
        <v>0</v>
      </c>
      <c r="F536" s="3" t="n">
        <v>3.77</v>
      </c>
    </row>
    <row r="537" customFormat="false" ht="12.75" hidden="false" customHeight="false" outlineLevel="0" collapsed="false">
      <c r="A537" s="2" t="s">
        <v>301</v>
      </c>
      <c r="B537" s="2" t="s">
        <v>46</v>
      </c>
      <c r="C537" s="2" t="s">
        <v>8</v>
      </c>
      <c r="D537" s="3" t="n">
        <v>20000</v>
      </c>
      <c r="E537" s="3" t="n">
        <v>0</v>
      </c>
      <c r="F537" s="3" t="n">
        <v>3.765</v>
      </c>
    </row>
    <row r="538" customFormat="false" ht="12.75" hidden="false" customHeight="false" outlineLevel="0" collapsed="false">
      <c r="A538" s="2" t="s">
        <v>301</v>
      </c>
      <c r="B538" s="2" t="s">
        <v>41</v>
      </c>
      <c r="C538" s="2" t="s">
        <v>18</v>
      </c>
      <c r="D538" s="3" t="n">
        <v>0</v>
      </c>
      <c r="E538" s="3" t="n">
        <v>5000</v>
      </c>
      <c r="F538" s="3" t="n">
        <v>3.95</v>
      </c>
    </row>
    <row r="539" customFormat="false" ht="12.75" hidden="false" customHeight="false" outlineLevel="0" collapsed="false">
      <c r="A539" s="2" t="s">
        <v>301</v>
      </c>
      <c r="B539" s="2" t="s">
        <v>42</v>
      </c>
      <c r="C539" s="2" t="s">
        <v>32</v>
      </c>
      <c r="D539" s="3" t="n">
        <v>0</v>
      </c>
      <c r="E539" s="3" t="n">
        <v>20000</v>
      </c>
      <c r="F539" s="3" t="n">
        <v>3.8625</v>
      </c>
    </row>
    <row r="540" customFormat="false" ht="12.75" hidden="false" customHeight="false" outlineLevel="0" collapsed="false">
      <c r="A540" s="2" t="s">
        <v>301</v>
      </c>
      <c r="B540" s="2" t="s">
        <v>42</v>
      </c>
      <c r="C540" s="2" t="s">
        <v>32</v>
      </c>
      <c r="D540" s="3" t="n">
        <v>0</v>
      </c>
      <c r="E540" s="3" t="n">
        <v>20000</v>
      </c>
      <c r="F540" s="3" t="n">
        <v>3.8675</v>
      </c>
    </row>
    <row r="541" customFormat="false" ht="12.75" hidden="false" customHeight="false" outlineLevel="0" collapsed="false">
      <c r="A541" s="2" t="s">
        <v>301</v>
      </c>
      <c r="B541" s="2" t="s">
        <v>31</v>
      </c>
      <c r="C541" s="2" t="s">
        <v>18</v>
      </c>
      <c r="D541" s="3" t="n">
        <v>2500</v>
      </c>
      <c r="E541" s="3" t="n">
        <v>0</v>
      </c>
      <c r="F541" s="3" t="n">
        <v>3.945</v>
      </c>
    </row>
    <row r="542" customFormat="false" ht="12.75" hidden="false" customHeight="false" outlineLevel="0" collapsed="false">
      <c r="A542" s="2" t="s">
        <v>301</v>
      </c>
      <c r="B542" s="2" t="s">
        <v>12</v>
      </c>
      <c r="C542" s="2" t="s">
        <v>13</v>
      </c>
      <c r="D542" s="3" t="n">
        <v>0</v>
      </c>
      <c r="E542" s="3" t="n">
        <v>5000</v>
      </c>
      <c r="F542" s="3" t="n">
        <v>3.875</v>
      </c>
    </row>
    <row r="543" customFormat="false" ht="12.75" hidden="false" customHeight="false" outlineLevel="0" collapsed="false">
      <c r="A543" s="2" t="s">
        <v>301</v>
      </c>
      <c r="B543" s="2" t="s">
        <v>12</v>
      </c>
      <c r="C543" s="2" t="s">
        <v>8</v>
      </c>
      <c r="D543" s="3" t="n">
        <v>0</v>
      </c>
      <c r="E543" s="3" t="n">
        <v>20000</v>
      </c>
      <c r="F543" s="3" t="n">
        <v>3.77</v>
      </c>
    </row>
    <row r="544" customFormat="false" ht="12.75" hidden="false" customHeight="false" outlineLevel="0" collapsed="false">
      <c r="A544" s="2" t="s">
        <v>302</v>
      </c>
      <c r="B544" s="2" t="s">
        <v>15</v>
      </c>
      <c r="C544" s="2" t="s">
        <v>13</v>
      </c>
      <c r="D544" s="3" t="n">
        <v>0</v>
      </c>
      <c r="E544" s="3" t="n">
        <v>5000</v>
      </c>
      <c r="F544" s="3" t="n">
        <v>3.88</v>
      </c>
    </row>
    <row r="545" customFormat="false" ht="12.75" hidden="false" customHeight="false" outlineLevel="0" collapsed="false">
      <c r="A545" s="2" t="s">
        <v>302</v>
      </c>
      <c r="B545" s="2" t="s">
        <v>88</v>
      </c>
      <c r="C545" s="2" t="s">
        <v>8</v>
      </c>
      <c r="D545" s="3" t="n">
        <v>5000</v>
      </c>
      <c r="E545" s="3" t="n">
        <v>0</v>
      </c>
      <c r="F545" s="3" t="n">
        <v>3.77</v>
      </c>
    </row>
    <row r="546" customFormat="false" ht="12.75" hidden="false" customHeight="false" outlineLevel="0" collapsed="false">
      <c r="A546" s="2" t="s">
        <v>302</v>
      </c>
      <c r="B546" s="2" t="s">
        <v>258</v>
      </c>
      <c r="C546" s="2" t="s">
        <v>8</v>
      </c>
      <c r="D546" s="3" t="n">
        <v>2500</v>
      </c>
      <c r="E546" s="3" t="n">
        <v>0</v>
      </c>
      <c r="F546" s="3" t="n">
        <v>3.765</v>
      </c>
    </row>
    <row r="547" customFormat="false" ht="12.75" hidden="false" customHeight="false" outlineLevel="0" collapsed="false">
      <c r="A547" s="2" t="s">
        <v>302</v>
      </c>
      <c r="B547" s="2" t="s">
        <v>72</v>
      </c>
      <c r="C547" s="2" t="s">
        <v>8</v>
      </c>
      <c r="D547" s="3" t="n">
        <v>12500</v>
      </c>
      <c r="E547" s="3" t="n">
        <v>0</v>
      </c>
      <c r="F547" s="3" t="n">
        <v>3.765</v>
      </c>
    </row>
    <row r="548" customFormat="false" ht="12.75" hidden="false" customHeight="false" outlineLevel="0" collapsed="false">
      <c r="A548" s="2" t="s">
        <v>302</v>
      </c>
      <c r="B548" s="2" t="s">
        <v>68</v>
      </c>
      <c r="C548" s="2" t="s">
        <v>8</v>
      </c>
      <c r="D548" s="3" t="n">
        <v>0</v>
      </c>
      <c r="E548" s="3" t="n">
        <v>10000</v>
      </c>
      <c r="F548" s="3" t="n">
        <v>3.775</v>
      </c>
    </row>
    <row r="549" customFormat="false" ht="12.75" hidden="false" customHeight="false" outlineLevel="0" collapsed="false">
      <c r="A549" s="2" t="s">
        <v>302</v>
      </c>
      <c r="B549" s="2" t="s">
        <v>12</v>
      </c>
      <c r="C549" s="2" t="s">
        <v>8</v>
      </c>
      <c r="D549" s="3" t="n">
        <v>0</v>
      </c>
      <c r="E549" s="3" t="n">
        <v>10000</v>
      </c>
      <c r="F549" s="3" t="n">
        <v>3.775</v>
      </c>
    </row>
    <row r="550" customFormat="false" ht="12.75" hidden="false" customHeight="false" outlineLevel="0" collapsed="false">
      <c r="A550" s="2" t="s">
        <v>302</v>
      </c>
      <c r="B550" s="2" t="s">
        <v>12</v>
      </c>
      <c r="C550" s="2" t="s">
        <v>8</v>
      </c>
      <c r="D550" s="3" t="n">
        <v>0</v>
      </c>
      <c r="E550" s="3" t="n">
        <v>10000</v>
      </c>
      <c r="F550" s="3" t="n">
        <v>3.775</v>
      </c>
    </row>
    <row r="551" customFormat="false" ht="12.75" hidden="false" customHeight="false" outlineLevel="0" collapsed="false">
      <c r="A551" s="2" t="s">
        <v>303</v>
      </c>
      <c r="B551" s="2" t="s">
        <v>35</v>
      </c>
      <c r="C551" s="2" t="s">
        <v>65</v>
      </c>
      <c r="D551" s="3" t="n">
        <v>0</v>
      </c>
      <c r="E551" s="3" t="n">
        <v>5000</v>
      </c>
      <c r="F551" s="3" t="n">
        <v>3.91</v>
      </c>
    </row>
    <row r="552" customFormat="false" ht="12.75" hidden="false" customHeight="false" outlineLevel="0" collapsed="false">
      <c r="A552" s="2" t="s">
        <v>303</v>
      </c>
      <c r="B552" s="2" t="s">
        <v>116</v>
      </c>
      <c r="C552" s="2" t="s">
        <v>8</v>
      </c>
      <c r="D552" s="3" t="n">
        <v>0</v>
      </c>
      <c r="E552" s="3" t="n">
        <v>5000</v>
      </c>
      <c r="F552" s="3" t="n">
        <v>3.775</v>
      </c>
    </row>
    <row r="553" customFormat="false" ht="12.75" hidden="false" customHeight="false" outlineLevel="0" collapsed="false">
      <c r="A553" s="2" t="s">
        <v>303</v>
      </c>
      <c r="B553" s="2" t="s">
        <v>12</v>
      </c>
      <c r="C553" s="2" t="s">
        <v>32</v>
      </c>
      <c r="D553" s="3" t="n">
        <v>0</v>
      </c>
      <c r="E553" s="3" t="n">
        <v>15000</v>
      </c>
      <c r="F553" s="3" t="n">
        <v>3.8725</v>
      </c>
    </row>
    <row r="554" customFormat="false" ht="12.75" hidden="false" customHeight="false" outlineLevel="0" collapsed="false">
      <c r="A554" s="2" t="s">
        <v>304</v>
      </c>
      <c r="B554" s="2" t="s">
        <v>26</v>
      </c>
      <c r="C554" s="2" t="s">
        <v>8</v>
      </c>
      <c r="D554" s="3" t="n">
        <v>0</v>
      </c>
      <c r="E554" s="3" t="n">
        <v>20000</v>
      </c>
      <c r="F554" s="3" t="n">
        <v>3.775</v>
      </c>
    </row>
    <row r="555" customFormat="false" ht="12.75" hidden="false" customHeight="false" outlineLevel="0" collapsed="false">
      <c r="A555" s="2" t="s">
        <v>304</v>
      </c>
      <c r="B555" s="2" t="s">
        <v>41</v>
      </c>
      <c r="C555" s="2" t="s">
        <v>18</v>
      </c>
      <c r="D555" s="3" t="n">
        <v>0</v>
      </c>
      <c r="E555" s="3" t="n">
        <v>5000</v>
      </c>
      <c r="F555" s="3" t="n">
        <v>3.95</v>
      </c>
    </row>
    <row r="556" customFormat="false" ht="12.75" hidden="false" customHeight="false" outlineLevel="0" collapsed="false">
      <c r="A556" s="2" t="s">
        <v>304</v>
      </c>
      <c r="B556" s="2" t="s">
        <v>305</v>
      </c>
      <c r="C556" s="2" t="s">
        <v>65</v>
      </c>
      <c r="D556" s="3" t="n">
        <v>5000</v>
      </c>
      <c r="E556" s="3" t="n">
        <v>0</v>
      </c>
      <c r="F556" s="3" t="n">
        <v>3.905</v>
      </c>
    </row>
    <row r="557" customFormat="false" ht="12.75" hidden="false" customHeight="false" outlineLevel="0" collapsed="false">
      <c r="A557" s="2" t="s">
        <v>306</v>
      </c>
      <c r="B557" s="2" t="s">
        <v>68</v>
      </c>
      <c r="C557" s="2" t="s">
        <v>8</v>
      </c>
      <c r="D557" s="3" t="n">
        <v>0</v>
      </c>
      <c r="E557" s="3" t="n">
        <v>20000</v>
      </c>
      <c r="F557" s="3" t="n">
        <v>3.78</v>
      </c>
    </row>
    <row r="558" customFormat="false" ht="12.75" hidden="false" customHeight="false" outlineLevel="0" collapsed="false">
      <c r="A558" s="2" t="s">
        <v>307</v>
      </c>
      <c r="B558" s="2" t="s">
        <v>85</v>
      </c>
      <c r="C558" s="2" t="s">
        <v>8</v>
      </c>
      <c r="D558" s="3" t="n">
        <v>0</v>
      </c>
      <c r="E558" s="3" t="n">
        <v>20000</v>
      </c>
      <c r="F558" s="3" t="n">
        <v>3.775</v>
      </c>
    </row>
    <row r="559" customFormat="false" ht="12.75" hidden="false" customHeight="false" outlineLevel="0" collapsed="false">
      <c r="A559" s="2" t="s">
        <v>307</v>
      </c>
      <c r="B559" s="2" t="s">
        <v>86</v>
      </c>
      <c r="C559" s="2" t="s">
        <v>22</v>
      </c>
      <c r="D559" s="3" t="n">
        <v>0</v>
      </c>
      <c r="E559" s="3" t="n">
        <v>2500</v>
      </c>
      <c r="F559" s="3" t="n">
        <v>4.27</v>
      </c>
    </row>
    <row r="560" customFormat="false" ht="12.75" hidden="false" customHeight="false" outlineLevel="0" collapsed="false">
      <c r="A560" s="2" t="s">
        <v>307</v>
      </c>
      <c r="B560" s="2" t="s">
        <v>308</v>
      </c>
      <c r="C560" s="2" t="s">
        <v>8</v>
      </c>
      <c r="D560" s="3" t="n">
        <v>0</v>
      </c>
      <c r="E560" s="3" t="n">
        <v>20000</v>
      </c>
      <c r="F560" s="3" t="n">
        <v>3.78</v>
      </c>
    </row>
    <row r="561" customFormat="false" ht="12.75" hidden="false" customHeight="false" outlineLevel="0" collapsed="false">
      <c r="A561" s="2" t="s">
        <v>307</v>
      </c>
      <c r="B561" s="2" t="s">
        <v>248</v>
      </c>
      <c r="C561" s="2" t="s">
        <v>8</v>
      </c>
      <c r="D561" s="3" t="n">
        <v>20000</v>
      </c>
      <c r="E561" s="3" t="n">
        <v>0</v>
      </c>
      <c r="F561" s="3" t="n">
        <v>3.77</v>
      </c>
    </row>
    <row r="562" customFormat="false" ht="12.75" hidden="false" customHeight="false" outlineLevel="0" collapsed="false">
      <c r="A562" s="2" t="s">
        <v>307</v>
      </c>
      <c r="B562" s="2" t="s">
        <v>176</v>
      </c>
      <c r="C562" s="2" t="s">
        <v>65</v>
      </c>
      <c r="D562" s="3" t="n">
        <v>15000</v>
      </c>
      <c r="E562" s="3" t="n">
        <v>0</v>
      </c>
      <c r="F562" s="3" t="n">
        <v>3.91</v>
      </c>
    </row>
    <row r="563" customFormat="false" ht="12.75" hidden="false" customHeight="false" outlineLevel="0" collapsed="false">
      <c r="A563" s="2" t="s">
        <v>309</v>
      </c>
      <c r="B563" s="2" t="s">
        <v>97</v>
      </c>
      <c r="C563" s="2" t="s">
        <v>8</v>
      </c>
      <c r="D563" s="3" t="n">
        <v>10000</v>
      </c>
      <c r="E563" s="3" t="n">
        <v>0</v>
      </c>
      <c r="F563" s="3" t="n">
        <v>3.78</v>
      </c>
    </row>
    <row r="564" customFormat="false" ht="12.75" hidden="false" customHeight="false" outlineLevel="0" collapsed="false">
      <c r="A564" s="2" t="s">
        <v>309</v>
      </c>
      <c r="B564" s="2" t="s">
        <v>88</v>
      </c>
      <c r="C564" s="2" t="s">
        <v>32</v>
      </c>
      <c r="D564" s="3" t="n">
        <v>10000</v>
      </c>
      <c r="E564" s="3" t="n">
        <v>0</v>
      </c>
      <c r="F564" s="3" t="n">
        <v>3.8725</v>
      </c>
    </row>
    <row r="565" customFormat="false" ht="12.75" hidden="false" customHeight="false" outlineLevel="0" collapsed="false">
      <c r="A565" s="2" t="s">
        <v>309</v>
      </c>
      <c r="B565" s="2" t="s">
        <v>116</v>
      </c>
      <c r="C565" s="2" t="s">
        <v>8</v>
      </c>
      <c r="D565" s="3" t="n">
        <v>0</v>
      </c>
      <c r="E565" s="3" t="n">
        <v>10000</v>
      </c>
      <c r="F565" s="3" t="n">
        <v>3.785</v>
      </c>
    </row>
    <row r="566" customFormat="false" ht="12.75" hidden="false" customHeight="false" outlineLevel="0" collapsed="false">
      <c r="A566" s="2" t="s">
        <v>309</v>
      </c>
      <c r="B566" s="2" t="s">
        <v>68</v>
      </c>
      <c r="C566" s="2" t="s">
        <v>8</v>
      </c>
      <c r="D566" s="3" t="n">
        <v>0</v>
      </c>
      <c r="E566" s="3" t="n">
        <v>5000</v>
      </c>
      <c r="F566" s="3" t="n">
        <v>3.785</v>
      </c>
    </row>
    <row r="567" customFormat="false" ht="12.75" hidden="false" customHeight="false" outlineLevel="0" collapsed="false">
      <c r="A567" s="2" t="s">
        <v>309</v>
      </c>
      <c r="B567" s="2" t="s">
        <v>41</v>
      </c>
      <c r="C567" s="2" t="s">
        <v>18</v>
      </c>
      <c r="D567" s="3" t="n">
        <v>0</v>
      </c>
      <c r="E567" s="3" t="n">
        <v>5000</v>
      </c>
      <c r="F567" s="3" t="n">
        <v>3.955</v>
      </c>
    </row>
    <row r="568" customFormat="false" ht="12.75" hidden="false" customHeight="false" outlineLevel="0" collapsed="false">
      <c r="A568" s="2" t="s">
        <v>309</v>
      </c>
      <c r="B568" s="2" t="s">
        <v>24</v>
      </c>
      <c r="C568" s="2" t="s">
        <v>65</v>
      </c>
      <c r="D568" s="3" t="n">
        <v>0</v>
      </c>
      <c r="E568" s="3" t="n">
        <v>5000</v>
      </c>
      <c r="F568" s="3" t="n">
        <v>3.92</v>
      </c>
    </row>
    <row r="569" customFormat="false" ht="12.75" hidden="false" customHeight="false" outlineLevel="0" collapsed="false">
      <c r="A569" s="2" t="s">
        <v>310</v>
      </c>
      <c r="B569" s="2" t="s">
        <v>308</v>
      </c>
      <c r="C569" s="2" t="s">
        <v>32</v>
      </c>
      <c r="D569" s="3" t="n">
        <v>0</v>
      </c>
      <c r="E569" s="3" t="n">
        <v>20000</v>
      </c>
      <c r="F569" s="3" t="n">
        <v>3.8775</v>
      </c>
    </row>
    <row r="570" customFormat="false" ht="12.75" hidden="false" customHeight="false" outlineLevel="0" collapsed="false">
      <c r="A570" s="2" t="s">
        <v>310</v>
      </c>
      <c r="B570" s="2" t="s">
        <v>72</v>
      </c>
      <c r="C570" s="2" t="s">
        <v>8</v>
      </c>
      <c r="D570" s="3" t="n">
        <v>20000</v>
      </c>
      <c r="E570" s="3" t="n">
        <v>0</v>
      </c>
      <c r="F570" s="3" t="n">
        <v>3.78</v>
      </c>
    </row>
    <row r="571" customFormat="false" ht="12.75" hidden="false" customHeight="false" outlineLevel="0" collapsed="false">
      <c r="A571" s="2" t="s">
        <v>310</v>
      </c>
      <c r="B571" s="2" t="s">
        <v>55</v>
      </c>
      <c r="C571" s="2" t="s">
        <v>13</v>
      </c>
      <c r="D571" s="3" t="n">
        <v>0</v>
      </c>
      <c r="E571" s="3" t="n">
        <v>5000</v>
      </c>
      <c r="F571" s="3" t="n">
        <v>3.885</v>
      </c>
    </row>
    <row r="572" customFormat="false" ht="12.75" hidden="false" customHeight="false" outlineLevel="0" collapsed="false">
      <c r="A572" s="2" t="s">
        <v>311</v>
      </c>
      <c r="B572" s="2" t="s">
        <v>70</v>
      </c>
      <c r="C572" s="2" t="s">
        <v>65</v>
      </c>
      <c r="D572" s="3" t="n">
        <v>0</v>
      </c>
      <c r="E572" s="3" t="n">
        <v>20000</v>
      </c>
      <c r="F572" s="3" t="n">
        <v>3.925</v>
      </c>
    </row>
    <row r="573" customFormat="false" ht="12.75" hidden="false" customHeight="false" outlineLevel="0" collapsed="false">
      <c r="A573" s="2" t="s">
        <v>311</v>
      </c>
      <c r="B573" s="2" t="s">
        <v>28</v>
      </c>
      <c r="C573" s="2" t="s">
        <v>22</v>
      </c>
      <c r="D573" s="3" t="n">
        <v>0</v>
      </c>
      <c r="E573" s="3" t="n">
        <v>5000</v>
      </c>
      <c r="F573" s="3" t="n">
        <v>4.275</v>
      </c>
    </row>
    <row r="574" customFormat="false" ht="12.75" hidden="false" customHeight="false" outlineLevel="0" collapsed="false">
      <c r="A574" s="2" t="s">
        <v>311</v>
      </c>
      <c r="B574" s="2" t="s">
        <v>36</v>
      </c>
      <c r="C574" s="2" t="s">
        <v>8</v>
      </c>
      <c r="D574" s="3" t="n">
        <v>10000</v>
      </c>
      <c r="E574" s="3" t="n">
        <v>0</v>
      </c>
      <c r="F574" s="3" t="n">
        <v>3.785</v>
      </c>
    </row>
    <row r="575" customFormat="false" ht="12.75" hidden="false" customHeight="false" outlineLevel="0" collapsed="false">
      <c r="A575" s="2" t="s">
        <v>311</v>
      </c>
      <c r="B575" s="2" t="s">
        <v>312</v>
      </c>
      <c r="C575" s="2" t="s">
        <v>8</v>
      </c>
      <c r="D575" s="3" t="n">
        <v>10000</v>
      </c>
      <c r="E575" s="3" t="n">
        <v>0</v>
      </c>
      <c r="F575" s="3" t="n">
        <v>3.785</v>
      </c>
    </row>
    <row r="576" customFormat="false" ht="12.75" hidden="false" customHeight="false" outlineLevel="0" collapsed="false">
      <c r="A576" s="2" t="s">
        <v>311</v>
      </c>
      <c r="B576" s="2" t="s">
        <v>201</v>
      </c>
      <c r="C576" s="2" t="s">
        <v>8</v>
      </c>
      <c r="D576" s="3" t="n">
        <v>20000</v>
      </c>
      <c r="E576" s="3" t="n">
        <v>0</v>
      </c>
      <c r="F576" s="3" t="n">
        <v>3.78</v>
      </c>
    </row>
    <row r="577" customFormat="false" ht="12.75" hidden="false" customHeight="false" outlineLevel="0" collapsed="false">
      <c r="A577" s="2" t="s">
        <v>311</v>
      </c>
      <c r="B577" s="2" t="s">
        <v>42</v>
      </c>
      <c r="C577" s="2" t="s">
        <v>32</v>
      </c>
      <c r="D577" s="3" t="n">
        <v>0</v>
      </c>
      <c r="E577" s="3" t="n">
        <v>20000</v>
      </c>
      <c r="F577" s="3" t="n">
        <v>3.8775</v>
      </c>
    </row>
    <row r="578" customFormat="false" ht="12.75" hidden="false" customHeight="false" outlineLevel="0" collapsed="false">
      <c r="A578" s="2" t="s">
        <v>313</v>
      </c>
      <c r="B578" s="2" t="s">
        <v>35</v>
      </c>
      <c r="C578" s="2" t="s">
        <v>8</v>
      </c>
      <c r="D578" s="3" t="n">
        <v>0</v>
      </c>
      <c r="E578" s="3" t="n">
        <v>5000</v>
      </c>
      <c r="F578" s="3" t="n">
        <v>3.785</v>
      </c>
    </row>
    <row r="579" customFormat="false" ht="12.75" hidden="false" customHeight="false" outlineLevel="0" collapsed="false">
      <c r="A579" s="2" t="s">
        <v>313</v>
      </c>
      <c r="B579" s="2" t="s">
        <v>214</v>
      </c>
      <c r="C579" s="2" t="s">
        <v>8</v>
      </c>
      <c r="D579" s="3" t="n">
        <v>0</v>
      </c>
      <c r="E579" s="3" t="n">
        <v>10000</v>
      </c>
      <c r="F579" s="3" t="n">
        <v>3.785</v>
      </c>
    </row>
    <row r="580" customFormat="false" ht="12.75" hidden="false" customHeight="false" outlineLevel="0" collapsed="false">
      <c r="A580" s="2" t="s">
        <v>313</v>
      </c>
      <c r="B580" s="2" t="s">
        <v>42</v>
      </c>
      <c r="C580" s="2" t="s">
        <v>13</v>
      </c>
      <c r="D580" s="3" t="n">
        <v>0</v>
      </c>
      <c r="E580" s="3" t="n">
        <v>5000</v>
      </c>
      <c r="F580" s="3" t="n">
        <v>3.89</v>
      </c>
    </row>
    <row r="581" customFormat="false" ht="12.75" hidden="false" customHeight="false" outlineLevel="0" collapsed="false">
      <c r="A581" s="2" t="s">
        <v>313</v>
      </c>
      <c r="B581" s="2" t="s">
        <v>42</v>
      </c>
      <c r="C581" s="2" t="s">
        <v>13</v>
      </c>
      <c r="D581" s="3" t="n">
        <v>0</v>
      </c>
      <c r="E581" s="3" t="n">
        <v>5000</v>
      </c>
      <c r="F581" s="3" t="n">
        <v>3.895</v>
      </c>
    </row>
    <row r="582" customFormat="false" ht="12.75" hidden="false" customHeight="false" outlineLevel="0" collapsed="false">
      <c r="A582" s="2" t="s">
        <v>313</v>
      </c>
      <c r="B582" s="2" t="s">
        <v>12</v>
      </c>
      <c r="C582" s="2" t="s">
        <v>8</v>
      </c>
      <c r="D582" s="3" t="n">
        <v>0</v>
      </c>
      <c r="E582" s="3" t="n">
        <v>5000</v>
      </c>
      <c r="F582" s="3" t="n">
        <v>3.785</v>
      </c>
    </row>
    <row r="583" customFormat="false" ht="12.75" hidden="false" customHeight="false" outlineLevel="0" collapsed="false">
      <c r="A583" s="2" t="s">
        <v>314</v>
      </c>
      <c r="B583" s="2" t="s">
        <v>20</v>
      </c>
      <c r="C583" s="2" t="s">
        <v>8</v>
      </c>
      <c r="D583" s="3" t="n">
        <v>0</v>
      </c>
      <c r="E583" s="3" t="n">
        <v>5000</v>
      </c>
      <c r="F583" s="3" t="n">
        <v>3.79</v>
      </c>
    </row>
    <row r="584" customFormat="false" ht="12.75" hidden="false" customHeight="false" outlineLevel="0" collapsed="false">
      <c r="A584" s="2" t="s">
        <v>314</v>
      </c>
      <c r="B584" s="2" t="s">
        <v>97</v>
      </c>
      <c r="C584" s="2" t="s">
        <v>8</v>
      </c>
      <c r="D584" s="3" t="n">
        <v>0</v>
      </c>
      <c r="E584" s="3" t="n">
        <v>12500</v>
      </c>
      <c r="F584" s="3" t="n">
        <v>3.79</v>
      </c>
    </row>
    <row r="585" customFormat="false" ht="12.75" hidden="false" customHeight="false" outlineLevel="0" collapsed="false">
      <c r="A585" s="2" t="s">
        <v>314</v>
      </c>
      <c r="B585" s="2" t="s">
        <v>85</v>
      </c>
      <c r="C585" s="2" t="s">
        <v>8</v>
      </c>
      <c r="D585" s="3" t="n">
        <v>5000</v>
      </c>
      <c r="E585" s="3" t="n">
        <v>0</v>
      </c>
      <c r="F585" s="3" t="n">
        <v>3.785</v>
      </c>
    </row>
    <row r="586" customFormat="false" ht="12.75" hidden="false" customHeight="false" outlineLevel="0" collapsed="false">
      <c r="A586" s="2" t="s">
        <v>314</v>
      </c>
      <c r="B586" s="2" t="s">
        <v>308</v>
      </c>
      <c r="C586" s="2" t="s">
        <v>13</v>
      </c>
      <c r="D586" s="3" t="n">
        <v>0</v>
      </c>
      <c r="E586" s="3" t="n">
        <v>5000</v>
      </c>
      <c r="F586" s="3" t="n">
        <v>3.895</v>
      </c>
    </row>
    <row r="587" customFormat="false" ht="12.75" hidden="false" customHeight="false" outlineLevel="0" collapsed="false">
      <c r="A587" s="2" t="s">
        <v>314</v>
      </c>
      <c r="B587" s="2" t="s">
        <v>12</v>
      </c>
      <c r="C587" s="2" t="s">
        <v>13</v>
      </c>
      <c r="D587" s="3" t="n">
        <v>5000</v>
      </c>
      <c r="E587" s="3" t="n">
        <v>0</v>
      </c>
      <c r="F587" s="3" t="n">
        <v>3.89</v>
      </c>
    </row>
    <row r="588" customFormat="false" ht="12.75" hidden="false" customHeight="false" outlineLevel="0" collapsed="false">
      <c r="A588" s="2" t="s">
        <v>314</v>
      </c>
      <c r="B588" s="2" t="s">
        <v>12</v>
      </c>
      <c r="C588" s="2" t="s">
        <v>8</v>
      </c>
      <c r="D588" s="3" t="n">
        <v>0</v>
      </c>
      <c r="E588" s="3" t="n">
        <v>7500</v>
      </c>
      <c r="F588" s="3" t="n">
        <v>3.79</v>
      </c>
    </row>
    <row r="589" customFormat="false" ht="12.75" hidden="false" customHeight="false" outlineLevel="0" collapsed="false">
      <c r="A589" s="2" t="s">
        <v>314</v>
      </c>
      <c r="B589" s="2" t="s">
        <v>83</v>
      </c>
      <c r="C589" s="2" t="s">
        <v>8</v>
      </c>
      <c r="D589" s="3" t="n">
        <v>15000</v>
      </c>
      <c r="E589" s="3" t="n">
        <v>0</v>
      </c>
      <c r="F589" s="3" t="n">
        <v>3.785</v>
      </c>
    </row>
    <row r="590" customFormat="false" ht="12.75" hidden="false" customHeight="false" outlineLevel="0" collapsed="false">
      <c r="A590" s="2" t="s">
        <v>315</v>
      </c>
      <c r="B590" s="2" t="s">
        <v>46</v>
      </c>
      <c r="C590" s="2" t="s">
        <v>8</v>
      </c>
      <c r="D590" s="3" t="n">
        <v>20000</v>
      </c>
      <c r="E590" s="3" t="n">
        <v>0</v>
      </c>
      <c r="F590" s="3" t="n">
        <v>3.785</v>
      </c>
    </row>
    <row r="591" customFormat="false" ht="12.75" hidden="false" customHeight="false" outlineLevel="0" collapsed="false">
      <c r="A591" s="2" t="s">
        <v>315</v>
      </c>
      <c r="B591" s="2" t="s">
        <v>37</v>
      </c>
      <c r="C591" s="2" t="s">
        <v>8</v>
      </c>
      <c r="D591" s="3" t="n">
        <v>0</v>
      </c>
      <c r="E591" s="3" t="n">
        <v>20000</v>
      </c>
      <c r="F591" s="3" t="n">
        <v>3.79</v>
      </c>
    </row>
    <row r="592" customFormat="false" ht="12.75" hidden="false" customHeight="false" outlineLevel="0" collapsed="false">
      <c r="A592" s="2" t="s">
        <v>315</v>
      </c>
      <c r="B592" s="2" t="s">
        <v>12</v>
      </c>
      <c r="C592" s="2" t="s">
        <v>8</v>
      </c>
      <c r="D592" s="3" t="n">
        <v>0</v>
      </c>
      <c r="E592" s="3" t="n">
        <v>15000</v>
      </c>
      <c r="F592" s="3" t="n">
        <v>3.79</v>
      </c>
    </row>
    <row r="593" customFormat="false" ht="12.75" hidden="false" customHeight="false" outlineLevel="0" collapsed="false">
      <c r="A593" s="2" t="s">
        <v>316</v>
      </c>
      <c r="B593" s="2" t="s">
        <v>57</v>
      </c>
      <c r="C593" s="2" t="s">
        <v>22</v>
      </c>
      <c r="D593" s="3" t="n">
        <v>0</v>
      </c>
      <c r="E593" s="3" t="n">
        <v>2500</v>
      </c>
      <c r="F593" s="3" t="n">
        <v>4.28</v>
      </c>
    </row>
    <row r="594" customFormat="false" ht="12.75" hidden="false" customHeight="false" outlineLevel="0" collapsed="false">
      <c r="A594" s="2" t="s">
        <v>316</v>
      </c>
      <c r="B594" s="2" t="s">
        <v>12</v>
      </c>
      <c r="C594" s="2" t="s">
        <v>32</v>
      </c>
      <c r="D594" s="3" t="n">
        <v>20000</v>
      </c>
      <c r="E594" s="3" t="n">
        <v>0</v>
      </c>
      <c r="F594" s="3" t="n">
        <v>3.8775</v>
      </c>
    </row>
    <row r="595" customFormat="false" ht="12.75" hidden="false" customHeight="false" outlineLevel="0" collapsed="false">
      <c r="A595" s="2" t="s">
        <v>317</v>
      </c>
      <c r="B595" s="2" t="s">
        <v>15</v>
      </c>
      <c r="C595" s="2" t="s">
        <v>32</v>
      </c>
      <c r="D595" s="3" t="n">
        <v>20000</v>
      </c>
      <c r="E595" s="3" t="n">
        <v>0</v>
      </c>
      <c r="F595" s="3" t="n">
        <v>3.8775</v>
      </c>
    </row>
    <row r="596" customFormat="false" ht="12.75" hidden="false" customHeight="false" outlineLevel="0" collapsed="false">
      <c r="A596" s="2" t="s">
        <v>317</v>
      </c>
      <c r="B596" s="2" t="s">
        <v>308</v>
      </c>
      <c r="C596" s="2" t="s">
        <v>13</v>
      </c>
      <c r="D596" s="3" t="n">
        <v>0</v>
      </c>
      <c r="E596" s="3" t="n">
        <v>5000</v>
      </c>
      <c r="F596" s="3" t="n">
        <v>3.895</v>
      </c>
    </row>
    <row r="597" customFormat="false" ht="12.75" hidden="false" customHeight="false" outlineLevel="0" collapsed="false">
      <c r="A597" s="2" t="s">
        <v>317</v>
      </c>
      <c r="B597" s="2" t="s">
        <v>68</v>
      </c>
      <c r="C597" s="2" t="s">
        <v>8</v>
      </c>
      <c r="D597" s="3" t="n">
        <v>0</v>
      </c>
      <c r="E597" s="3" t="n">
        <v>10000</v>
      </c>
      <c r="F597" s="3" t="n">
        <v>3.79</v>
      </c>
    </row>
    <row r="598" customFormat="false" ht="12.75" hidden="false" customHeight="false" outlineLevel="0" collapsed="false">
      <c r="A598" s="2" t="s">
        <v>317</v>
      </c>
      <c r="B598" s="2" t="s">
        <v>12</v>
      </c>
      <c r="C598" s="2" t="s">
        <v>8</v>
      </c>
      <c r="D598" s="3" t="n">
        <v>0</v>
      </c>
      <c r="E598" s="3" t="n">
        <v>10000</v>
      </c>
      <c r="F598" s="3" t="n">
        <v>3.79</v>
      </c>
    </row>
    <row r="599" customFormat="false" ht="12.75" hidden="false" customHeight="false" outlineLevel="0" collapsed="false">
      <c r="A599" s="2" t="s">
        <v>317</v>
      </c>
      <c r="B599" s="2" t="s">
        <v>12</v>
      </c>
      <c r="C599" s="2" t="s">
        <v>8</v>
      </c>
      <c r="D599" s="3" t="n">
        <v>0</v>
      </c>
      <c r="E599" s="3" t="n">
        <v>20000</v>
      </c>
      <c r="F599" s="3" t="n">
        <v>3.79</v>
      </c>
    </row>
    <row r="600" customFormat="false" ht="12.75" hidden="false" customHeight="false" outlineLevel="0" collapsed="false">
      <c r="A600" s="2" t="s">
        <v>318</v>
      </c>
      <c r="B600" s="2" t="s">
        <v>254</v>
      </c>
      <c r="C600" s="2" t="s">
        <v>8</v>
      </c>
      <c r="D600" s="3" t="n">
        <v>0</v>
      </c>
      <c r="E600" s="3" t="n">
        <v>5000</v>
      </c>
      <c r="F600" s="3" t="n">
        <v>3.795</v>
      </c>
    </row>
    <row r="601" customFormat="false" ht="12.75" hidden="false" customHeight="false" outlineLevel="0" collapsed="false">
      <c r="A601" s="2" t="s">
        <v>318</v>
      </c>
      <c r="B601" s="2" t="s">
        <v>51</v>
      </c>
      <c r="C601" s="2" t="s">
        <v>13</v>
      </c>
      <c r="D601" s="3" t="n">
        <v>0</v>
      </c>
      <c r="E601" s="3" t="n">
        <v>5000</v>
      </c>
      <c r="F601" s="3" t="n">
        <v>3.9</v>
      </c>
    </row>
    <row r="602" customFormat="false" ht="12.75" hidden="false" customHeight="false" outlineLevel="0" collapsed="false">
      <c r="A602" s="2" t="s">
        <v>319</v>
      </c>
      <c r="B602" s="2" t="s">
        <v>320</v>
      </c>
      <c r="C602" s="2" t="s">
        <v>8</v>
      </c>
      <c r="D602" s="3" t="n">
        <v>10000</v>
      </c>
      <c r="E602" s="3" t="n">
        <v>0</v>
      </c>
      <c r="F602" s="3" t="n">
        <v>3.785</v>
      </c>
    </row>
    <row r="603" customFormat="false" ht="12.75" hidden="false" customHeight="false" outlineLevel="0" collapsed="false">
      <c r="A603" s="2" t="s">
        <v>319</v>
      </c>
      <c r="B603" s="2" t="s">
        <v>30</v>
      </c>
      <c r="C603" s="2" t="s">
        <v>8</v>
      </c>
      <c r="D603" s="3" t="n">
        <v>10000</v>
      </c>
      <c r="E603" s="3" t="n">
        <v>0</v>
      </c>
      <c r="F603" s="3" t="n">
        <v>3.785</v>
      </c>
    </row>
    <row r="604" customFormat="false" ht="12.75" hidden="false" customHeight="false" outlineLevel="0" collapsed="false">
      <c r="A604" s="2" t="s">
        <v>321</v>
      </c>
      <c r="B604" s="2" t="s">
        <v>85</v>
      </c>
      <c r="C604" s="2" t="s">
        <v>22</v>
      </c>
      <c r="D604" s="3" t="n">
        <v>5000</v>
      </c>
      <c r="E604" s="3" t="n">
        <v>0</v>
      </c>
      <c r="F604" s="3" t="n">
        <v>4.27</v>
      </c>
    </row>
    <row r="605" customFormat="false" ht="12.75" hidden="false" customHeight="false" outlineLevel="0" collapsed="false">
      <c r="A605" s="2" t="s">
        <v>322</v>
      </c>
      <c r="B605" s="2" t="s">
        <v>31</v>
      </c>
      <c r="C605" s="2" t="s">
        <v>8</v>
      </c>
      <c r="D605" s="3" t="n">
        <v>0</v>
      </c>
      <c r="E605" s="3" t="n">
        <v>15000</v>
      </c>
      <c r="F605" s="3" t="n">
        <v>3.79</v>
      </c>
    </row>
    <row r="606" customFormat="false" ht="12.75" hidden="false" customHeight="false" outlineLevel="0" collapsed="false">
      <c r="A606" s="2" t="s">
        <v>322</v>
      </c>
      <c r="B606" s="2" t="s">
        <v>31</v>
      </c>
      <c r="C606" s="2" t="s">
        <v>18</v>
      </c>
      <c r="D606" s="3" t="n">
        <v>2500</v>
      </c>
      <c r="E606" s="3" t="n">
        <v>0</v>
      </c>
      <c r="F606" s="3" t="n">
        <v>3.955</v>
      </c>
    </row>
    <row r="607" customFormat="false" ht="12.75" hidden="false" customHeight="false" outlineLevel="0" collapsed="false">
      <c r="A607" s="2" t="s">
        <v>322</v>
      </c>
      <c r="B607" s="2" t="s">
        <v>12</v>
      </c>
      <c r="C607" s="2" t="s">
        <v>32</v>
      </c>
      <c r="D607" s="3" t="n">
        <v>20000</v>
      </c>
      <c r="E607" s="3" t="n">
        <v>0</v>
      </c>
      <c r="F607" s="3" t="n">
        <v>3.8775</v>
      </c>
    </row>
    <row r="608" customFormat="false" ht="12.75" hidden="false" customHeight="false" outlineLevel="0" collapsed="false">
      <c r="A608" s="2" t="s">
        <v>323</v>
      </c>
      <c r="B608" s="2" t="s">
        <v>51</v>
      </c>
      <c r="C608" s="2" t="s">
        <v>13</v>
      </c>
      <c r="D608" s="3" t="n">
        <v>0</v>
      </c>
      <c r="E608" s="3" t="n">
        <v>5000</v>
      </c>
      <c r="F608" s="3" t="n">
        <v>3.895</v>
      </c>
    </row>
    <row r="609" customFormat="false" ht="12.75" hidden="false" customHeight="false" outlineLevel="0" collapsed="false">
      <c r="A609" s="2" t="s">
        <v>324</v>
      </c>
      <c r="B609" s="2" t="s">
        <v>284</v>
      </c>
      <c r="C609" s="2" t="s">
        <v>32</v>
      </c>
      <c r="D609" s="3" t="n">
        <v>0</v>
      </c>
      <c r="E609" s="3" t="n">
        <v>20000</v>
      </c>
      <c r="F609" s="3" t="n">
        <v>3.8825</v>
      </c>
    </row>
    <row r="610" customFormat="false" ht="12.75" hidden="false" customHeight="false" outlineLevel="0" collapsed="false">
      <c r="A610" s="2" t="s">
        <v>324</v>
      </c>
      <c r="B610" s="2" t="s">
        <v>72</v>
      </c>
      <c r="C610" s="2" t="s">
        <v>8</v>
      </c>
      <c r="D610" s="3" t="n">
        <v>20000</v>
      </c>
      <c r="E610" s="3" t="n">
        <v>0</v>
      </c>
      <c r="F610" s="3" t="n">
        <v>3.785</v>
      </c>
    </row>
    <row r="611" customFormat="false" ht="12.75" hidden="false" customHeight="false" outlineLevel="0" collapsed="false">
      <c r="A611" s="2" t="s">
        <v>324</v>
      </c>
      <c r="B611" s="2" t="s">
        <v>17</v>
      </c>
      <c r="C611" s="2" t="s">
        <v>13</v>
      </c>
      <c r="D611" s="3" t="n">
        <v>2500</v>
      </c>
      <c r="E611" s="3" t="n">
        <v>0</v>
      </c>
      <c r="F611" s="3" t="n">
        <v>3.885</v>
      </c>
    </row>
    <row r="612" customFormat="false" ht="12.75" hidden="false" customHeight="false" outlineLevel="0" collapsed="false">
      <c r="A612" s="2" t="s">
        <v>325</v>
      </c>
      <c r="B612" s="2" t="s">
        <v>26</v>
      </c>
      <c r="C612" s="2" t="s">
        <v>8</v>
      </c>
      <c r="D612" s="3" t="n">
        <v>5000</v>
      </c>
      <c r="E612" s="3" t="n">
        <v>0</v>
      </c>
      <c r="F612" s="3" t="n">
        <v>3.78</v>
      </c>
    </row>
    <row r="613" customFormat="false" ht="12.75" hidden="false" customHeight="false" outlineLevel="0" collapsed="false">
      <c r="A613" s="2" t="s">
        <v>325</v>
      </c>
      <c r="B613" s="2" t="s">
        <v>24</v>
      </c>
      <c r="C613" s="2" t="s">
        <v>8</v>
      </c>
      <c r="D613" s="3" t="n">
        <v>10000</v>
      </c>
      <c r="E613" s="3" t="n">
        <v>0</v>
      </c>
      <c r="F613" s="3" t="n">
        <v>3.78</v>
      </c>
    </row>
    <row r="614" customFormat="false" ht="12.75" hidden="false" customHeight="false" outlineLevel="0" collapsed="false">
      <c r="A614" s="2" t="s">
        <v>326</v>
      </c>
      <c r="B614" s="2" t="s">
        <v>201</v>
      </c>
      <c r="C614" s="2" t="s">
        <v>8</v>
      </c>
      <c r="D614" s="3" t="n">
        <v>20000</v>
      </c>
      <c r="E614" s="3" t="n">
        <v>0</v>
      </c>
      <c r="F614" s="3" t="n">
        <v>3.78</v>
      </c>
    </row>
    <row r="615" customFormat="false" ht="12.75" hidden="false" customHeight="false" outlineLevel="0" collapsed="false">
      <c r="A615" s="2" t="s">
        <v>327</v>
      </c>
      <c r="B615" s="2" t="s">
        <v>88</v>
      </c>
      <c r="C615" s="2" t="s">
        <v>22</v>
      </c>
      <c r="D615" s="3" t="n">
        <v>0</v>
      </c>
      <c r="E615" s="3" t="n">
        <v>5000</v>
      </c>
      <c r="F615" s="3" t="n">
        <v>4.28</v>
      </c>
    </row>
    <row r="616" customFormat="false" ht="12.75" hidden="false" customHeight="false" outlineLevel="0" collapsed="false">
      <c r="A616" s="2" t="s">
        <v>327</v>
      </c>
      <c r="B616" s="2" t="s">
        <v>308</v>
      </c>
      <c r="C616" s="2" t="s">
        <v>8</v>
      </c>
      <c r="D616" s="3" t="n">
        <v>0</v>
      </c>
      <c r="E616" s="3" t="n">
        <v>10000</v>
      </c>
      <c r="F616" s="3" t="n">
        <v>3.785</v>
      </c>
    </row>
    <row r="617" customFormat="false" ht="12.75" hidden="false" customHeight="false" outlineLevel="0" collapsed="false">
      <c r="A617" s="2" t="s">
        <v>327</v>
      </c>
      <c r="B617" s="2" t="s">
        <v>308</v>
      </c>
      <c r="C617" s="2" t="s">
        <v>32</v>
      </c>
      <c r="D617" s="3" t="n">
        <v>0</v>
      </c>
      <c r="E617" s="3" t="n">
        <v>10000</v>
      </c>
      <c r="F617" s="3" t="n">
        <v>3.8775</v>
      </c>
    </row>
    <row r="618" customFormat="false" ht="12.75" hidden="false" customHeight="false" outlineLevel="0" collapsed="false">
      <c r="A618" s="2" t="s">
        <v>327</v>
      </c>
      <c r="B618" s="2" t="s">
        <v>116</v>
      </c>
      <c r="C618" s="2" t="s">
        <v>8</v>
      </c>
      <c r="D618" s="3" t="n">
        <v>15000</v>
      </c>
      <c r="E618" s="3" t="n">
        <v>0</v>
      </c>
      <c r="F618" s="3" t="n">
        <v>3.78</v>
      </c>
    </row>
    <row r="619" customFormat="false" ht="12.75" hidden="false" customHeight="false" outlineLevel="0" collapsed="false">
      <c r="A619" s="2" t="s">
        <v>328</v>
      </c>
      <c r="B619" s="2" t="s">
        <v>284</v>
      </c>
      <c r="C619" s="2" t="s">
        <v>32</v>
      </c>
      <c r="D619" s="3" t="n">
        <v>0</v>
      </c>
      <c r="E619" s="3" t="n">
        <v>12500</v>
      </c>
      <c r="F619" s="3" t="n">
        <v>3.8775</v>
      </c>
    </row>
    <row r="620" customFormat="false" ht="12.75" hidden="false" customHeight="false" outlineLevel="0" collapsed="false">
      <c r="A620" s="2" t="s">
        <v>328</v>
      </c>
      <c r="B620" s="2" t="s">
        <v>88</v>
      </c>
      <c r="C620" s="2" t="s">
        <v>22</v>
      </c>
      <c r="D620" s="3" t="n">
        <v>0</v>
      </c>
      <c r="E620" s="3" t="n">
        <v>5000</v>
      </c>
      <c r="F620" s="3" t="n">
        <v>4.28</v>
      </c>
    </row>
    <row r="621" customFormat="false" ht="12.75" hidden="false" customHeight="false" outlineLevel="0" collapsed="false">
      <c r="A621" s="2" t="s">
        <v>328</v>
      </c>
      <c r="B621" s="2" t="s">
        <v>308</v>
      </c>
      <c r="C621" s="2" t="s">
        <v>65</v>
      </c>
      <c r="D621" s="3" t="n">
        <v>0</v>
      </c>
      <c r="E621" s="3" t="n">
        <v>5000</v>
      </c>
      <c r="F621" s="3" t="n">
        <v>3.9275</v>
      </c>
    </row>
    <row r="622" customFormat="false" ht="12.75" hidden="false" customHeight="false" outlineLevel="0" collapsed="false">
      <c r="A622" s="2" t="s">
        <v>328</v>
      </c>
      <c r="B622" s="2" t="s">
        <v>39</v>
      </c>
      <c r="C622" s="2" t="s">
        <v>13</v>
      </c>
      <c r="D622" s="3" t="n">
        <v>5000</v>
      </c>
      <c r="E622" s="3" t="n">
        <v>0</v>
      </c>
      <c r="F622" s="3" t="n">
        <v>3.885</v>
      </c>
    </row>
    <row r="623" customFormat="false" ht="12.75" hidden="false" customHeight="false" outlineLevel="0" collapsed="false">
      <c r="A623" s="2" t="s">
        <v>328</v>
      </c>
      <c r="B623" s="2" t="s">
        <v>57</v>
      </c>
      <c r="C623" s="2" t="s">
        <v>8</v>
      </c>
      <c r="D623" s="3" t="n">
        <v>5000</v>
      </c>
      <c r="E623" s="3" t="n">
        <v>0</v>
      </c>
      <c r="F623" s="3" t="n">
        <v>3.78</v>
      </c>
    </row>
    <row r="624" customFormat="false" ht="12.75" hidden="false" customHeight="false" outlineLevel="0" collapsed="false">
      <c r="A624" s="2" t="s">
        <v>328</v>
      </c>
      <c r="B624" s="2" t="s">
        <v>31</v>
      </c>
      <c r="C624" s="2" t="s">
        <v>8</v>
      </c>
      <c r="D624" s="3" t="n">
        <v>0</v>
      </c>
      <c r="E624" s="3" t="n">
        <v>7500</v>
      </c>
      <c r="F624" s="3" t="n">
        <v>3.785</v>
      </c>
    </row>
    <row r="625" customFormat="false" ht="12.75" hidden="false" customHeight="false" outlineLevel="0" collapsed="false">
      <c r="A625" s="2" t="s">
        <v>328</v>
      </c>
      <c r="B625" s="2" t="s">
        <v>24</v>
      </c>
      <c r="C625" s="2" t="s">
        <v>8</v>
      </c>
      <c r="D625" s="3" t="n">
        <v>20000</v>
      </c>
      <c r="E625" s="3" t="n">
        <v>0</v>
      </c>
      <c r="F625" s="3" t="n">
        <v>3.78</v>
      </c>
    </row>
    <row r="626" customFormat="false" ht="12.75" hidden="false" customHeight="false" outlineLevel="0" collapsed="false">
      <c r="A626" s="2" t="s">
        <v>329</v>
      </c>
      <c r="B626" s="2" t="s">
        <v>284</v>
      </c>
      <c r="C626" s="2" t="s">
        <v>32</v>
      </c>
      <c r="D626" s="3" t="n">
        <v>0</v>
      </c>
      <c r="E626" s="3" t="n">
        <v>2500</v>
      </c>
      <c r="F626" s="3" t="n">
        <v>3.8775</v>
      </c>
    </row>
    <row r="627" customFormat="false" ht="12.75" hidden="false" customHeight="false" outlineLevel="0" collapsed="false">
      <c r="A627" s="2" t="s">
        <v>329</v>
      </c>
      <c r="B627" s="2" t="s">
        <v>72</v>
      </c>
      <c r="C627" s="2" t="s">
        <v>8</v>
      </c>
      <c r="D627" s="3" t="n">
        <v>10000</v>
      </c>
      <c r="E627" s="3" t="n">
        <v>0</v>
      </c>
      <c r="F627" s="3" t="n">
        <v>3.78</v>
      </c>
    </row>
    <row r="628" customFormat="false" ht="12.75" hidden="false" customHeight="false" outlineLevel="0" collapsed="false">
      <c r="A628" s="2" t="s">
        <v>329</v>
      </c>
      <c r="B628" s="2" t="s">
        <v>24</v>
      </c>
      <c r="C628" s="2" t="s">
        <v>8</v>
      </c>
      <c r="D628" s="3" t="n">
        <v>10000</v>
      </c>
      <c r="E628" s="3" t="n">
        <v>0</v>
      </c>
      <c r="F628" s="3" t="n">
        <v>3.78</v>
      </c>
    </row>
    <row r="629" customFormat="false" ht="12.75" hidden="false" customHeight="false" outlineLevel="0" collapsed="false">
      <c r="A629" s="2" t="s">
        <v>329</v>
      </c>
      <c r="B629" s="2" t="s">
        <v>12</v>
      </c>
      <c r="C629" s="2" t="s">
        <v>8</v>
      </c>
      <c r="D629" s="3" t="n">
        <v>0</v>
      </c>
      <c r="E629" s="3" t="n">
        <v>12500</v>
      </c>
      <c r="F629" s="3" t="n">
        <v>3.785</v>
      </c>
    </row>
    <row r="630" customFormat="false" ht="12.75" hidden="false" customHeight="false" outlineLevel="0" collapsed="false">
      <c r="A630" s="2" t="s">
        <v>330</v>
      </c>
      <c r="B630" s="2" t="s">
        <v>284</v>
      </c>
      <c r="C630" s="2" t="s">
        <v>65</v>
      </c>
      <c r="D630" s="3" t="n">
        <v>0</v>
      </c>
      <c r="E630" s="3" t="n">
        <v>20000</v>
      </c>
      <c r="F630" s="3" t="n">
        <v>3.9225</v>
      </c>
    </row>
    <row r="631" customFormat="false" ht="12.75" hidden="false" customHeight="false" outlineLevel="0" collapsed="false">
      <c r="A631" s="2" t="s">
        <v>330</v>
      </c>
      <c r="B631" s="2" t="s">
        <v>218</v>
      </c>
      <c r="C631" s="2" t="s">
        <v>8</v>
      </c>
      <c r="D631" s="3" t="n">
        <v>10000</v>
      </c>
      <c r="E631" s="3" t="n">
        <v>0</v>
      </c>
      <c r="F631" s="3" t="n">
        <v>3.78</v>
      </c>
    </row>
    <row r="632" customFormat="false" ht="12.75" hidden="false" customHeight="false" outlineLevel="0" collapsed="false">
      <c r="A632" s="2" t="s">
        <v>331</v>
      </c>
      <c r="B632" s="2" t="s">
        <v>186</v>
      </c>
      <c r="C632" s="2" t="s">
        <v>8</v>
      </c>
      <c r="D632" s="3" t="n">
        <v>10000</v>
      </c>
      <c r="E632" s="3" t="n">
        <v>0</v>
      </c>
      <c r="F632" s="3" t="n">
        <v>3.78</v>
      </c>
    </row>
    <row r="633" customFormat="false" ht="12.75" hidden="false" customHeight="false" outlineLevel="0" collapsed="false">
      <c r="A633" s="2" t="s">
        <v>332</v>
      </c>
      <c r="B633" s="2" t="s">
        <v>333</v>
      </c>
      <c r="C633" s="2" t="s">
        <v>65</v>
      </c>
      <c r="D633" s="3" t="n">
        <v>5000</v>
      </c>
      <c r="E633" s="3" t="n">
        <v>0</v>
      </c>
      <c r="F633" s="3" t="n">
        <v>3.9175</v>
      </c>
    </row>
    <row r="634" customFormat="false" ht="12.75" hidden="false" customHeight="false" outlineLevel="0" collapsed="false">
      <c r="A634" s="2" t="s">
        <v>332</v>
      </c>
      <c r="B634" s="2" t="s">
        <v>248</v>
      </c>
      <c r="C634" s="2" t="s">
        <v>8</v>
      </c>
      <c r="D634" s="3" t="n">
        <v>15000</v>
      </c>
      <c r="E634" s="3" t="n">
        <v>0</v>
      </c>
      <c r="F634" s="3" t="n">
        <v>3.78</v>
      </c>
    </row>
    <row r="635" customFormat="false" ht="12.75" hidden="false" customHeight="false" outlineLevel="0" collapsed="false">
      <c r="A635" s="2" t="s">
        <v>334</v>
      </c>
      <c r="B635" s="2" t="s">
        <v>12</v>
      </c>
      <c r="C635" s="2" t="s">
        <v>8</v>
      </c>
      <c r="D635" s="3" t="n">
        <v>0</v>
      </c>
      <c r="E635" s="3" t="n">
        <v>10000</v>
      </c>
      <c r="F635" s="3" t="n">
        <v>3.7875</v>
      </c>
    </row>
    <row r="636" customFormat="false" ht="12.75" hidden="false" customHeight="false" outlineLevel="0" collapsed="false">
      <c r="A636" s="2" t="s">
        <v>335</v>
      </c>
      <c r="B636" s="2" t="s">
        <v>72</v>
      </c>
      <c r="C636" s="2" t="s">
        <v>65</v>
      </c>
      <c r="D636" s="3" t="n">
        <v>0</v>
      </c>
      <c r="E636" s="3" t="n">
        <v>10000</v>
      </c>
      <c r="F636" s="3" t="n">
        <v>3.9275</v>
      </c>
    </row>
    <row r="637" customFormat="false" ht="12.75" hidden="false" customHeight="false" outlineLevel="0" collapsed="false">
      <c r="A637" s="2" t="s">
        <v>335</v>
      </c>
      <c r="B637" s="2" t="s">
        <v>42</v>
      </c>
      <c r="C637" s="2" t="s">
        <v>13</v>
      </c>
      <c r="D637" s="3" t="n">
        <v>0</v>
      </c>
      <c r="E637" s="3" t="n">
        <v>5000</v>
      </c>
      <c r="F637" s="3" t="n">
        <v>3.895</v>
      </c>
    </row>
    <row r="638" customFormat="false" ht="12.75" hidden="false" customHeight="false" outlineLevel="0" collapsed="false">
      <c r="A638" s="2" t="s">
        <v>335</v>
      </c>
      <c r="B638" s="2" t="s">
        <v>42</v>
      </c>
      <c r="C638" s="2" t="s">
        <v>13</v>
      </c>
      <c r="D638" s="3" t="n">
        <v>0</v>
      </c>
      <c r="E638" s="3" t="n">
        <v>5000</v>
      </c>
      <c r="F638" s="3" t="n">
        <v>3.9</v>
      </c>
    </row>
    <row r="639" customFormat="false" ht="12.75" hidden="false" customHeight="false" outlineLevel="0" collapsed="false">
      <c r="A639" s="2" t="s">
        <v>336</v>
      </c>
      <c r="B639" s="2" t="s">
        <v>26</v>
      </c>
      <c r="C639" s="2" t="s">
        <v>18</v>
      </c>
      <c r="D639" s="3" t="n">
        <v>0</v>
      </c>
      <c r="E639" s="3" t="n">
        <v>5000</v>
      </c>
      <c r="F639" s="3" t="n">
        <v>3.965</v>
      </c>
    </row>
    <row r="640" customFormat="false" ht="12.75" hidden="false" customHeight="false" outlineLevel="0" collapsed="false">
      <c r="A640" s="2" t="s">
        <v>336</v>
      </c>
      <c r="B640" s="2" t="s">
        <v>49</v>
      </c>
      <c r="C640" s="2" t="s">
        <v>22</v>
      </c>
      <c r="D640" s="3" t="n">
        <v>5000</v>
      </c>
      <c r="E640" s="3" t="n">
        <v>0</v>
      </c>
      <c r="F640" s="3" t="n">
        <v>4.28</v>
      </c>
    </row>
    <row r="641" customFormat="false" ht="12.75" hidden="false" customHeight="false" outlineLevel="0" collapsed="false">
      <c r="A641" s="2" t="s">
        <v>336</v>
      </c>
      <c r="B641" s="2" t="s">
        <v>12</v>
      </c>
      <c r="C641" s="2" t="s">
        <v>32</v>
      </c>
      <c r="D641" s="3" t="n">
        <v>10000</v>
      </c>
      <c r="E641" s="3" t="n">
        <v>0</v>
      </c>
      <c r="F641" s="3" t="n">
        <v>3.8775</v>
      </c>
    </row>
    <row r="642" customFormat="false" ht="12.75" hidden="false" customHeight="false" outlineLevel="0" collapsed="false">
      <c r="A642" s="2" t="s">
        <v>337</v>
      </c>
      <c r="B642" s="2" t="s">
        <v>88</v>
      </c>
      <c r="C642" s="2" t="s">
        <v>8</v>
      </c>
      <c r="D642" s="3" t="n">
        <v>10000</v>
      </c>
      <c r="E642" s="3" t="n">
        <v>0</v>
      </c>
      <c r="F642" s="3" t="n">
        <v>3.79</v>
      </c>
    </row>
    <row r="643" customFormat="false" ht="12.75" hidden="false" customHeight="false" outlineLevel="0" collapsed="false">
      <c r="A643" s="2" t="s">
        <v>337</v>
      </c>
      <c r="B643" s="2" t="s">
        <v>72</v>
      </c>
      <c r="C643" s="2" t="s">
        <v>65</v>
      </c>
      <c r="D643" s="3" t="n">
        <v>0</v>
      </c>
      <c r="E643" s="3" t="n">
        <v>10000</v>
      </c>
      <c r="F643" s="3" t="n">
        <v>3.9275</v>
      </c>
    </row>
    <row r="644" customFormat="false" ht="12.75" hidden="false" customHeight="false" outlineLevel="0" collapsed="false">
      <c r="A644" s="2" t="s">
        <v>337</v>
      </c>
      <c r="B644" s="2" t="s">
        <v>72</v>
      </c>
      <c r="C644" s="2" t="s">
        <v>65</v>
      </c>
      <c r="D644" s="3" t="n">
        <v>0</v>
      </c>
      <c r="E644" s="3" t="n">
        <v>10000</v>
      </c>
      <c r="F644" s="3" t="n">
        <v>3.93</v>
      </c>
    </row>
    <row r="645" customFormat="false" ht="12.75" hidden="false" customHeight="false" outlineLevel="0" collapsed="false">
      <c r="A645" s="2" t="s">
        <v>338</v>
      </c>
      <c r="B645" s="2" t="s">
        <v>284</v>
      </c>
      <c r="C645" s="2" t="s">
        <v>65</v>
      </c>
      <c r="D645" s="3" t="n">
        <v>0</v>
      </c>
      <c r="E645" s="3" t="n">
        <v>5000</v>
      </c>
      <c r="F645" s="3" t="n">
        <v>3.93</v>
      </c>
    </row>
    <row r="646" customFormat="false" ht="12.75" hidden="false" customHeight="false" outlineLevel="0" collapsed="false">
      <c r="A646" s="2" t="s">
        <v>338</v>
      </c>
      <c r="B646" s="2" t="s">
        <v>308</v>
      </c>
      <c r="C646" s="2" t="s">
        <v>32</v>
      </c>
      <c r="D646" s="3" t="n">
        <v>0</v>
      </c>
      <c r="E646" s="3" t="n">
        <v>5000</v>
      </c>
      <c r="F646" s="3" t="n">
        <v>3.885</v>
      </c>
    </row>
    <row r="647" customFormat="false" ht="12.75" hidden="false" customHeight="false" outlineLevel="0" collapsed="false">
      <c r="A647" s="2" t="s">
        <v>338</v>
      </c>
      <c r="B647" s="2" t="s">
        <v>109</v>
      </c>
      <c r="C647" s="2" t="s">
        <v>8</v>
      </c>
      <c r="D647" s="3" t="n">
        <v>10000</v>
      </c>
      <c r="E647" s="3" t="n">
        <v>0</v>
      </c>
      <c r="F647" s="3" t="n">
        <v>3.7875</v>
      </c>
    </row>
    <row r="648" customFormat="false" ht="12.75" hidden="false" customHeight="false" outlineLevel="0" collapsed="false">
      <c r="A648" s="2" t="s">
        <v>339</v>
      </c>
      <c r="B648" s="2" t="s">
        <v>12</v>
      </c>
      <c r="C648" s="2" t="s">
        <v>32</v>
      </c>
      <c r="D648" s="3" t="n">
        <v>10000</v>
      </c>
      <c r="E648" s="3" t="n">
        <v>0</v>
      </c>
      <c r="F648" s="3" t="n">
        <v>3.8775</v>
      </c>
    </row>
    <row r="649" customFormat="false" ht="12.75" hidden="false" customHeight="false" outlineLevel="0" collapsed="false">
      <c r="A649" s="2" t="s">
        <v>340</v>
      </c>
      <c r="B649" s="2" t="s">
        <v>284</v>
      </c>
      <c r="C649" s="2" t="s">
        <v>65</v>
      </c>
      <c r="D649" s="3" t="n">
        <v>0</v>
      </c>
      <c r="E649" s="3" t="n">
        <v>10000</v>
      </c>
      <c r="F649" s="3" t="n">
        <v>3.93</v>
      </c>
    </row>
    <row r="650" customFormat="false" ht="12.75" hidden="false" customHeight="false" outlineLevel="0" collapsed="false">
      <c r="A650" s="2" t="s">
        <v>340</v>
      </c>
      <c r="B650" s="2" t="s">
        <v>88</v>
      </c>
      <c r="C650" s="2" t="s">
        <v>13</v>
      </c>
      <c r="D650" s="3" t="n">
        <v>5000</v>
      </c>
      <c r="E650" s="3" t="n">
        <v>0</v>
      </c>
      <c r="F650" s="3" t="n">
        <v>3.89</v>
      </c>
    </row>
    <row r="651" customFormat="false" ht="12.75" hidden="false" customHeight="false" outlineLevel="0" collapsed="false">
      <c r="A651" s="2" t="s">
        <v>341</v>
      </c>
      <c r="B651" s="2" t="s">
        <v>26</v>
      </c>
      <c r="C651" s="2" t="s">
        <v>18</v>
      </c>
      <c r="D651" s="3" t="n">
        <v>5000</v>
      </c>
      <c r="E651" s="3" t="n">
        <v>0</v>
      </c>
      <c r="F651" s="3" t="n">
        <v>3.965</v>
      </c>
    </row>
    <row r="652" customFormat="false" ht="12.75" hidden="false" customHeight="false" outlineLevel="0" collapsed="false">
      <c r="A652" s="2" t="s">
        <v>342</v>
      </c>
      <c r="B652" s="2" t="s">
        <v>46</v>
      </c>
      <c r="C652" s="2" t="s">
        <v>8</v>
      </c>
      <c r="D652" s="3" t="n">
        <v>0</v>
      </c>
      <c r="E652" s="3" t="n">
        <v>10000</v>
      </c>
      <c r="F652" s="3" t="n">
        <v>3.7925</v>
      </c>
    </row>
    <row r="653" customFormat="false" ht="12.75" hidden="false" customHeight="false" outlineLevel="0" collapsed="false">
      <c r="A653" s="2" t="s">
        <v>342</v>
      </c>
      <c r="B653" s="2" t="s">
        <v>35</v>
      </c>
      <c r="C653" s="2" t="s">
        <v>13</v>
      </c>
      <c r="D653" s="3" t="n">
        <v>0</v>
      </c>
      <c r="E653" s="3" t="n">
        <v>2500</v>
      </c>
      <c r="F653" s="3" t="n">
        <v>3.9</v>
      </c>
    </row>
    <row r="654" customFormat="false" ht="12.75" hidden="false" customHeight="false" outlineLevel="0" collapsed="false">
      <c r="A654" s="2" t="s">
        <v>342</v>
      </c>
      <c r="B654" s="2" t="s">
        <v>24</v>
      </c>
      <c r="C654" s="2" t="s">
        <v>18</v>
      </c>
      <c r="D654" s="3" t="n">
        <v>0</v>
      </c>
      <c r="E654" s="3" t="n">
        <v>2500</v>
      </c>
      <c r="F654" s="3" t="n">
        <v>3.97</v>
      </c>
    </row>
    <row r="655" customFormat="false" ht="12.75" hidden="false" customHeight="false" outlineLevel="0" collapsed="false">
      <c r="A655" s="2" t="s">
        <v>343</v>
      </c>
      <c r="B655" s="2" t="s">
        <v>88</v>
      </c>
      <c r="C655" s="2" t="s">
        <v>8</v>
      </c>
      <c r="D655" s="3" t="n">
        <v>0</v>
      </c>
      <c r="E655" s="3" t="n">
        <v>10000</v>
      </c>
      <c r="F655" s="3" t="n">
        <v>3.7925</v>
      </c>
    </row>
    <row r="656" customFormat="false" ht="12.75" hidden="false" customHeight="false" outlineLevel="0" collapsed="false">
      <c r="A656" s="2" t="s">
        <v>343</v>
      </c>
      <c r="B656" s="2" t="s">
        <v>51</v>
      </c>
      <c r="C656" s="2" t="s">
        <v>8</v>
      </c>
      <c r="D656" s="3" t="n">
        <v>0</v>
      </c>
      <c r="E656" s="3" t="n">
        <v>10000</v>
      </c>
      <c r="F656" s="3" t="n">
        <v>3.795</v>
      </c>
    </row>
    <row r="657" customFormat="false" ht="12.75" hidden="false" customHeight="false" outlineLevel="0" collapsed="false">
      <c r="A657" s="2" t="s">
        <v>343</v>
      </c>
      <c r="B657" s="2" t="s">
        <v>89</v>
      </c>
      <c r="C657" s="2" t="s">
        <v>8</v>
      </c>
      <c r="D657" s="3" t="n">
        <v>0</v>
      </c>
      <c r="E657" s="3" t="n">
        <v>10000</v>
      </c>
      <c r="F657" s="3" t="n">
        <v>3.7925</v>
      </c>
    </row>
    <row r="658" customFormat="false" ht="12.75" hidden="false" customHeight="false" outlineLevel="0" collapsed="false">
      <c r="A658" s="2" t="s">
        <v>343</v>
      </c>
      <c r="B658" s="2" t="s">
        <v>118</v>
      </c>
      <c r="C658" s="2" t="s">
        <v>8</v>
      </c>
      <c r="D658" s="3" t="n">
        <v>10000</v>
      </c>
      <c r="E658" s="3" t="n">
        <v>0</v>
      </c>
      <c r="F658" s="3" t="n">
        <v>3.7925</v>
      </c>
    </row>
    <row r="659" customFormat="false" ht="12.75" hidden="false" customHeight="false" outlineLevel="0" collapsed="false">
      <c r="A659" s="2" t="s">
        <v>343</v>
      </c>
      <c r="B659" s="2" t="s">
        <v>118</v>
      </c>
      <c r="C659" s="2" t="s">
        <v>32</v>
      </c>
      <c r="D659" s="3" t="n">
        <v>10000</v>
      </c>
      <c r="E659" s="3" t="n">
        <v>0</v>
      </c>
      <c r="F659" s="3" t="n">
        <v>3.88</v>
      </c>
    </row>
    <row r="660" customFormat="false" ht="12.75" hidden="false" customHeight="false" outlineLevel="0" collapsed="false">
      <c r="A660" s="2" t="s">
        <v>343</v>
      </c>
      <c r="B660" s="2" t="s">
        <v>118</v>
      </c>
      <c r="C660" s="2" t="s">
        <v>65</v>
      </c>
      <c r="D660" s="3" t="n">
        <v>10000</v>
      </c>
      <c r="E660" s="3" t="n">
        <v>0</v>
      </c>
      <c r="F660" s="3" t="n">
        <v>3.9275</v>
      </c>
    </row>
    <row r="661" customFormat="false" ht="12.75" hidden="false" customHeight="false" outlineLevel="0" collapsed="false">
      <c r="A661" s="2" t="s">
        <v>343</v>
      </c>
      <c r="B661" s="2" t="s">
        <v>134</v>
      </c>
      <c r="C661" s="2" t="s">
        <v>22</v>
      </c>
      <c r="D661" s="3" t="n">
        <v>5000</v>
      </c>
      <c r="E661" s="3" t="n">
        <v>0</v>
      </c>
      <c r="F661" s="3" t="n">
        <v>4.28</v>
      </c>
    </row>
    <row r="662" customFormat="false" ht="12.75" hidden="false" customHeight="false" outlineLevel="0" collapsed="false">
      <c r="A662" s="2" t="s">
        <v>343</v>
      </c>
      <c r="B662" s="2" t="s">
        <v>42</v>
      </c>
      <c r="C662" s="2" t="s">
        <v>18</v>
      </c>
      <c r="D662" s="3" t="n">
        <v>0</v>
      </c>
      <c r="E662" s="3" t="n">
        <v>5000</v>
      </c>
      <c r="F662" s="3" t="n">
        <v>3.97</v>
      </c>
    </row>
    <row r="663" customFormat="false" ht="12.75" hidden="false" customHeight="false" outlineLevel="0" collapsed="false">
      <c r="A663" s="2" t="s">
        <v>344</v>
      </c>
      <c r="B663" s="2" t="s">
        <v>333</v>
      </c>
      <c r="C663" s="2" t="s">
        <v>65</v>
      </c>
      <c r="D663" s="3" t="n">
        <v>5000</v>
      </c>
      <c r="E663" s="3" t="n">
        <v>0</v>
      </c>
      <c r="F663" s="3" t="n">
        <v>3.93</v>
      </c>
    </row>
    <row r="664" customFormat="false" ht="12.75" hidden="false" customHeight="false" outlineLevel="0" collapsed="false">
      <c r="A664" s="2" t="s">
        <v>344</v>
      </c>
      <c r="B664" s="2" t="s">
        <v>116</v>
      </c>
      <c r="C664" s="2" t="s">
        <v>8</v>
      </c>
      <c r="D664" s="3" t="n">
        <v>0</v>
      </c>
      <c r="E664" s="3" t="n">
        <v>10000</v>
      </c>
      <c r="F664" s="3" t="n">
        <v>3.7975</v>
      </c>
    </row>
    <row r="665" customFormat="false" ht="12.75" hidden="false" customHeight="false" outlineLevel="0" collapsed="false">
      <c r="A665" s="2" t="s">
        <v>344</v>
      </c>
      <c r="B665" s="2" t="s">
        <v>24</v>
      </c>
      <c r="C665" s="2" t="s">
        <v>8</v>
      </c>
      <c r="D665" s="3" t="n">
        <v>0</v>
      </c>
      <c r="E665" s="3" t="n">
        <v>10000</v>
      </c>
      <c r="F665" s="3" t="n">
        <v>3.795</v>
      </c>
    </row>
    <row r="666" customFormat="false" ht="12.75" hidden="false" customHeight="false" outlineLevel="0" collapsed="false">
      <c r="A666" s="2" t="s">
        <v>345</v>
      </c>
      <c r="B666" s="2" t="s">
        <v>15</v>
      </c>
      <c r="C666" s="2" t="s">
        <v>8</v>
      </c>
      <c r="D666" s="3" t="n">
        <v>5000</v>
      </c>
      <c r="E666" s="3" t="n">
        <v>0</v>
      </c>
      <c r="F666" s="3" t="n">
        <v>3.795</v>
      </c>
    </row>
    <row r="667" customFormat="false" ht="12.75" hidden="false" customHeight="false" outlineLevel="0" collapsed="false">
      <c r="A667" s="2" t="s">
        <v>345</v>
      </c>
      <c r="B667" s="2" t="s">
        <v>15</v>
      </c>
      <c r="C667" s="2" t="s">
        <v>8</v>
      </c>
      <c r="D667" s="3" t="n">
        <v>10000</v>
      </c>
      <c r="E667" s="3" t="n">
        <v>0</v>
      </c>
      <c r="F667" s="3" t="n">
        <v>3.7925</v>
      </c>
    </row>
    <row r="668" customFormat="false" ht="12.75" hidden="false" customHeight="false" outlineLevel="0" collapsed="false">
      <c r="A668" s="2" t="s">
        <v>345</v>
      </c>
      <c r="B668" s="2" t="s">
        <v>68</v>
      </c>
      <c r="C668" s="2" t="s">
        <v>8</v>
      </c>
      <c r="D668" s="3" t="n">
        <v>0</v>
      </c>
      <c r="E668" s="3" t="n">
        <v>10000</v>
      </c>
      <c r="F668" s="3" t="n">
        <v>3.795</v>
      </c>
    </row>
    <row r="669" customFormat="false" ht="12.75" hidden="false" customHeight="false" outlineLevel="0" collapsed="false">
      <c r="A669" s="2" t="s">
        <v>346</v>
      </c>
      <c r="B669" s="2" t="s">
        <v>70</v>
      </c>
      <c r="C669" s="2" t="s">
        <v>32</v>
      </c>
      <c r="D669" s="3" t="n">
        <v>5000</v>
      </c>
      <c r="E669" s="3" t="n">
        <v>0</v>
      </c>
      <c r="F669" s="3" t="n">
        <v>3.8825</v>
      </c>
    </row>
    <row r="670" customFormat="false" ht="12.75" hidden="false" customHeight="false" outlineLevel="0" collapsed="false">
      <c r="A670" s="2" t="s">
        <v>346</v>
      </c>
      <c r="B670" s="2" t="s">
        <v>20</v>
      </c>
      <c r="C670" s="2" t="s">
        <v>8</v>
      </c>
      <c r="D670" s="3" t="n">
        <v>5000</v>
      </c>
      <c r="E670" s="3" t="n">
        <v>0</v>
      </c>
      <c r="F670" s="3" t="n">
        <v>3.7925</v>
      </c>
    </row>
    <row r="671" customFormat="false" ht="12.75" hidden="false" customHeight="false" outlineLevel="0" collapsed="false">
      <c r="A671" s="2" t="s">
        <v>346</v>
      </c>
      <c r="B671" s="2" t="s">
        <v>42</v>
      </c>
      <c r="C671" s="2" t="s">
        <v>13</v>
      </c>
      <c r="D671" s="3" t="n">
        <v>0</v>
      </c>
      <c r="E671" s="3" t="n">
        <v>5000</v>
      </c>
      <c r="F671" s="3" t="n">
        <v>3.9</v>
      </c>
    </row>
    <row r="672" customFormat="false" ht="12.75" hidden="false" customHeight="false" outlineLevel="0" collapsed="false">
      <c r="A672" s="2" t="s">
        <v>347</v>
      </c>
      <c r="B672" s="2" t="s">
        <v>26</v>
      </c>
      <c r="C672" s="2" t="s">
        <v>8</v>
      </c>
      <c r="D672" s="3" t="n">
        <v>5000</v>
      </c>
      <c r="E672" s="3" t="n">
        <v>0</v>
      </c>
      <c r="F672" s="3" t="n">
        <v>3.7875</v>
      </c>
    </row>
    <row r="673" customFormat="false" ht="12.75" hidden="false" customHeight="false" outlineLevel="0" collapsed="false">
      <c r="A673" s="2" t="s">
        <v>347</v>
      </c>
      <c r="B673" s="2" t="s">
        <v>88</v>
      </c>
      <c r="C673" s="2" t="s">
        <v>8</v>
      </c>
      <c r="D673" s="3" t="n">
        <v>5000</v>
      </c>
      <c r="E673" s="3" t="n">
        <v>0</v>
      </c>
      <c r="F673" s="3" t="n">
        <v>3.7875</v>
      </c>
    </row>
    <row r="674" customFormat="false" ht="12.75" hidden="false" customHeight="false" outlineLevel="0" collapsed="false">
      <c r="A674" s="2" t="s">
        <v>347</v>
      </c>
      <c r="B674" s="2" t="s">
        <v>57</v>
      </c>
      <c r="C674" s="2" t="s">
        <v>18</v>
      </c>
      <c r="D674" s="3" t="n">
        <v>500</v>
      </c>
      <c r="E674" s="3" t="n">
        <v>0</v>
      </c>
      <c r="F674" s="3" t="n">
        <v>3.975</v>
      </c>
    </row>
    <row r="675" customFormat="false" ht="12.75" hidden="false" customHeight="false" outlineLevel="0" collapsed="false">
      <c r="A675" s="2" t="s">
        <v>347</v>
      </c>
      <c r="B675" s="2" t="s">
        <v>57</v>
      </c>
      <c r="C675" s="2" t="s">
        <v>18</v>
      </c>
      <c r="D675" s="3" t="n">
        <v>500</v>
      </c>
      <c r="E675" s="3" t="n">
        <v>0</v>
      </c>
      <c r="F675" s="3" t="n">
        <v>3.975</v>
      </c>
    </row>
    <row r="676" customFormat="false" ht="12.75" hidden="false" customHeight="false" outlineLevel="0" collapsed="false">
      <c r="A676" s="2" t="s">
        <v>347</v>
      </c>
      <c r="B676" s="2" t="s">
        <v>220</v>
      </c>
      <c r="C676" s="2" t="s">
        <v>8</v>
      </c>
      <c r="D676" s="3" t="n">
        <v>10000</v>
      </c>
      <c r="E676" s="3" t="n">
        <v>0</v>
      </c>
      <c r="F676" s="3" t="n">
        <v>3.79</v>
      </c>
    </row>
    <row r="677" customFormat="false" ht="12.75" hidden="false" customHeight="false" outlineLevel="0" collapsed="false">
      <c r="A677" s="2" t="s">
        <v>348</v>
      </c>
      <c r="B677" s="2" t="s">
        <v>349</v>
      </c>
      <c r="C677" s="2" t="s">
        <v>8</v>
      </c>
      <c r="D677" s="3" t="n">
        <v>10000</v>
      </c>
      <c r="E677" s="3" t="n">
        <v>0</v>
      </c>
      <c r="F677" s="3" t="n">
        <v>3.785</v>
      </c>
    </row>
    <row r="678" customFormat="false" ht="12.75" hidden="false" customHeight="false" outlineLevel="0" collapsed="false">
      <c r="A678" s="2" t="s">
        <v>348</v>
      </c>
      <c r="B678" s="2" t="s">
        <v>349</v>
      </c>
      <c r="C678" s="2" t="s">
        <v>8</v>
      </c>
      <c r="D678" s="3" t="n">
        <v>10000</v>
      </c>
      <c r="E678" s="3" t="n">
        <v>0</v>
      </c>
      <c r="F678" s="3" t="n">
        <v>3.7825</v>
      </c>
    </row>
    <row r="679" customFormat="false" ht="12.75" hidden="false" customHeight="false" outlineLevel="0" collapsed="false">
      <c r="A679" s="2" t="s">
        <v>348</v>
      </c>
      <c r="B679" s="2" t="s">
        <v>199</v>
      </c>
      <c r="C679" s="2" t="s">
        <v>18</v>
      </c>
      <c r="D679" s="3" t="n">
        <v>5000</v>
      </c>
      <c r="E679" s="3" t="n">
        <v>0</v>
      </c>
      <c r="F679" s="3" t="n">
        <v>3.97</v>
      </c>
    </row>
    <row r="680" customFormat="false" ht="12.75" hidden="false" customHeight="false" outlineLevel="0" collapsed="false">
      <c r="A680" s="2" t="s">
        <v>350</v>
      </c>
      <c r="B680" s="2" t="s">
        <v>20</v>
      </c>
      <c r="C680" s="2" t="s">
        <v>8</v>
      </c>
      <c r="D680" s="3" t="n">
        <v>10000</v>
      </c>
      <c r="E680" s="3" t="n">
        <v>0</v>
      </c>
      <c r="F680" s="3" t="n">
        <v>3.785</v>
      </c>
    </row>
    <row r="681" customFormat="false" ht="12.75" hidden="false" customHeight="false" outlineLevel="0" collapsed="false">
      <c r="A681" s="2" t="s">
        <v>351</v>
      </c>
      <c r="B681" s="2" t="s">
        <v>20</v>
      </c>
      <c r="C681" s="2" t="s">
        <v>8</v>
      </c>
      <c r="D681" s="3" t="n">
        <v>10000</v>
      </c>
      <c r="E681" s="3" t="n">
        <v>0</v>
      </c>
      <c r="F681" s="3" t="n">
        <v>3.7825</v>
      </c>
    </row>
    <row r="682" customFormat="false" ht="12.75" hidden="false" customHeight="false" outlineLevel="0" collapsed="false">
      <c r="A682" s="2" t="s">
        <v>351</v>
      </c>
      <c r="B682" s="2" t="s">
        <v>24</v>
      </c>
      <c r="C682" s="2" t="s">
        <v>18</v>
      </c>
      <c r="D682" s="3" t="n">
        <v>5000</v>
      </c>
      <c r="E682" s="3" t="n">
        <v>0</v>
      </c>
      <c r="F682" s="3" t="n">
        <v>3.97</v>
      </c>
    </row>
    <row r="683" customFormat="false" ht="12.75" hidden="false" customHeight="false" outlineLevel="0" collapsed="false">
      <c r="A683" s="2" t="s">
        <v>352</v>
      </c>
      <c r="B683" s="2" t="s">
        <v>26</v>
      </c>
      <c r="C683" s="2" t="s">
        <v>18</v>
      </c>
      <c r="D683" s="3" t="n">
        <v>5000</v>
      </c>
      <c r="E683" s="3" t="n">
        <v>0</v>
      </c>
      <c r="F683" s="3" t="n">
        <v>3.965</v>
      </c>
    </row>
    <row r="684" customFormat="false" ht="12.75" hidden="false" customHeight="false" outlineLevel="0" collapsed="false">
      <c r="A684" s="2" t="s">
        <v>352</v>
      </c>
      <c r="B684" s="2" t="s">
        <v>57</v>
      </c>
      <c r="C684" s="2" t="s">
        <v>32</v>
      </c>
      <c r="D684" s="3" t="n">
        <v>10000</v>
      </c>
      <c r="E684" s="3" t="n">
        <v>0</v>
      </c>
      <c r="F684" s="3" t="n">
        <v>3.87</v>
      </c>
    </row>
    <row r="685" customFormat="false" ht="12.75" hidden="false" customHeight="false" outlineLevel="0" collapsed="false">
      <c r="A685" s="2" t="s">
        <v>353</v>
      </c>
      <c r="B685" s="2" t="s">
        <v>30</v>
      </c>
      <c r="C685" s="2" t="s">
        <v>8</v>
      </c>
      <c r="D685" s="3" t="n">
        <v>0</v>
      </c>
      <c r="E685" s="3" t="n">
        <v>10000</v>
      </c>
      <c r="F685" s="3" t="n">
        <v>3.7825</v>
      </c>
    </row>
    <row r="686" customFormat="false" ht="12.75" hidden="false" customHeight="false" outlineLevel="0" collapsed="false">
      <c r="A686" s="2" t="s">
        <v>354</v>
      </c>
      <c r="B686" s="2" t="s">
        <v>88</v>
      </c>
      <c r="C686" s="2" t="s">
        <v>8</v>
      </c>
      <c r="D686" s="3" t="n">
        <v>10000</v>
      </c>
      <c r="E686" s="3" t="n">
        <v>0</v>
      </c>
      <c r="F686" s="3" t="n">
        <v>3.78</v>
      </c>
    </row>
    <row r="687" customFormat="false" ht="12.75" hidden="false" customHeight="false" outlineLevel="0" collapsed="false">
      <c r="A687" s="2" t="s">
        <v>355</v>
      </c>
      <c r="B687" s="2" t="s">
        <v>26</v>
      </c>
      <c r="C687" s="2" t="s">
        <v>8</v>
      </c>
      <c r="D687" s="3" t="n">
        <v>5000</v>
      </c>
      <c r="E687" s="3" t="n">
        <v>0</v>
      </c>
      <c r="F687" s="3" t="n">
        <v>3.7775</v>
      </c>
    </row>
    <row r="688" customFormat="false" ht="12.75" hidden="false" customHeight="false" outlineLevel="0" collapsed="false">
      <c r="A688" s="2" t="s">
        <v>356</v>
      </c>
      <c r="B688" s="2" t="s">
        <v>88</v>
      </c>
      <c r="C688" s="2" t="s">
        <v>22</v>
      </c>
      <c r="D688" s="3" t="n">
        <v>0</v>
      </c>
      <c r="E688" s="3" t="n">
        <v>5000</v>
      </c>
      <c r="F688" s="3" t="n">
        <v>4.275</v>
      </c>
    </row>
    <row r="689" customFormat="false" ht="12.75" hidden="false" customHeight="false" outlineLevel="0" collapsed="false">
      <c r="A689" s="2" t="s">
        <v>357</v>
      </c>
      <c r="B689" s="2" t="s">
        <v>277</v>
      </c>
      <c r="C689" s="2" t="s">
        <v>18</v>
      </c>
      <c r="D689" s="3" t="n">
        <v>0</v>
      </c>
      <c r="E689" s="3" t="n">
        <v>2500</v>
      </c>
      <c r="F689" s="3" t="n">
        <v>3.97</v>
      </c>
    </row>
    <row r="690" customFormat="false" ht="12.75" hidden="false" customHeight="false" outlineLevel="0" collapsed="false">
      <c r="A690" s="2" t="s">
        <v>357</v>
      </c>
      <c r="B690" s="2" t="s">
        <v>176</v>
      </c>
      <c r="C690" s="2" t="s">
        <v>13</v>
      </c>
      <c r="D690" s="3" t="n">
        <v>0</v>
      </c>
      <c r="E690" s="3" t="n">
        <v>5000</v>
      </c>
      <c r="F690" s="3" t="n">
        <v>3.895</v>
      </c>
    </row>
    <row r="691" customFormat="false" ht="12.75" hidden="false" customHeight="false" outlineLevel="0" collapsed="false">
      <c r="A691" s="2" t="s">
        <v>358</v>
      </c>
      <c r="B691" s="2" t="s">
        <v>277</v>
      </c>
      <c r="C691" s="2" t="s">
        <v>22</v>
      </c>
      <c r="D691" s="3" t="n">
        <v>0</v>
      </c>
      <c r="E691" s="3" t="n">
        <v>2500</v>
      </c>
      <c r="F691" s="3" t="n">
        <v>4.28</v>
      </c>
    </row>
    <row r="692" customFormat="false" ht="12.75" hidden="false" customHeight="false" outlineLevel="0" collapsed="false">
      <c r="A692" s="2" t="s">
        <v>359</v>
      </c>
      <c r="B692" s="2" t="s">
        <v>98</v>
      </c>
      <c r="C692" s="2" t="s">
        <v>169</v>
      </c>
      <c r="D692" s="3" t="n">
        <v>5000</v>
      </c>
      <c r="E692" s="3" t="n">
        <v>0</v>
      </c>
      <c r="F692" s="3" t="n">
        <v>3.7725</v>
      </c>
    </row>
    <row r="693" customFormat="false" ht="12.75" hidden="false" customHeight="false" outlineLevel="0" collapsed="false">
      <c r="A693" s="2" t="s">
        <v>359</v>
      </c>
      <c r="B693" s="2" t="s">
        <v>116</v>
      </c>
      <c r="C693" s="2" t="s">
        <v>8</v>
      </c>
      <c r="D693" s="3" t="n">
        <v>5000</v>
      </c>
      <c r="E693" s="3" t="n">
        <v>0</v>
      </c>
      <c r="F693" s="3" t="n">
        <v>3.78</v>
      </c>
    </row>
    <row r="694" customFormat="false" ht="12.75" hidden="false" customHeight="false" outlineLevel="0" collapsed="false">
      <c r="A694" s="2" t="s">
        <v>360</v>
      </c>
      <c r="B694" s="2" t="s">
        <v>252</v>
      </c>
      <c r="C694" s="2" t="s">
        <v>8</v>
      </c>
      <c r="D694" s="3" t="n">
        <v>0</v>
      </c>
      <c r="E694" s="3" t="n">
        <v>10000</v>
      </c>
      <c r="F694" s="3" t="n">
        <v>3.785</v>
      </c>
    </row>
    <row r="695" customFormat="false" ht="12.75" hidden="false" customHeight="false" outlineLevel="0" collapsed="false">
      <c r="A695" s="2" t="s">
        <v>360</v>
      </c>
      <c r="B695" s="2" t="s">
        <v>37</v>
      </c>
      <c r="C695" s="2" t="s">
        <v>8</v>
      </c>
      <c r="D695" s="3" t="n">
        <v>5000</v>
      </c>
      <c r="E695" s="3" t="n">
        <v>0</v>
      </c>
      <c r="F695" s="3" t="n">
        <v>3.78</v>
      </c>
    </row>
    <row r="696" customFormat="false" ht="12.75" hidden="false" customHeight="false" outlineLevel="0" collapsed="false">
      <c r="A696" s="2" t="s">
        <v>361</v>
      </c>
      <c r="B696" s="2" t="s">
        <v>252</v>
      </c>
      <c r="C696" s="2" t="s">
        <v>8</v>
      </c>
      <c r="D696" s="3" t="n">
        <v>0</v>
      </c>
      <c r="E696" s="3" t="n">
        <v>5000</v>
      </c>
      <c r="F696" s="3" t="n">
        <v>3.7875</v>
      </c>
    </row>
    <row r="697" customFormat="false" ht="12.75" hidden="false" customHeight="false" outlineLevel="0" collapsed="false">
      <c r="A697" s="2" t="s">
        <v>361</v>
      </c>
      <c r="B697" s="2" t="s">
        <v>160</v>
      </c>
      <c r="C697" s="2" t="s">
        <v>8</v>
      </c>
      <c r="D697" s="3" t="n">
        <v>0</v>
      </c>
      <c r="E697" s="3" t="n">
        <v>5000</v>
      </c>
      <c r="F697" s="3" t="n">
        <v>3.7875</v>
      </c>
    </row>
    <row r="698" customFormat="false" ht="12.75" hidden="false" customHeight="false" outlineLevel="0" collapsed="false">
      <c r="A698" s="2" t="s">
        <v>362</v>
      </c>
      <c r="B698" s="2" t="s">
        <v>363</v>
      </c>
      <c r="C698" s="2" t="s">
        <v>169</v>
      </c>
      <c r="D698" s="3" t="n">
        <v>0</v>
      </c>
      <c r="E698" s="3" t="n">
        <v>5000</v>
      </c>
      <c r="F698" s="3" t="n">
        <v>3.78</v>
      </c>
    </row>
    <row r="699" customFormat="false" ht="12.75" hidden="false" customHeight="false" outlineLevel="0" collapsed="false">
      <c r="A699" s="2" t="s">
        <v>362</v>
      </c>
      <c r="B699" s="2" t="s">
        <v>214</v>
      </c>
      <c r="C699" s="2" t="s">
        <v>8</v>
      </c>
      <c r="D699" s="3" t="n">
        <v>10000</v>
      </c>
      <c r="E699" s="3" t="n">
        <v>0</v>
      </c>
      <c r="F699" s="3" t="n">
        <v>3.785</v>
      </c>
    </row>
    <row r="700" customFormat="false" ht="12.75" hidden="false" customHeight="false" outlineLevel="0" collapsed="false">
      <c r="A700" s="2" t="s">
        <v>364</v>
      </c>
      <c r="B700" s="2" t="s">
        <v>252</v>
      </c>
      <c r="C700" s="2" t="s">
        <v>18</v>
      </c>
      <c r="D700" s="3" t="n">
        <v>0</v>
      </c>
      <c r="E700" s="3" t="n">
        <v>5000</v>
      </c>
      <c r="F700" s="3" t="n">
        <v>3.975</v>
      </c>
    </row>
    <row r="701" customFormat="false" ht="12.75" hidden="false" customHeight="false" outlineLevel="0" collapsed="false">
      <c r="A701" s="2" t="s">
        <v>364</v>
      </c>
      <c r="B701" s="2" t="s">
        <v>20</v>
      </c>
      <c r="C701" s="2" t="s">
        <v>8</v>
      </c>
      <c r="D701" s="3" t="n">
        <v>0</v>
      </c>
      <c r="E701" s="3" t="n">
        <v>10000</v>
      </c>
      <c r="F701" s="3" t="n">
        <v>3.79</v>
      </c>
    </row>
    <row r="702" customFormat="false" ht="12.75" hidden="false" customHeight="false" outlineLevel="0" collapsed="false">
      <c r="A702" s="2" t="s">
        <v>364</v>
      </c>
      <c r="B702" s="2" t="s">
        <v>20</v>
      </c>
      <c r="C702" s="2" t="s">
        <v>8</v>
      </c>
      <c r="D702" s="3" t="n">
        <v>0</v>
      </c>
      <c r="E702" s="3" t="n">
        <v>10000</v>
      </c>
      <c r="F702" s="3" t="n">
        <v>3.7925</v>
      </c>
    </row>
    <row r="703" customFormat="false" ht="12.75" hidden="false" customHeight="false" outlineLevel="0" collapsed="false">
      <c r="A703" s="2" t="s">
        <v>364</v>
      </c>
      <c r="B703" s="2" t="s">
        <v>17</v>
      </c>
      <c r="C703" s="2" t="s">
        <v>8</v>
      </c>
      <c r="D703" s="3" t="n">
        <v>0</v>
      </c>
      <c r="E703" s="3" t="n">
        <v>5000</v>
      </c>
      <c r="F703" s="3" t="n">
        <v>3.7875</v>
      </c>
    </row>
    <row r="704" customFormat="false" ht="12.75" hidden="false" customHeight="false" outlineLevel="0" collapsed="false">
      <c r="A704" s="2" t="s">
        <v>365</v>
      </c>
      <c r="B704" s="2" t="s">
        <v>15</v>
      </c>
      <c r="C704" s="2" t="s">
        <v>8</v>
      </c>
      <c r="D704" s="3" t="n">
        <v>10000</v>
      </c>
      <c r="E704" s="3" t="n">
        <v>0</v>
      </c>
      <c r="F704" s="3" t="n">
        <v>3.7925</v>
      </c>
    </row>
    <row r="705" customFormat="false" ht="12.75" hidden="false" customHeight="false" outlineLevel="0" collapsed="false">
      <c r="A705" s="2" t="s">
        <v>365</v>
      </c>
      <c r="B705" s="2" t="s">
        <v>20</v>
      </c>
      <c r="C705" s="2" t="s">
        <v>8</v>
      </c>
      <c r="D705" s="3" t="n">
        <v>0</v>
      </c>
      <c r="E705" s="3" t="n">
        <v>10000</v>
      </c>
      <c r="F705" s="3" t="n">
        <v>3.795</v>
      </c>
    </row>
    <row r="706" customFormat="false" ht="12.75" hidden="false" customHeight="false" outlineLevel="0" collapsed="false">
      <c r="A706" s="2" t="s">
        <v>365</v>
      </c>
      <c r="B706" s="2" t="s">
        <v>20</v>
      </c>
      <c r="C706" s="2" t="s">
        <v>8</v>
      </c>
      <c r="D706" s="3" t="n">
        <v>0</v>
      </c>
      <c r="E706" s="3" t="n">
        <v>10000</v>
      </c>
      <c r="F706" s="3" t="n">
        <v>3.7975</v>
      </c>
    </row>
    <row r="707" customFormat="false" ht="12.75" hidden="false" customHeight="false" outlineLevel="0" collapsed="false">
      <c r="A707" s="2" t="s">
        <v>365</v>
      </c>
      <c r="B707" s="2" t="s">
        <v>7</v>
      </c>
      <c r="C707" s="2" t="s">
        <v>22</v>
      </c>
      <c r="D707" s="3" t="n">
        <v>0</v>
      </c>
      <c r="E707" s="3" t="n">
        <v>2500</v>
      </c>
      <c r="F707" s="3" t="n">
        <v>4.29</v>
      </c>
    </row>
    <row r="708" customFormat="false" ht="12.75" hidden="false" customHeight="false" outlineLevel="0" collapsed="false">
      <c r="A708" s="2" t="s">
        <v>365</v>
      </c>
      <c r="B708" s="2" t="s">
        <v>201</v>
      </c>
      <c r="C708" s="2" t="s">
        <v>8</v>
      </c>
      <c r="D708" s="3" t="n">
        <v>10000</v>
      </c>
      <c r="E708" s="3" t="n">
        <v>0</v>
      </c>
      <c r="F708" s="3" t="n">
        <v>3.795</v>
      </c>
    </row>
    <row r="709" customFormat="false" ht="12.75" hidden="false" customHeight="false" outlineLevel="0" collapsed="false">
      <c r="A709" s="2" t="s">
        <v>366</v>
      </c>
      <c r="B709" s="2" t="s">
        <v>20</v>
      </c>
      <c r="C709" s="2" t="s">
        <v>8</v>
      </c>
      <c r="D709" s="3" t="n">
        <v>7500</v>
      </c>
      <c r="E709" s="3" t="n">
        <v>0</v>
      </c>
      <c r="F709" s="3" t="n">
        <v>3.79</v>
      </c>
    </row>
    <row r="710" customFormat="false" ht="12.75" hidden="false" customHeight="false" outlineLevel="0" collapsed="false">
      <c r="A710" s="2" t="s">
        <v>366</v>
      </c>
      <c r="B710" s="2" t="s">
        <v>85</v>
      </c>
      <c r="C710" s="2" t="s">
        <v>8</v>
      </c>
      <c r="D710" s="3" t="n">
        <v>2500</v>
      </c>
      <c r="E710" s="3" t="n">
        <v>0</v>
      </c>
      <c r="F710" s="3" t="n">
        <v>3.79</v>
      </c>
    </row>
    <row r="711" customFormat="false" ht="12.75" hidden="false" customHeight="false" outlineLevel="0" collapsed="false">
      <c r="A711" s="2" t="s">
        <v>367</v>
      </c>
      <c r="B711" s="2" t="s">
        <v>38</v>
      </c>
      <c r="C711" s="2" t="s">
        <v>8</v>
      </c>
      <c r="D711" s="3" t="n">
        <v>10000</v>
      </c>
      <c r="E711" s="3" t="n">
        <v>0</v>
      </c>
      <c r="F711" s="3" t="n">
        <v>3.7875</v>
      </c>
    </row>
    <row r="712" customFormat="false" ht="12.75" hidden="false" customHeight="false" outlineLevel="0" collapsed="false">
      <c r="A712" s="2" t="s">
        <v>367</v>
      </c>
      <c r="B712" s="2" t="s">
        <v>38</v>
      </c>
      <c r="C712" s="2" t="s">
        <v>8</v>
      </c>
      <c r="D712" s="3" t="n">
        <v>10000</v>
      </c>
      <c r="E712" s="3" t="n">
        <v>0</v>
      </c>
      <c r="F712" s="3" t="n">
        <v>3.785</v>
      </c>
    </row>
    <row r="713" customFormat="false" ht="12.75" hidden="false" customHeight="false" outlineLevel="0" collapsed="false">
      <c r="A713" s="2" t="s">
        <v>368</v>
      </c>
      <c r="B713" s="2" t="s">
        <v>80</v>
      </c>
      <c r="C713" s="2" t="s">
        <v>8</v>
      </c>
      <c r="D713" s="3" t="n">
        <v>0</v>
      </c>
      <c r="E713" s="3" t="n">
        <v>5000</v>
      </c>
      <c r="F713" s="3" t="n">
        <v>3.79</v>
      </c>
    </row>
    <row r="714" customFormat="false" ht="12.75" hidden="false" customHeight="false" outlineLevel="0" collapsed="false">
      <c r="A714" s="2" t="s">
        <v>369</v>
      </c>
      <c r="B714" s="2" t="s">
        <v>30</v>
      </c>
      <c r="C714" s="2" t="s">
        <v>8</v>
      </c>
      <c r="D714" s="3" t="n">
        <v>0</v>
      </c>
      <c r="E714" s="3" t="n">
        <v>5000</v>
      </c>
      <c r="F714" s="3" t="n">
        <v>3.79</v>
      </c>
    </row>
    <row r="715" customFormat="false" ht="12.75" hidden="false" customHeight="false" outlineLevel="0" collapsed="false">
      <c r="A715" s="2" t="s">
        <v>370</v>
      </c>
      <c r="B715" s="2" t="s">
        <v>20</v>
      </c>
      <c r="C715" s="2" t="s">
        <v>18</v>
      </c>
      <c r="D715" s="3" t="n">
        <v>2000</v>
      </c>
      <c r="E715" s="3" t="n">
        <v>0</v>
      </c>
      <c r="F715" s="3" t="n">
        <v>3.97</v>
      </c>
    </row>
    <row r="716" customFormat="false" ht="12.75" hidden="false" customHeight="false" outlineLevel="0" collapsed="false">
      <c r="A716" s="2" t="s">
        <v>371</v>
      </c>
      <c r="B716" s="2" t="s">
        <v>26</v>
      </c>
      <c r="C716" s="2" t="s">
        <v>18</v>
      </c>
      <c r="D716" s="3" t="n">
        <v>5000</v>
      </c>
      <c r="E716" s="3" t="n">
        <v>0</v>
      </c>
      <c r="F716" s="3" t="n">
        <v>3.97</v>
      </c>
    </row>
    <row r="717" customFormat="false" ht="12.75" hidden="false" customHeight="false" outlineLevel="0" collapsed="false">
      <c r="A717" s="2" t="s">
        <v>371</v>
      </c>
      <c r="B717" s="2" t="s">
        <v>236</v>
      </c>
      <c r="C717" s="2" t="s">
        <v>8</v>
      </c>
      <c r="D717" s="3" t="n">
        <v>10000</v>
      </c>
      <c r="E717" s="3" t="n">
        <v>0</v>
      </c>
      <c r="F717" s="3" t="n">
        <v>3.7875</v>
      </c>
    </row>
    <row r="718" customFormat="false" ht="12.75" hidden="false" customHeight="false" outlineLevel="0" collapsed="false">
      <c r="A718" s="2" t="s">
        <v>372</v>
      </c>
      <c r="B718" s="2" t="s">
        <v>252</v>
      </c>
      <c r="C718" s="2" t="s">
        <v>8</v>
      </c>
      <c r="D718" s="3" t="n">
        <v>0</v>
      </c>
      <c r="E718" s="3" t="n">
        <v>10000</v>
      </c>
      <c r="F718" s="3" t="n">
        <v>3.79</v>
      </c>
    </row>
    <row r="719" customFormat="false" ht="12.75" hidden="false" customHeight="false" outlineLevel="0" collapsed="false">
      <c r="A719" s="2" t="s">
        <v>372</v>
      </c>
      <c r="B719" s="2" t="s">
        <v>43</v>
      </c>
      <c r="C719" s="2" t="s">
        <v>22</v>
      </c>
      <c r="D719" s="3" t="n">
        <v>5000</v>
      </c>
      <c r="E719" s="3" t="n">
        <v>0</v>
      </c>
      <c r="F719" s="3" t="n">
        <v>4.28</v>
      </c>
    </row>
    <row r="720" customFormat="false" ht="12.75" hidden="false" customHeight="false" outlineLevel="0" collapsed="false">
      <c r="A720" s="2" t="s">
        <v>373</v>
      </c>
      <c r="B720" s="2" t="s">
        <v>88</v>
      </c>
      <c r="C720" s="2" t="s">
        <v>22</v>
      </c>
      <c r="D720" s="3" t="n">
        <v>0</v>
      </c>
      <c r="E720" s="3" t="n">
        <v>5000</v>
      </c>
      <c r="F720" s="3" t="n">
        <v>4.29</v>
      </c>
    </row>
    <row r="721" customFormat="false" ht="12.75" hidden="false" customHeight="false" outlineLevel="0" collapsed="false">
      <c r="A721" s="2" t="s">
        <v>374</v>
      </c>
      <c r="B721" s="2" t="s">
        <v>70</v>
      </c>
      <c r="C721" s="2" t="s">
        <v>18</v>
      </c>
      <c r="D721" s="3" t="n">
        <v>0</v>
      </c>
      <c r="E721" s="3" t="n">
        <v>5000</v>
      </c>
      <c r="F721" s="3" t="n">
        <v>3.98</v>
      </c>
    </row>
    <row r="722" customFormat="false" ht="12.75" hidden="false" customHeight="false" outlineLevel="0" collapsed="false">
      <c r="A722" s="2" t="s">
        <v>374</v>
      </c>
      <c r="B722" s="2" t="s">
        <v>39</v>
      </c>
      <c r="C722" s="2" t="s">
        <v>65</v>
      </c>
      <c r="D722" s="3" t="n">
        <v>0</v>
      </c>
      <c r="E722" s="3" t="n">
        <v>10000</v>
      </c>
      <c r="F722" s="3" t="n">
        <v>3.935</v>
      </c>
    </row>
    <row r="723" customFormat="false" ht="12.75" hidden="false" customHeight="false" outlineLevel="0" collapsed="false">
      <c r="A723" s="2" t="s">
        <v>375</v>
      </c>
      <c r="B723" s="2" t="s">
        <v>20</v>
      </c>
      <c r="C723" s="2" t="s">
        <v>8</v>
      </c>
      <c r="D723" s="3" t="n">
        <v>10000</v>
      </c>
      <c r="E723" s="3" t="n">
        <v>0</v>
      </c>
      <c r="F723" s="3" t="n">
        <v>3.7925</v>
      </c>
    </row>
    <row r="724" customFormat="false" ht="12.75" hidden="false" customHeight="false" outlineLevel="0" collapsed="false">
      <c r="A724" s="2" t="s">
        <v>375</v>
      </c>
      <c r="B724" s="2" t="s">
        <v>88</v>
      </c>
      <c r="C724" s="2" t="s">
        <v>22</v>
      </c>
      <c r="D724" s="3" t="n">
        <v>0</v>
      </c>
      <c r="E724" s="3" t="n">
        <v>5000</v>
      </c>
      <c r="F724" s="3" t="n">
        <v>4.295</v>
      </c>
    </row>
    <row r="725" customFormat="false" ht="12.75" hidden="false" customHeight="false" outlineLevel="0" collapsed="false">
      <c r="A725" s="2" t="s">
        <v>375</v>
      </c>
      <c r="B725" s="2" t="s">
        <v>51</v>
      </c>
      <c r="C725" s="2" t="s">
        <v>8</v>
      </c>
      <c r="D725" s="3" t="n">
        <v>0</v>
      </c>
      <c r="E725" s="3" t="n">
        <v>10000</v>
      </c>
      <c r="F725" s="3" t="n">
        <v>3.795</v>
      </c>
    </row>
    <row r="726" customFormat="false" ht="12.75" hidden="false" customHeight="false" outlineLevel="0" collapsed="false">
      <c r="A726" s="2" t="s">
        <v>375</v>
      </c>
      <c r="B726" s="2" t="s">
        <v>57</v>
      </c>
      <c r="C726" s="2" t="s">
        <v>8</v>
      </c>
      <c r="D726" s="3" t="n">
        <v>0</v>
      </c>
      <c r="E726" s="3" t="n">
        <v>5000</v>
      </c>
      <c r="F726" s="3" t="n">
        <v>3.795</v>
      </c>
    </row>
    <row r="727" customFormat="false" ht="12.75" hidden="false" customHeight="false" outlineLevel="0" collapsed="false">
      <c r="A727" s="2" t="s">
        <v>376</v>
      </c>
      <c r="B727" s="2" t="s">
        <v>37</v>
      </c>
      <c r="C727" s="2" t="s">
        <v>13</v>
      </c>
      <c r="D727" s="3" t="n">
        <v>0</v>
      </c>
      <c r="E727" s="3" t="n">
        <v>5000</v>
      </c>
      <c r="F727" s="3" t="n">
        <v>3.91</v>
      </c>
    </row>
    <row r="728" customFormat="false" ht="12.75" hidden="false" customHeight="false" outlineLevel="0" collapsed="false">
      <c r="A728" s="2" t="s">
        <v>376</v>
      </c>
      <c r="B728" s="2" t="s">
        <v>51</v>
      </c>
      <c r="C728" s="2" t="s">
        <v>8</v>
      </c>
      <c r="D728" s="3" t="n">
        <v>0</v>
      </c>
      <c r="E728" s="3" t="n">
        <v>10000</v>
      </c>
      <c r="F728" s="3" t="n">
        <v>3.7975</v>
      </c>
    </row>
    <row r="729" customFormat="false" ht="12.75" hidden="false" customHeight="false" outlineLevel="0" collapsed="false">
      <c r="A729" s="2" t="s">
        <v>376</v>
      </c>
      <c r="B729" s="2" t="s">
        <v>59</v>
      </c>
      <c r="C729" s="2" t="s">
        <v>18</v>
      </c>
      <c r="D729" s="3" t="n">
        <v>0</v>
      </c>
      <c r="E729" s="3" t="n">
        <v>5000</v>
      </c>
      <c r="F729" s="3" t="n">
        <v>3.985</v>
      </c>
    </row>
    <row r="730" customFormat="false" ht="12.75" hidden="false" customHeight="false" outlineLevel="0" collapsed="false">
      <c r="A730" s="2" t="s">
        <v>376</v>
      </c>
      <c r="B730" s="2" t="s">
        <v>24</v>
      </c>
      <c r="C730" s="2" t="s">
        <v>8</v>
      </c>
      <c r="D730" s="3" t="n">
        <v>0</v>
      </c>
      <c r="E730" s="3" t="n">
        <v>5000</v>
      </c>
      <c r="F730" s="3" t="n">
        <v>3.795</v>
      </c>
    </row>
    <row r="731" customFormat="false" ht="12.75" hidden="false" customHeight="false" outlineLevel="0" collapsed="false">
      <c r="A731" s="2" t="s">
        <v>377</v>
      </c>
      <c r="B731" s="2" t="s">
        <v>85</v>
      </c>
      <c r="C731" s="2" t="s">
        <v>8</v>
      </c>
      <c r="D731" s="3" t="n">
        <v>5000</v>
      </c>
      <c r="E731" s="3" t="n">
        <v>0</v>
      </c>
      <c r="F731" s="3" t="n">
        <v>3.7975</v>
      </c>
    </row>
    <row r="732" customFormat="false" ht="12.75" hidden="false" customHeight="false" outlineLevel="0" collapsed="false">
      <c r="A732" s="2" t="s">
        <v>377</v>
      </c>
      <c r="B732" s="2" t="s">
        <v>24</v>
      </c>
      <c r="C732" s="2" t="s">
        <v>8</v>
      </c>
      <c r="D732" s="3" t="n">
        <v>0</v>
      </c>
      <c r="E732" s="3" t="n">
        <v>10000</v>
      </c>
      <c r="F732" s="3" t="n">
        <v>3.8</v>
      </c>
    </row>
    <row r="733" customFormat="false" ht="12.75" hidden="false" customHeight="false" outlineLevel="0" collapsed="false">
      <c r="A733" s="2" t="s">
        <v>378</v>
      </c>
      <c r="B733" s="2" t="s">
        <v>70</v>
      </c>
      <c r="C733" s="2" t="s">
        <v>8</v>
      </c>
      <c r="D733" s="3" t="n">
        <v>0</v>
      </c>
      <c r="E733" s="3" t="n">
        <v>10000</v>
      </c>
      <c r="F733" s="3" t="n">
        <v>3.8025</v>
      </c>
    </row>
    <row r="734" customFormat="false" ht="12.75" hidden="false" customHeight="false" outlineLevel="0" collapsed="false">
      <c r="A734" s="2" t="s">
        <v>378</v>
      </c>
      <c r="B734" s="2" t="s">
        <v>39</v>
      </c>
      <c r="C734" s="2" t="s">
        <v>32</v>
      </c>
      <c r="D734" s="3" t="n">
        <v>0</v>
      </c>
      <c r="E734" s="3" t="n">
        <v>10000</v>
      </c>
      <c r="F734" s="3" t="n">
        <v>3.9</v>
      </c>
    </row>
    <row r="735" customFormat="false" ht="12.75" hidden="false" customHeight="false" outlineLevel="0" collapsed="false">
      <c r="A735" s="2" t="s">
        <v>379</v>
      </c>
      <c r="B735" s="2" t="s">
        <v>39</v>
      </c>
      <c r="C735" s="2" t="s">
        <v>32</v>
      </c>
      <c r="D735" s="3" t="n">
        <v>0</v>
      </c>
      <c r="E735" s="3" t="n">
        <v>10000</v>
      </c>
      <c r="F735" s="3" t="n">
        <v>3.9</v>
      </c>
    </row>
    <row r="736" customFormat="false" ht="12.75" hidden="false" customHeight="false" outlineLevel="0" collapsed="false">
      <c r="A736" s="2" t="s">
        <v>379</v>
      </c>
      <c r="B736" s="2" t="s">
        <v>116</v>
      </c>
      <c r="C736" s="2" t="s">
        <v>8</v>
      </c>
      <c r="D736" s="3" t="n">
        <v>5000</v>
      </c>
      <c r="E736" s="3" t="n">
        <v>0</v>
      </c>
      <c r="F736" s="3" t="n">
        <v>3.8025</v>
      </c>
    </row>
    <row r="737" customFormat="false" ht="12.75" hidden="false" customHeight="false" outlineLevel="0" collapsed="false">
      <c r="A737" s="2" t="s">
        <v>379</v>
      </c>
      <c r="B737" s="2" t="s">
        <v>109</v>
      </c>
      <c r="C737" s="2" t="s">
        <v>13</v>
      </c>
      <c r="D737" s="3" t="n">
        <v>0</v>
      </c>
      <c r="E737" s="3" t="n">
        <v>5000</v>
      </c>
      <c r="F737" s="3" t="n">
        <v>3.915</v>
      </c>
    </row>
    <row r="738" customFormat="false" ht="12.75" hidden="false" customHeight="false" outlineLevel="0" collapsed="false">
      <c r="A738" s="2" t="s">
        <v>379</v>
      </c>
      <c r="B738" s="2" t="s">
        <v>57</v>
      </c>
      <c r="C738" s="2" t="s">
        <v>32</v>
      </c>
      <c r="D738" s="3" t="n">
        <v>10000</v>
      </c>
      <c r="E738" s="3" t="n">
        <v>0</v>
      </c>
      <c r="F738" s="3" t="n">
        <v>3.8975</v>
      </c>
    </row>
    <row r="739" customFormat="false" ht="12.75" hidden="false" customHeight="false" outlineLevel="0" collapsed="false">
      <c r="A739" s="2" t="s">
        <v>379</v>
      </c>
      <c r="B739" s="2" t="s">
        <v>83</v>
      </c>
      <c r="C739" s="2" t="s">
        <v>8</v>
      </c>
      <c r="D739" s="3" t="n">
        <v>0</v>
      </c>
      <c r="E739" s="3" t="n">
        <v>10000</v>
      </c>
      <c r="F739" s="3" t="n">
        <v>3.8075</v>
      </c>
    </row>
    <row r="740" customFormat="false" ht="12.75" hidden="false" customHeight="false" outlineLevel="0" collapsed="false">
      <c r="A740" s="2" t="s">
        <v>380</v>
      </c>
      <c r="B740" s="2" t="s">
        <v>20</v>
      </c>
      <c r="C740" s="2" t="s">
        <v>8</v>
      </c>
      <c r="D740" s="3" t="n">
        <v>10000</v>
      </c>
      <c r="E740" s="3" t="n">
        <v>0</v>
      </c>
      <c r="F740" s="3" t="n">
        <v>3.8025</v>
      </c>
    </row>
    <row r="741" customFormat="false" ht="12.75" hidden="false" customHeight="false" outlineLevel="0" collapsed="false">
      <c r="A741" s="2" t="s">
        <v>380</v>
      </c>
      <c r="B741" s="2" t="s">
        <v>160</v>
      </c>
      <c r="C741" s="2" t="s">
        <v>8</v>
      </c>
      <c r="D741" s="3" t="n">
        <v>0</v>
      </c>
      <c r="E741" s="3" t="n">
        <v>10000</v>
      </c>
      <c r="F741" s="3" t="n">
        <v>3.805</v>
      </c>
    </row>
    <row r="742" customFormat="false" ht="12.75" hidden="false" customHeight="false" outlineLevel="0" collapsed="false">
      <c r="A742" s="2" t="s">
        <v>380</v>
      </c>
      <c r="B742" s="2" t="s">
        <v>85</v>
      </c>
      <c r="C742" s="2" t="s">
        <v>22</v>
      </c>
      <c r="D742" s="3" t="n">
        <v>5000</v>
      </c>
      <c r="E742" s="3" t="n">
        <v>0</v>
      </c>
      <c r="F742" s="3" t="n">
        <v>4.305</v>
      </c>
    </row>
    <row r="743" customFormat="false" ht="12.75" hidden="false" customHeight="false" outlineLevel="0" collapsed="false">
      <c r="A743" s="2" t="s">
        <v>380</v>
      </c>
      <c r="B743" s="2" t="s">
        <v>49</v>
      </c>
      <c r="C743" s="2" t="s">
        <v>22</v>
      </c>
      <c r="D743" s="3" t="n">
        <v>0</v>
      </c>
      <c r="E743" s="3" t="n">
        <v>5000</v>
      </c>
      <c r="F743" s="3" t="n">
        <v>4.31</v>
      </c>
    </row>
    <row r="744" customFormat="false" ht="12.75" hidden="false" customHeight="false" outlineLevel="0" collapsed="false">
      <c r="A744" s="2" t="s">
        <v>380</v>
      </c>
      <c r="B744" s="2" t="s">
        <v>109</v>
      </c>
      <c r="C744" s="2" t="s">
        <v>13</v>
      </c>
      <c r="D744" s="3" t="n">
        <v>0</v>
      </c>
      <c r="E744" s="3" t="n">
        <v>5000</v>
      </c>
      <c r="F744" s="3" t="n">
        <v>3.92</v>
      </c>
    </row>
    <row r="745" customFormat="false" ht="12.75" hidden="false" customHeight="false" outlineLevel="0" collapsed="false">
      <c r="A745" s="2" t="s">
        <v>381</v>
      </c>
      <c r="B745" s="2" t="s">
        <v>100</v>
      </c>
      <c r="C745" s="2" t="s">
        <v>13</v>
      </c>
      <c r="D745" s="3" t="n">
        <v>0</v>
      </c>
      <c r="E745" s="3" t="n">
        <v>5000</v>
      </c>
      <c r="F745" s="3" t="n">
        <v>3.925</v>
      </c>
    </row>
    <row r="746" customFormat="false" ht="12.75" hidden="false" customHeight="false" outlineLevel="0" collapsed="false">
      <c r="A746" s="2" t="s">
        <v>381</v>
      </c>
      <c r="B746" s="2" t="s">
        <v>46</v>
      </c>
      <c r="C746" s="2" t="s">
        <v>8</v>
      </c>
      <c r="D746" s="3" t="n">
        <v>0</v>
      </c>
      <c r="E746" s="3" t="n">
        <v>10000</v>
      </c>
      <c r="F746" s="3" t="n">
        <v>3.81</v>
      </c>
    </row>
    <row r="747" customFormat="false" ht="12.75" hidden="false" customHeight="false" outlineLevel="0" collapsed="false">
      <c r="A747" s="2" t="s">
        <v>381</v>
      </c>
      <c r="B747" s="2" t="s">
        <v>109</v>
      </c>
      <c r="C747" s="2" t="s">
        <v>22</v>
      </c>
      <c r="D747" s="3" t="n">
        <v>0</v>
      </c>
      <c r="E747" s="3" t="n">
        <v>5000</v>
      </c>
      <c r="F747" s="3" t="n">
        <v>4.31</v>
      </c>
    </row>
    <row r="748" customFormat="false" ht="12.75" hidden="false" customHeight="false" outlineLevel="0" collapsed="false">
      <c r="A748" s="2" t="s">
        <v>382</v>
      </c>
      <c r="B748" s="2" t="s">
        <v>46</v>
      </c>
      <c r="C748" s="2" t="s">
        <v>13</v>
      </c>
      <c r="D748" s="3" t="n">
        <v>0</v>
      </c>
      <c r="E748" s="3" t="n">
        <v>5000</v>
      </c>
      <c r="F748" s="3" t="n">
        <v>3.925</v>
      </c>
    </row>
    <row r="749" customFormat="false" ht="12.75" hidden="false" customHeight="false" outlineLevel="0" collapsed="false">
      <c r="A749" s="2" t="s">
        <v>382</v>
      </c>
      <c r="B749" s="2" t="s">
        <v>46</v>
      </c>
      <c r="C749" s="2" t="s">
        <v>8</v>
      </c>
      <c r="D749" s="3" t="n">
        <v>0</v>
      </c>
      <c r="E749" s="3" t="n">
        <v>10000</v>
      </c>
      <c r="F749" s="3" t="n">
        <v>3.8125</v>
      </c>
    </row>
    <row r="750" customFormat="false" ht="12.75" hidden="false" customHeight="false" outlineLevel="0" collapsed="false">
      <c r="A750" s="2" t="s">
        <v>382</v>
      </c>
      <c r="B750" s="2" t="s">
        <v>20</v>
      </c>
      <c r="C750" s="2" t="s">
        <v>8</v>
      </c>
      <c r="D750" s="3" t="n">
        <v>0</v>
      </c>
      <c r="E750" s="3" t="n">
        <v>10000</v>
      </c>
      <c r="F750" s="3" t="n">
        <v>3.8175</v>
      </c>
    </row>
    <row r="751" customFormat="false" ht="12.75" hidden="false" customHeight="false" outlineLevel="0" collapsed="false">
      <c r="A751" s="2" t="s">
        <v>382</v>
      </c>
      <c r="B751" s="2" t="s">
        <v>97</v>
      </c>
      <c r="C751" s="2" t="s">
        <v>8</v>
      </c>
      <c r="D751" s="3" t="n">
        <v>10000</v>
      </c>
      <c r="E751" s="3" t="n">
        <v>0</v>
      </c>
      <c r="F751" s="3" t="n">
        <v>3.8125</v>
      </c>
    </row>
    <row r="752" customFormat="false" ht="12.75" hidden="false" customHeight="false" outlineLevel="0" collapsed="false">
      <c r="A752" s="2" t="s">
        <v>382</v>
      </c>
      <c r="B752" s="2" t="s">
        <v>88</v>
      </c>
      <c r="C752" s="2" t="s">
        <v>22</v>
      </c>
      <c r="D752" s="3" t="n">
        <v>0</v>
      </c>
      <c r="E752" s="3" t="n">
        <v>5000</v>
      </c>
      <c r="F752" s="3" t="n">
        <v>4.325</v>
      </c>
    </row>
    <row r="753" customFormat="false" ht="12.75" hidden="false" customHeight="false" outlineLevel="0" collapsed="false">
      <c r="A753" s="2" t="s">
        <v>382</v>
      </c>
      <c r="B753" s="2" t="s">
        <v>37</v>
      </c>
      <c r="C753" s="2" t="s">
        <v>8</v>
      </c>
      <c r="D753" s="3" t="n">
        <v>0</v>
      </c>
      <c r="E753" s="3" t="n">
        <v>7500</v>
      </c>
      <c r="F753" s="3" t="n">
        <v>3.82</v>
      </c>
    </row>
    <row r="754" customFormat="false" ht="12.75" hidden="false" customHeight="false" outlineLevel="0" collapsed="false">
      <c r="A754" s="2" t="s">
        <v>382</v>
      </c>
      <c r="B754" s="2" t="s">
        <v>109</v>
      </c>
      <c r="C754" s="2" t="s">
        <v>22</v>
      </c>
      <c r="D754" s="3" t="n">
        <v>0</v>
      </c>
      <c r="E754" s="3" t="n">
        <v>5000</v>
      </c>
      <c r="F754" s="3" t="n">
        <v>4.32</v>
      </c>
    </row>
    <row r="755" customFormat="false" ht="12.75" hidden="false" customHeight="false" outlineLevel="0" collapsed="false">
      <c r="A755" s="2" t="s">
        <v>382</v>
      </c>
      <c r="B755" s="2" t="s">
        <v>109</v>
      </c>
      <c r="C755" s="2" t="s">
        <v>22</v>
      </c>
      <c r="D755" s="3" t="n">
        <v>0</v>
      </c>
      <c r="E755" s="3" t="n">
        <v>5000</v>
      </c>
      <c r="F755" s="3" t="n">
        <v>4.325</v>
      </c>
    </row>
    <row r="756" customFormat="false" ht="12.75" hidden="false" customHeight="false" outlineLevel="0" collapsed="false">
      <c r="A756" s="2" t="s">
        <v>382</v>
      </c>
      <c r="B756" s="2" t="s">
        <v>214</v>
      </c>
      <c r="C756" s="2" t="s">
        <v>8</v>
      </c>
      <c r="D756" s="3" t="n">
        <v>0</v>
      </c>
      <c r="E756" s="3" t="n">
        <v>2500</v>
      </c>
      <c r="F756" s="3" t="n">
        <v>3.82</v>
      </c>
    </row>
    <row r="757" customFormat="false" ht="12.75" hidden="false" customHeight="false" outlineLevel="0" collapsed="false">
      <c r="A757" s="2" t="s">
        <v>383</v>
      </c>
      <c r="B757" s="2" t="s">
        <v>20</v>
      </c>
      <c r="C757" s="2" t="s">
        <v>8</v>
      </c>
      <c r="D757" s="3" t="n">
        <v>0</v>
      </c>
      <c r="E757" s="3" t="n">
        <v>10000</v>
      </c>
      <c r="F757" s="3" t="n">
        <v>3.8275</v>
      </c>
    </row>
    <row r="758" customFormat="false" ht="12.75" hidden="false" customHeight="false" outlineLevel="0" collapsed="false">
      <c r="A758" s="2" t="s">
        <v>383</v>
      </c>
      <c r="B758" s="2" t="s">
        <v>35</v>
      </c>
      <c r="C758" s="2" t="s">
        <v>8</v>
      </c>
      <c r="D758" s="3" t="n">
        <v>0</v>
      </c>
      <c r="E758" s="3" t="n">
        <v>5000</v>
      </c>
      <c r="F758" s="3" t="n">
        <v>3.8325</v>
      </c>
    </row>
    <row r="759" customFormat="false" ht="12.75" hidden="false" customHeight="false" outlineLevel="0" collapsed="false">
      <c r="A759" s="2" t="s">
        <v>383</v>
      </c>
      <c r="B759" s="2" t="s">
        <v>363</v>
      </c>
      <c r="C759" s="2" t="s">
        <v>169</v>
      </c>
      <c r="D759" s="3" t="n">
        <v>0</v>
      </c>
      <c r="E759" s="3" t="n">
        <v>10000</v>
      </c>
      <c r="F759" s="3" t="n">
        <v>3.8225</v>
      </c>
    </row>
    <row r="760" customFormat="false" ht="12.75" hidden="false" customHeight="false" outlineLevel="0" collapsed="false">
      <c r="A760" s="2" t="s">
        <v>383</v>
      </c>
      <c r="B760" s="2" t="s">
        <v>30</v>
      </c>
      <c r="C760" s="2" t="s">
        <v>13</v>
      </c>
      <c r="D760" s="3" t="n">
        <v>0</v>
      </c>
      <c r="E760" s="3" t="n">
        <v>5000</v>
      </c>
      <c r="F760" s="3" t="n">
        <v>3.955</v>
      </c>
    </row>
    <row r="761" customFormat="false" ht="12.75" hidden="false" customHeight="false" outlineLevel="0" collapsed="false">
      <c r="A761" s="2" t="s">
        <v>383</v>
      </c>
      <c r="B761" s="2" t="s">
        <v>109</v>
      </c>
      <c r="C761" s="2" t="s">
        <v>22</v>
      </c>
      <c r="D761" s="3" t="n">
        <v>0</v>
      </c>
      <c r="E761" s="3" t="n">
        <v>5000</v>
      </c>
      <c r="F761" s="3" t="n">
        <v>4.33</v>
      </c>
    </row>
    <row r="762" customFormat="false" ht="12.75" hidden="false" customHeight="false" outlineLevel="0" collapsed="false">
      <c r="A762" s="2" t="s">
        <v>383</v>
      </c>
      <c r="B762" s="2" t="s">
        <v>109</v>
      </c>
      <c r="C762" s="2" t="s">
        <v>22</v>
      </c>
      <c r="D762" s="3" t="n">
        <v>0</v>
      </c>
      <c r="E762" s="3" t="n">
        <v>5000</v>
      </c>
      <c r="F762" s="3" t="n">
        <v>4.335</v>
      </c>
    </row>
    <row r="763" customFormat="false" ht="12.75" hidden="false" customHeight="false" outlineLevel="0" collapsed="false">
      <c r="A763" s="2" t="s">
        <v>384</v>
      </c>
      <c r="B763" s="2" t="s">
        <v>46</v>
      </c>
      <c r="C763" s="2" t="s">
        <v>8</v>
      </c>
      <c r="D763" s="3" t="n">
        <v>0</v>
      </c>
      <c r="E763" s="3" t="n">
        <v>5000</v>
      </c>
      <c r="F763" s="3" t="n">
        <v>3.8325</v>
      </c>
    </row>
    <row r="764" customFormat="false" ht="12.75" hidden="false" customHeight="false" outlineLevel="0" collapsed="false">
      <c r="A764" s="2" t="s">
        <v>384</v>
      </c>
      <c r="B764" s="2" t="s">
        <v>168</v>
      </c>
      <c r="C764" s="2" t="s">
        <v>8</v>
      </c>
      <c r="D764" s="3" t="n">
        <v>5000</v>
      </c>
      <c r="E764" s="3" t="n">
        <v>0</v>
      </c>
      <c r="F764" s="3" t="n">
        <v>3.83</v>
      </c>
    </row>
    <row r="765" customFormat="false" ht="12.75" hidden="false" customHeight="false" outlineLevel="0" collapsed="false">
      <c r="A765" s="2" t="s">
        <v>384</v>
      </c>
      <c r="B765" s="2" t="s">
        <v>109</v>
      </c>
      <c r="C765" s="2" t="s">
        <v>8</v>
      </c>
      <c r="D765" s="3" t="n">
        <v>0</v>
      </c>
      <c r="E765" s="3" t="n">
        <v>20000</v>
      </c>
      <c r="F765" s="3" t="n">
        <v>3.835</v>
      </c>
    </row>
    <row r="766" customFormat="false" ht="12.75" hidden="false" customHeight="false" outlineLevel="0" collapsed="false">
      <c r="A766" s="2" t="s">
        <v>384</v>
      </c>
      <c r="B766" s="2" t="s">
        <v>201</v>
      </c>
      <c r="C766" s="2" t="s">
        <v>8</v>
      </c>
      <c r="D766" s="3" t="n">
        <v>10000</v>
      </c>
      <c r="E766" s="3" t="n">
        <v>0</v>
      </c>
      <c r="F766" s="3" t="n">
        <v>3.8325</v>
      </c>
    </row>
    <row r="767" customFormat="false" ht="12.75" hidden="false" customHeight="false" outlineLevel="0" collapsed="false">
      <c r="A767" s="2" t="s">
        <v>384</v>
      </c>
      <c r="B767" s="2" t="s">
        <v>201</v>
      </c>
      <c r="C767" s="2" t="s">
        <v>8</v>
      </c>
      <c r="D767" s="3" t="n">
        <v>15000</v>
      </c>
      <c r="E767" s="3" t="n">
        <v>0</v>
      </c>
      <c r="F767" s="3" t="n">
        <v>3.83</v>
      </c>
    </row>
    <row r="768" customFormat="false" ht="12.75" hidden="false" customHeight="false" outlineLevel="0" collapsed="false">
      <c r="A768" s="2" t="s">
        <v>385</v>
      </c>
      <c r="B768" s="2" t="s">
        <v>70</v>
      </c>
      <c r="C768" s="2" t="s">
        <v>8</v>
      </c>
      <c r="D768" s="3" t="n">
        <v>0</v>
      </c>
      <c r="E768" s="3" t="n">
        <v>10000</v>
      </c>
      <c r="F768" s="3" t="n">
        <v>3.835</v>
      </c>
    </row>
    <row r="769" customFormat="false" ht="12.75" hidden="false" customHeight="false" outlineLevel="0" collapsed="false">
      <c r="A769" s="2" t="s">
        <v>385</v>
      </c>
      <c r="B769" s="2" t="s">
        <v>26</v>
      </c>
      <c r="C769" s="2" t="s">
        <v>8</v>
      </c>
      <c r="D769" s="3" t="n">
        <v>10000</v>
      </c>
      <c r="E769" s="3" t="n">
        <v>0</v>
      </c>
      <c r="F769" s="3" t="n">
        <v>3.83</v>
      </c>
    </row>
    <row r="770" customFormat="false" ht="12.75" hidden="false" customHeight="false" outlineLevel="0" collapsed="false">
      <c r="A770" s="2" t="s">
        <v>385</v>
      </c>
      <c r="B770" s="2" t="s">
        <v>386</v>
      </c>
      <c r="C770" s="2" t="s">
        <v>8</v>
      </c>
      <c r="D770" s="3" t="n">
        <v>0</v>
      </c>
      <c r="E770" s="3" t="n">
        <v>10000</v>
      </c>
      <c r="F770" s="3" t="n">
        <v>3.835</v>
      </c>
    </row>
    <row r="771" customFormat="false" ht="12.75" hidden="false" customHeight="false" outlineLevel="0" collapsed="false">
      <c r="A771" s="2" t="s">
        <v>387</v>
      </c>
      <c r="B771" s="2" t="s">
        <v>100</v>
      </c>
      <c r="C771" s="2" t="s">
        <v>13</v>
      </c>
      <c r="D771" s="3" t="n">
        <v>5000</v>
      </c>
      <c r="E771" s="3" t="n">
        <v>0</v>
      </c>
      <c r="F771" s="3" t="n">
        <v>3.94</v>
      </c>
    </row>
    <row r="772" customFormat="false" ht="12.75" hidden="false" customHeight="false" outlineLevel="0" collapsed="false">
      <c r="A772" s="2" t="s">
        <v>387</v>
      </c>
      <c r="B772" s="2" t="s">
        <v>30</v>
      </c>
      <c r="C772" s="2" t="s">
        <v>8</v>
      </c>
      <c r="D772" s="3" t="n">
        <v>10000</v>
      </c>
      <c r="E772" s="3" t="n">
        <v>0</v>
      </c>
      <c r="F772" s="3" t="n">
        <v>3.83</v>
      </c>
    </row>
    <row r="773" customFormat="false" ht="12.75" hidden="false" customHeight="false" outlineLevel="0" collapsed="false">
      <c r="A773" s="2" t="s">
        <v>387</v>
      </c>
      <c r="B773" s="2" t="s">
        <v>305</v>
      </c>
      <c r="C773" s="2" t="s">
        <v>65</v>
      </c>
      <c r="D773" s="3" t="n">
        <v>5000</v>
      </c>
      <c r="E773" s="3" t="n">
        <v>0</v>
      </c>
      <c r="F773" s="3" t="n">
        <v>3.97</v>
      </c>
    </row>
    <row r="774" customFormat="false" ht="12.75" hidden="false" customHeight="false" outlineLevel="0" collapsed="false">
      <c r="A774" s="2" t="s">
        <v>387</v>
      </c>
      <c r="B774" s="2" t="s">
        <v>83</v>
      </c>
      <c r="C774" s="2" t="s">
        <v>8</v>
      </c>
      <c r="D774" s="3" t="n">
        <v>0</v>
      </c>
      <c r="E774" s="3" t="n">
        <v>20000</v>
      </c>
      <c r="F774" s="3" t="n">
        <v>3.835</v>
      </c>
    </row>
    <row r="775" customFormat="false" ht="12.75" hidden="false" customHeight="false" outlineLevel="0" collapsed="false">
      <c r="A775" s="2" t="s">
        <v>388</v>
      </c>
      <c r="B775" s="2" t="s">
        <v>230</v>
      </c>
      <c r="C775" s="2" t="s">
        <v>8</v>
      </c>
      <c r="D775" s="3" t="n">
        <v>0</v>
      </c>
      <c r="E775" s="3" t="n">
        <v>10000</v>
      </c>
      <c r="F775" s="3" t="n">
        <v>3.835</v>
      </c>
    </row>
    <row r="776" customFormat="false" ht="12.75" hidden="false" customHeight="false" outlineLevel="0" collapsed="false">
      <c r="A776" s="2" t="s">
        <v>388</v>
      </c>
      <c r="B776" s="2" t="s">
        <v>98</v>
      </c>
      <c r="C776" s="2" t="s">
        <v>8</v>
      </c>
      <c r="D776" s="3" t="n">
        <v>20000</v>
      </c>
      <c r="E776" s="3" t="n">
        <v>0</v>
      </c>
      <c r="F776" s="3" t="n">
        <v>3.825</v>
      </c>
    </row>
    <row r="777" customFormat="false" ht="12.75" hidden="false" customHeight="false" outlineLevel="0" collapsed="false">
      <c r="A777" s="2" t="s">
        <v>388</v>
      </c>
      <c r="B777" s="2" t="s">
        <v>39</v>
      </c>
      <c r="C777" s="2" t="s">
        <v>8</v>
      </c>
      <c r="D777" s="3" t="n">
        <v>10000</v>
      </c>
      <c r="E777" s="3" t="n">
        <v>0</v>
      </c>
      <c r="F777" s="3" t="n">
        <v>3.83</v>
      </c>
    </row>
    <row r="778" customFormat="false" ht="12.75" hidden="false" customHeight="false" outlineLevel="0" collapsed="false">
      <c r="A778" s="2" t="s">
        <v>388</v>
      </c>
      <c r="B778" s="2" t="s">
        <v>389</v>
      </c>
      <c r="C778" s="2" t="s">
        <v>13</v>
      </c>
      <c r="D778" s="3" t="n">
        <v>5000</v>
      </c>
      <c r="E778" s="3" t="n">
        <v>0</v>
      </c>
      <c r="F778" s="3" t="n">
        <v>3.935</v>
      </c>
    </row>
    <row r="779" customFormat="false" ht="12.75" hidden="false" customHeight="false" outlineLevel="0" collapsed="false">
      <c r="A779" s="2" t="s">
        <v>388</v>
      </c>
      <c r="B779" s="2" t="s">
        <v>59</v>
      </c>
      <c r="C779" s="2" t="s">
        <v>8</v>
      </c>
      <c r="D779" s="3" t="n">
        <v>20000</v>
      </c>
      <c r="E779" s="3" t="n">
        <v>0</v>
      </c>
      <c r="F779" s="3" t="n">
        <v>3.82</v>
      </c>
    </row>
    <row r="780" customFormat="false" ht="12.75" hidden="false" customHeight="false" outlineLevel="0" collapsed="false">
      <c r="A780" s="2" t="s">
        <v>388</v>
      </c>
      <c r="B780" s="2" t="s">
        <v>17</v>
      </c>
      <c r="C780" s="2" t="s">
        <v>8</v>
      </c>
      <c r="D780" s="3" t="n">
        <v>5000</v>
      </c>
      <c r="E780" s="3" t="n">
        <v>0</v>
      </c>
      <c r="F780" s="3" t="n">
        <v>3.83</v>
      </c>
    </row>
    <row r="781" customFormat="false" ht="12.75" hidden="false" customHeight="false" outlineLevel="0" collapsed="false">
      <c r="A781" s="2" t="s">
        <v>390</v>
      </c>
      <c r="B781" s="2" t="s">
        <v>86</v>
      </c>
      <c r="C781" s="2" t="s">
        <v>8</v>
      </c>
      <c r="D781" s="3" t="n">
        <v>0</v>
      </c>
      <c r="E781" s="3" t="n">
        <v>10000</v>
      </c>
      <c r="F781" s="3" t="n">
        <v>3.825</v>
      </c>
    </row>
    <row r="782" customFormat="false" ht="12.75" hidden="false" customHeight="false" outlineLevel="0" collapsed="false">
      <c r="A782" s="2" t="s">
        <v>390</v>
      </c>
      <c r="B782" s="2" t="s">
        <v>312</v>
      </c>
      <c r="C782" s="2" t="s">
        <v>8</v>
      </c>
      <c r="D782" s="3" t="n">
        <v>2500</v>
      </c>
      <c r="E782" s="3" t="n">
        <v>0</v>
      </c>
      <c r="F782" s="3" t="n">
        <v>3.815</v>
      </c>
    </row>
    <row r="783" customFormat="false" ht="12.75" hidden="false" customHeight="false" outlineLevel="0" collapsed="false">
      <c r="A783" s="2" t="s">
        <v>390</v>
      </c>
      <c r="B783" s="2" t="s">
        <v>83</v>
      </c>
      <c r="C783" s="2" t="s">
        <v>8</v>
      </c>
      <c r="D783" s="3" t="n">
        <v>0</v>
      </c>
      <c r="E783" s="3" t="n">
        <v>20000</v>
      </c>
      <c r="F783" s="3" t="n">
        <v>3.83</v>
      </c>
    </row>
    <row r="784" customFormat="false" ht="12.75" hidden="false" customHeight="false" outlineLevel="0" collapsed="false">
      <c r="A784" s="2" t="s">
        <v>391</v>
      </c>
      <c r="B784" s="2" t="s">
        <v>88</v>
      </c>
      <c r="C784" s="2" t="s">
        <v>22</v>
      </c>
      <c r="D784" s="3" t="n">
        <v>0</v>
      </c>
      <c r="E784" s="3" t="n">
        <v>5000</v>
      </c>
      <c r="F784" s="3" t="n">
        <v>4.335</v>
      </c>
    </row>
    <row r="785" customFormat="false" ht="12.75" hidden="false" customHeight="false" outlineLevel="0" collapsed="false">
      <c r="A785" s="2" t="s">
        <v>391</v>
      </c>
      <c r="B785" s="2" t="s">
        <v>218</v>
      </c>
      <c r="C785" s="2" t="s">
        <v>8</v>
      </c>
      <c r="D785" s="3" t="n">
        <v>10000</v>
      </c>
      <c r="E785" s="3" t="n">
        <v>0</v>
      </c>
      <c r="F785" s="3" t="n">
        <v>3.83</v>
      </c>
    </row>
    <row r="786" customFormat="false" ht="12.75" hidden="false" customHeight="false" outlineLevel="0" collapsed="false">
      <c r="A786" s="2" t="s">
        <v>391</v>
      </c>
      <c r="B786" s="2" t="s">
        <v>42</v>
      </c>
      <c r="C786" s="2" t="s">
        <v>8</v>
      </c>
      <c r="D786" s="3" t="n">
        <v>0</v>
      </c>
      <c r="E786" s="3" t="n">
        <v>20000</v>
      </c>
      <c r="F786" s="3" t="n">
        <v>3.835</v>
      </c>
    </row>
    <row r="787" customFormat="false" ht="12.75" hidden="false" customHeight="false" outlineLevel="0" collapsed="false">
      <c r="A787" s="2" t="s">
        <v>392</v>
      </c>
      <c r="B787" s="2" t="s">
        <v>15</v>
      </c>
      <c r="C787" s="2" t="s">
        <v>8</v>
      </c>
      <c r="D787" s="3" t="n">
        <v>2500</v>
      </c>
      <c r="E787" s="3" t="n">
        <v>0</v>
      </c>
      <c r="F787" s="3" t="n">
        <v>3.835</v>
      </c>
    </row>
    <row r="788" customFormat="false" ht="12.75" hidden="false" customHeight="false" outlineLevel="0" collapsed="false">
      <c r="A788" s="2" t="s">
        <v>392</v>
      </c>
      <c r="B788" s="2" t="s">
        <v>20</v>
      </c>
      <c r="C788" s="2" t="s">
        <v>8</v>
      </c>
      <c r="D788" s="3" t="n">
        <v>0</v>
      </c>
      <c r="E788" s="3" t="n">
        <v>20000</v>
      </c>
      <c r="F788" s="3" t="n">
        <v>3.84</v>
      </c>
    </row>
    <row r="789" customFormat="false" ht="12.75" hidden="false" customHeight="false" outlineLevel="0" collapsed="false">
      <c r="A789" s="2" t="s">
        <v>392</v>
      </c>
      <c r="B789" s="2" t="s">
        <v>116</v>
      </c>
      <c r="C789" s="2" t="s">
        <v>8</v>
      </c>
      <c r="D789" s="3" t="n">
        <v>5000</v>
      </c>
      <c r="E789" s="3" t="n">
        <v>0</v>
      </c>
      <c r="F789" s="3" t="n">
        <v>3.83</v>
      </c>
    </row>
    <row r="790" customFormat="false" ht="12.75" hidden="false" customHeight="false" outlineLevel="0" collapsed="false">
      <c r="A790" s="2" t="s">
        <v>392</v>
      </c>
      <c r="B790" s="2" t="s">
        <v>24</v>
      </c>
      <c r="C790" s="2" t="s">
        <v>8</v>
      </c>
      <c r="D790" s="3" t="n">
        <v>0</v>
      </c>
      <c r="E790" s="3" t="n">
        <v>15000</v>
      </c>
      <c r="F790" s="3" t="n">
        <v>3.84</v>
      </c>
    </row>
    <row r="791" customFormat="false" ht="12.75" hidden="false" customHeight="false" outlineLevel="0" collapsed="false">
      <c r="A791" s="2" t="s">
        <v>393</v>
      </c>
      <c r="B791" s="2" t="s">
        <v>85</v>
      </c>
      <c r="C791" s="2" t="s">
        <v>18</v>
      </c>
      <c r="D791" s="3" t="n">
        <v>0</v>
      </c>
      <c r="E791" s="3" t="n">
        <v>5000</v>
      </c>
      <c r="F791" s="3" t="n">
        <v>4.01</v>
      </c>
    </row>
    <row r="792" customFormat="false" ht="12.75" hidden="false" customHeight="false" outlineLevel="0" collapsed="false">
      <c r="A792" s="2" t="s">
        <v>393</v>
      </c>
      <c r="B792" s="2" t="s">
        <v>7</v>
      </c>
      <c r="C792" s="2" t="s">
        <v>8</v>
      </c>
      <c r="D792" s="3" t="n">
        <v>0</v>
      </c>
      <c r="E792" s="3" t="n">
        <v>5000</v>
      </c>
      <c r="F792" s="3" t="n">
        <v>3.85</v>
      </c>
    </row>
    <row r="793" customFormat="false" ht="12.75" hidden="false" customHeight="false" outlineLevel="0" collapsed="false">
      <c r="A793" s="2" t="s">
        <v>393</v>
      </c>
      <c r="B793" s="2" t="s">
        <v>30</v>
      </c>
      <c r="C793" s="2" t="s">
        <v>8</v>
      </c>
      <c r="D793" s="3" t="n">
        <v>0</v>
      </c>
      <c r="E793" s="3" t="n">
        <v>15000</v>
      </c>
      <c r="F793" s="3" t="n">
        <v>3.85</v>
      </c>
    </row>
    <row r="794" customFormat="false" ht="12.75" hidden="false" customHeight="false" outlineLevel="0" collapsed="false">
      <c r="A794" s="2" t="s">
        <v>393</v>
      </c>
      <c r="B794" s="2" t="s">
        <v>72</v>
      </c>
      <c r="C794" s="2" t="s">
        <v>65</v>
      </c>
      <c r="D794" s="3" t="n">
        <v>7500</v>
      </c>
      <c r="E794" s="3" t="n">
        <v>0</v>
      </c>
      <c r="F794" s="3" t="n">
        <v>3.98</v>
      </c>
    </row>
    <row r="795" customFormat="false" ht="12.75" hidden="false" customHeight="false" outlineLevel="0" collapsed="false">
      <c r="A795" s="2" t="s">
        <v>393</v>
      </c>
      <c r="B795" s="2" t="s">
        <v>43</v>
      </c>
      <c r="C795" s="2" t="s">
        <v>8</v>
      </c>
      <c r="D795" s="3" t="n">
        <v>10000</v>
      </c>
      <c r="E795" s="3" t="n">
        <v>0</v>
      </c>
      <c r="F795" s="3" t="n">
        <v>3.84</v>
      </c>
    </row>
    <row r="796" customFormat="false" ht="12.75" hidden="false" customHeight="false" outlineLevel="0" collapsed="false">
      <c r="A796" s="2" t="s">
        <v>393</v>
      </c>
      <c r="B796" s="2" t="s">
        <v>24</v>
      </c>
      <c r="C796" s="2" t="s">
        <v>22</v>
      </c>
      <c r="D796" s="3" t="n">
        <v>0</v>
      </c>
      <c r="E796" s="3" t="n">
        <v>2500</v>
      </c>
      <c r="F796" s="3" t="n">
        <v>4.345</v>
      </c>
    </row>
    <row r="797" customFormat="false" ht="12.75" hidden="false" customHeight="false" outlineLevel="0" collapsed="false">
      <c r="A797" s="2" t="s">
        <v>393</v>
      </c>
      <c r="B797" s="2" t="s">
        <v>24</v>
      </c>
      <c r="C797" s="2" t="s">
        <v>13</v>
      </c>
      <c r="D797" s="3" t="n">
        <v>0</v>
      </c>
      <c r="E797" s="3" t="n">
        <v>2500</v>
      </c>
      <c r="F797" s="3" t="n">
        <v>3.96</v>
      </c>
    </row>
    <row r="798" customFormat="false" ht="12.75" hidden="false" customHeight="false" outlineLevel="0" collapsed="false">
      <c r="A798" s="2" t="s">
        <v>393</v>
      </c>
      <c r="B798" s="2" t="s">
        <v>83</v>
      </c>
      <c r="C798" s="2" t="s">
        <v>8</v>
      </c>
      <c r="D798" s="3" t="n">
        <v>0</v>
      </c>
      <c r="E798" s="3" t="n">
        <v>5000</v>
      </c>
      <c r="F798" s="3" t="n">
        <v>3.84</v>
      </c>
    </row>
    <row r="799" customFormat="false" ht="12.75" hidden="false" customHeight="false" outlineLevel="0" collapsed="false">
      <c r="A799" s="2" t="s">
        <v>393</v>
      </c>
      <c r="B799" s="2" t="s">
        <v>83</v>
      </c>
      <c r="C799" s="2" t="s">
        <v>8</v>
      </c>
      <c r="D799" s="3" t="n">
        <v>0</v>
      </c>
      <c r="E799" s="3" t="n">
        <v>20000</v>
      </c>
      <c r="F799" s="3" t="n">
        <v>3.845</v>
      </c>
    </row>
    <row r="800" customFormat="false" ht="12.75" hidden="false" customHeight="false" outlineLevel="0" collapsed="false">
      <c r="A800" s="2" t="s">
        <v>394</v>
      </c>
      <c r="B800" s="2" t="s">
        <v>98</v>
      </c>
      <c r="C800" s="2" t="s">
        <v>8</v>
      </c>
      <c r="D800" s="3" t="n">
        <v>20000</v>
      </c>
      <c r="E800" s="3" t="n">
        <v>0</v>
      </c>
      <c r="F800" s="3" t="n">
        <v>3.845</v>
      </c>
    </row>
    <row r="801" customFormat="false" ht="12.75" hidden="false" customHeight="false" outlineLevel="0" collapsed="false">
      <c r="A801" s="2" t="s">
        <v>394</v>
      </c>
      <c r="B801" s="2" t="s">
        <v>42</v>
      </c>
      <c r="C801" s="2" t="s">
        <v>8</v>
      </c>
      <c r="D801" s="3" t="n">
        <v>0</v>
      </c>
      <c r="E801" s="3" t="n">
        <v>20000</v>
      </c>
      <c r="F801" s="3" t="n">
        <v>3.85</v>
      </c>
    </row>
    <row r="802" customFormat="false" ht="12.75" hidden="false" customHeight="false" outlineLevel="0" collapsed="false">
      <c r="A802" s="2" t="s">
        <v>394</v>
      </c>
      <c r="B802" s="2" t="s">
        <v>59</v>
      </c>
      <c r="C802" s="2" t="s">
        <v>18</v>
      </c>
      <c r="D802" s="3" t="n">
        <v>0</v>
      </c>
      <c r="E802" s="3" t="n">
        <v>5000</v>
      </c>
      <c r="F802" s="3" t="n">
        <v>4.025</v>
      </c>
    </row>
    <row r="803" customFormat="false" ht="12.75" hidden="false" customHeight="false" outlineLevel="0" collapsed="false">
      <c r="A803" s="2" t="s">
        <v>394</v>
      </c>
      <c r="B803" s="2" t="s">
        <v>24</v>
      </c>
      <c r="C803" s="2" t="s">
        <v>8</v>
      </c>
      <c r="D803" s="3" t="n">
        <v>2500</v>
      </c>
      <c r="E803" s="3" t="n">
        <v>0</v>
      </c>
      <c r="F803" s="3" t="n">
        <v>3.845</v>
      </c>
    </row>
    <row r="804" customFormat="false" ht="12.75" hidden="false" customHeight="false" outlineLevel="0" collapsed="false">
      <c r="A804" s="2" t="s">
        <v>395</v>
      </c>
      <c r="B804" s="2" t="s">
        <v>26</v>
      </c>
      <c r="C804" s="2" t="s">
        <v>8</v>
      </c>
      <c r="D804" s="3" t="n">
        <v>10000</v>
      </c>
      <c r="E804" s="3" t="n">
        <v>0</v>
      </c>
      <c r="F804" s="3" t="n">
        <v>3.845</v>
      </c>
    </row>
    <row r="805" customFormat="false" ht="12.75" hidden="false" customHeight="false" outlineLevel="0" collapsed="false">
      <c r="A805" s="2" t="s">
        <v>395</v>
      </c>
      <c r="B805" s="2" t="s">
        <v>86</v>
      </c>
      <c r="C805" s="2" t="s">
        <v>8</v>
      </c>
      <c r="D805" s="3" t="n">
        <v>0</v>
      </c>
      <c r="E805" s="3" t="n">
        <v>20000</v>
      </c>
      <c r="F805" s="3" t="n">
        <v>3.85</v>
      </c>
    </row>
    <row r="806" customFormat="false" ht="12.75" hidden="false" customHeight="false" outlineLevel="0" collapsed="false">
      <c r="A806" s="2" t="s">
        <v>395</v>
      </c>
      <c r="B806" s="2" t="s">
        <v>37</v>
      </c>
      <c r="C806" s="2" t="s">
        <v>8</v>
      </c>
      <c r="D806" s="3" t="n">
        <v>0</v>
      </c>
      <c r="E806" s="3" t="n">
        <v>10000</v>
      </c>
      <c r="F806" s="3" t="n">
        <v>3.85</v>
      </c>
    </row>
    <row r="807" customFormat="false" ht="12.75" hidden="false" customHeight="false" outlineLevel="0" collapsed="false">
      <c r="A807" s="2" t="s">
        <v>395</v>
      </c>
      <c r="B807" s="2" t="s">
        <v>98</v>
      </c>
      <c r="C807" s="2" t="s">
        <v>8</v>
      </c>
      <c r="D807" s="3" t="n">
        <v>10000</v>
      </c>
      <c r="E807" s="3" t="n">
        <v>0</v>
      </c>
      <c r="F807" s="3" t="n">
        <v>3.845</v>
      </c>
    </row>
    <row r="808" customFormat="false" ht="12.75" hidden="false" customHeight="false" outlineLevel="0" collapsed="false">
      <c r="A808" s="2" t="s">
        <v>395</v>
      </c>
      <c r="B808" s="2" t="s">
        <v>114</v>
      </c>
      <c r="C808" s="2" t="s">
        <v>8</v>
      </c>
      <c r="D808" s="3" t="n">
        <v>10000</v>
      </c>
      <c r="E808" s="3" t="n">
        <v>0</v>
      </c>
      <c r="F808" s="3" t="n">
        <v>3.845</v>
      </c>
    </row>
    <row r="809" customFormat="false" ht="12.75" hidden="false" customHeight="false" outlineLevel="0" collapsed="false">
      <c r="A809" s="2" t="s">
        <v>395</v>
      </c>
      <c r="B809" s="2" t="s">
        <v>72</v>
      </c>
      <c r="C809" s="2" t="s">
        <v>65</v>
      </c>
      <c r="D809" s="3" t="n">
        <v>0</v>
      </c>
      <c r="E809" s="3" t="n">
        <v>17500</v>
      </c>
      <c r="F809" s="3" t="n">
        <v>3.9925</v>
      </c>
    </row>
    <row r="810" customFormat="false" ht="12.75" hidden="false" customHeight="false" outlineLevel="0" collapsed="false">
      <c r="A810" s="2" t="s">
        <v>395</v>
      </c>
      <c r="B810" s="2" t="s">
        <v>72</v>
      </c>
      <c r="C810" s="2" t="s">
        <v>65</v>
      </c>
      <c r="D810" s="3" t="n">
        <v>0</v>
      </c>
      <c r="E810" s="3" t="n">
        <v>17500</v>
      </c>
      <c r="F810" s="3" t="n">
        <v>3.9925</v>
      </c>
    </row>
    <row r="811" customFormat="false" ht="12.75" hidden="false" customHeight="false" outlineLevel="0" collapsed="false">
      <c r="A811" s="2" t="s">
        <v>395</v>
      </c>
      <c r="B811" s="2" t="s">
        <v>72</v>
      </c>
      <c r="C811" s="2" t="s">
        <v>8</v>
      </c>
      <c r="D811" s="3" t="n">
        <v>10000</v>
      </c>
      <c r="E811" s="3" t="n">
        <v>0</v>
      </c>
      <c r="F811" s="3" t="n">
        <v>3.84</v>
      </c>
    </row>
    <row r="812" customFormat="false" ht="12.75" hidden="false" customHeight="false" outlineLevel="0" collapsed="false">
      <c r="A812" s="2" t="s">
        <v>395</v>
      </c>
      <c r="B812" s="2" t="s">
        <v>94</v>
      </c>
      <c r="C812" s="2" t="s">
        <v>32</v>
      </c>
      <c r="D812" s="3" t="n">
        <v>0</v>
      </c>
      <c r="E812" s="3" t="n">
        <v>2500</v>
      </c>
      <c r="F812" s="3" t="n">
        <v>3.945</v>
      </c>
    </row>
    <row r="813" customFormat="false" ht="12.75" hidden="false" customHeight="false" outlineLevel="0" collapsed="false">
      <c r="A813" s="2" t="s">
        <v>395</v>
      </c>
      <c r="B813" s="2" t="s">
        <v>12</v>
      </c>
      <c r="C813" s="2" t="s">
        <v>13</v>
      </c>
      <c r="D813" s="3" t="n">
        <v>5000</v>
      </c>
      <c r="E813" s="3" t="n">
        <v>0</v>
      </c>
      <c r="F813" s="3" t="n">
        <v>3.945</v>
      </c>
    </row>
    <row r="814" customFormat="false" ht="12.75" hidden="false" customHeight="false" outlineLevel="0" collapsed="false">
      <c r="A814" s="2" t="s">
        <v>396</v>
      </c>
      <c r="B814" s="2" t="s">
        <v>100</v>
      </c>
      <c r="C814" s="2" t="s">
        <v>8</v>
      </c>
      <c r="D814" s="3" t="n">
        <v>10000</v>
      </c>
      <c r="E814" s="3" t="n">
        <v>0</v>
      </c>
      <c r="F814" s="3" t="n">
        <v>3.845</v>
      </c>
    </row>
    <row r="815" customFormat="false" ht="12.75" hidden="false" customHeight="false" outlineLevel="0" collapsed="false">
      <c r="A815" s="2" t="s">
        <v>396</v>
      </c>
      <c r="B815" s="2" t="s">
        <v>26</v>
      </c>
      <c r="C815" s="2" t="s">
        <v>8</v>
      </c>
      <c r="D815" s="3" t="n">
        <v>10000</v>
      </c>
      <c r="E815" s="3" t="n">
        <v>0</v>
      </c>
      <c r="F815" s="3" t="n">
        <v>3.84</v>
      </c>
    </row>
    <row r="816" customFormat="false" ht="12.75" hidden="false" customHeight="false" outlineLevel="0" collapsed="false">
      <c r="A816" s="2" t="s">
        <v>396</v>
      </c>
      <c r="B816" s="2" t="s">
        <v>35</v>
      </c>
      <c r="C816" s="2" t="s">
        <v>8</v>
      </c>
      <c r="D816" s="3" t="n">
        <v>5000</v>
      </c>
      <c r="E816" s="3" t="n">
        <v>0</v>
      </c>
      <c r="F816" s="3" t="n">
        <v>3.84</v>
      </c>
    </row>
    <row r="817" customFormat="false" ht="12.75" hidden="false" customHeight="false" outlineLevel="0" collapsed="false">
      <c r="A817" s="2" t="s">
        <v>396</v>
      </c>
      <c r="B817" s="2" t="s">
        <v>37</v>
      </c>
      <c r="C817" s="2" t="s">
        <v>8</v>
      </c>
      <c r="D817" s="3" t="n">
        <v>5000</v>
      </c>
      <c r="E817" s="3" t="n">
        <v>0</v>
      </c>
      <c r="F817" s="3" t="n">
        <v>3.84</v>
      </c>
    </row>
    <row r="818" customFormat="false" ht="12.75" hidden="false" customHeight="false" outlineLevel="0" collapsed="false">
      <c r="A818" s="2" t="s">
        <v>397</v>
      </c>
      <c r="B818" s="2" t="s">
        <v>70</v>
      </c>
      <c r="C818" s="2" t="s">
        <v>22</v>
      </c>
      <c r="D818" s="3" t="n">
        <v>5000</v>
      </c>
      <c r="E818" s="3" t="n">
        <v>0</v>
      </c>
      <c r="F818" s="3" t="n">
        <v>4.33</v>
      </c>
    </row>
    <row r="819" customFormat="false" ht="12.75" hidden="false" customHeight="false" outlineLevel="0" collapsed="false">
      <c r="A819" s="2" t="s">
        <v>397</v>
      </c>
      <c r="B819" s="2" t="s">
        <v>20</v>
      </c>
      <c r="C819" s="2" t="s">
        <v>8</v>
      </c>
      <c r="D819" s="3" t="n">
        <v>10000</v>
      </c>
      <c r="E819" s="3" t="n">
        <v>0</v>
      </c>
      <c r="F819" s="3" t="n">
        <v>3.835</v>
      </c>
    </row>
    <row r="820" customFormat="false" ht="12.75" hidden="false" customHeight="false" outlineLevel="0" collapsed="false">
      <c r="A820" s="2" t="s">
        <v>397</v>
      </c>
      <c r="B820" s="2" t="s">
        <v>97</v>
      </c>
      <c r="C820" s="2" t="s">
        <v>18</v>
      </c>
      <c r="D820" s="3" t="n">
        <v>5000</v>
      </c>
      <c r="E820" s="3" t="n">
        <v>0</v>
      </c>
      <c r="F820" s="3" t="n">
        <v>4.005</v>
      </c>
    </row>
    <row r="821" customFormat="false" ht="12.75" hidden="false" customHeight="false" outlineLevel="0" collapsed="false">
      <c r="A821" s="2" t="s">
        <v>397</v>
      </c>
      <c r="B821" s="2" t="s">
        <v>86</v>
      </c>
      <c r="C821" s="2" t="s">
        <v>8</v>
      </c>
      <c r="D821" s="3" t="n">
        <v>0</v>
      </c>
      <c r="E821" s="3" t="n">
        <v>10000</v>
      </c>
      <c r="F821" s="3" t="n">
        <v>3.84</v>
      </c>
    </row>
    <row r="822" customFormat="false" ht="12.75" hidden="false" customHeight="false" outlineLevel="0" collapsed="false">
      <c r="A822" s="2" t="s">
        <v>397</v>
      </c>
      <c r="B822" s="2" t="s">
        <v>116</v>
      </c>
      <c r="C822" s="2" t="s">
        <v>8</v>
      </c>
      <c r="D822" s="3" t="n">
        <v>10000</v>
      </c>
      <c r="E822" s="3" t="n">
        <v>0</v>
      </c>
      <c r="F822" s="3" t="n">
        <v>3.835</v>
      </c>
    </row>
    <row r="823" customFormat="false" ht="12.75" hidden="false" customHeight="false" outlineLevel="0" collapsed="false">
      <c r="A823" s="2" t="s">
        <v>397</v>
      </c>
      <c r="B823" s="2" t="s">
        <v>199</v>
      </c>
      <c r="C823" s="2" t="s">
        <v>18</v>
      </c>
      <c r="D823" s="3" t="n">
        <v>5000</v>
      </c>
      <c r="E823" s="3" t="n">
        <v>0</v>
      </c>
      <c r="F823" s="3" t="n">
        <v>4.01</v>
      </c>
    </row>
    <row r="824" customFormat="false" ht="12.75" hidden="false" customHeight="false" outlineLevel="0" collapsed="false">
      <c r="A824" s="2" t="s">
        <v>398</v>
      </c>
      <c r="B824" s="2" t="s">
        <v>86</v>
      </c>
      <c r="C824" s="2" t="s">
        <v>8</v>
      </c>
      <c r="D824" s="3" t="n">
        <v>0</v>
      </c>
      <c r="E824" s="3" t="n">
        <v>10000</v>
      </c>
      <c r="F824" s="3" t="n">
        <v>3.84</v>
      </c>
    </row>
    <row r="825" customFormat="false" ht="12.75" hidden="false" customHeight="false" outlineLevel="0" collapsed="false">
      <c r="A825" s="2" t="s">
        <v>398</v>
      </c>
      <c r="B825" s="2" t="s">
        <v>31</v>
      </c>
      <c r="C825" s="2" t="s">
        <v>8</v>
      </c>
      <c r="D825" s="3" t="n">
        <v>10000</v>
      </c>
      <c r="E825" s="3" t="n">
        <v>0</v>
      </c>
      <c r="F825" s="3" t="n">
        <v>3.835</v>
      </c>
    </row>
    <row r="826" customFormat="false" ht="12.75" hidden="false" customHeight="false" outlineLevel="0" collapsed="false">
      <c r="A826" s="2" t="s">
        <v>398</v>
      </c>
      <c r="B826" s="2" t="s">
        <v>12</v>
      </c>
      <c r="C826" s="2" t="s">
        <v>65</v>
      </c>
      <c r="D826" s="3" t="n">
        <v>10000</v>
      </c>
      <c r="E826" s="3" t="n">
        <v>0</v>
      </c>
      <c r="F826" s="3" t="n">
        <v>3.9775</v>
      </c>
    </row>
    <row r="827" customFormat="false" ht="12.75" hidden="false" customHeight="false" outlineLevel="0" collapsed="false">
      <c r="A827" s="2" t="s">
        <v>399</v>
      </c>
      <c r="B827" s="2" t="s">
        <v>214</v>
      </c>
      <c r="C827" s="2" t="s">
        <v>8</v>
      </c>
      <c r="D827" s="3" t="n">
        <v>0</v>
      </c>
      <c r="E827" s="3" t="n">
        <v>2500</v>
      </c>
      <c r="F827" s="3" t="n">
        <v>3.84</v>
      </c>
    </row>
    <row r="828" customFormat="false" ht="12.75" hidden="false" customHeight="false" outlineLevel="0" collapsed="false">
      <c r="A828" s="2" t="s">
        <v>399</v>
      </c>
      <c r="B828" s="2" t="s">
        <v>42</v>
      </c>
      <c r="C828" s="2" t="s">
        <v>8</v>
      </c>
      <c r="D828" s="3" t="n">
        <v>0</v>
      </c>
      <c r="E828" s="3" t="n">
        <v>20000</v>
      </c>
      <c r="F828" s="3" t="n">
        <v>3.84</v>
      </c>
    </row>
    <row r="829" customFormat="false" ht="12.75" hidden="false" customHeight="false" outlineLevel="0" collapsed="false">
      <c r="A829" s="2" t="s">
        <v>399</v>
      </c>
      <c r="B829" s="2" t="s">
        <v>12</v>
      </c>
      <c r="C829" s="2" t="s">
        <v>65</v>
      </c>
      <c r="D829" s="3" t="n">
        <v>10000</v>
      </c>
      <c r="E829" s="3" t="n">
        <v>0</v>
      </c>
      <c r="F829" s="3" t="n">
        <v>3.9775</v>
      </c>
    </row>
    <row r="830" customFormat="false" ht="12.75" hidden="false" customHeight="false" outlineLevel="0" collapsed="false">
      <c r="A830" s="2" t="s">
        <v>400</v>
      </c>
      <c r="B830" s="2" t="s">
        <v>363</v>
      </c>
      <c r="C830" s="2" t="s">
        <v>169</v>
      </c>
      <c r="D830" s="3" t="n">
        <v>10000</v>
      </c>
      <c r="E830" s="3" t="n">
        <v>0</v>
      </c>
      <c r="F830" s="3" t="n">
        <v>3.8225</v>
      </c>
    </row>
    <row r="831" customFormat="false" ht="12.75" hidden="false" customHeight="false" outlineLevel="0" collapsed="false">
      <c r="A831" s="2" t="s">
        <v>400</v>
      </c>
      <c r="B831" s="2" t="s">
        <v>201</v>
      </c>
      <c r="C831" s="2" t="s">
        <v>18</v>
      </c>
      <c r="D831" s="3" t="n">
        <v>5000</v>
      </c>
      <c r="E831" s="3" t="n">
        <v>0</v>
      </c>
      <c r="F831" s="3" t="n">
        <v>4</v>
      </c>
    </row>
    <row r="832" customFormat="false" ht="12.75" hidden="false" customHeight="false" outlineLevel="0" collapsed="false">
      <c r="A832" s="2" t="s">
        <v>401</v>
      </c>
      <c r="B832" s="2" t="s">
        <v>12</v>
      </c>
      <c r="C832" s="2" t="s">
        <v>65</v>
      </c>
      <c r="D832" s="3" t="n">
        <v>10000</v>
      </c>
      <c r="E832" s="3" t="n">
        <v>0</v>
      </c>
      <c r="F832" s="3" t="n">
        <v>3.9725</v>
      </c>
    </row>
    <row r="833" customFormat="false" ht="12.75" hidden="false" customHeight="false" outlineLevel="0" collapsed="false">
      <c r="A833" s="2" t="s">
        <v>402</v>
      </c>
      <c r="B833" s="2" t="s">
        <v>7</v>
      </c>
      <c r="C833" s="2" t="s">
        <v>8</v>
      </c>
      <c r="D833" s="3" t="n">
        <v>0</v>
      </c>
      <c r="E833" s="3" t="n">
        <v>17500</v>
      </c>
      <c r="F833" s="3" t="n">
        <v>3.83</v>
      </c>
    </row>
    <row r="834" customFormat="false" ht="12.75" hidden="false" customHeight="false" outlineLevel="0" collapsed="false">
      <c r="A834" s="2" t="s">
        <v>402</v>
      </c>
      <c r="B834" s="2" t="s">
        <v>191</v>
      </c>
      <c r="C834" s="2" t="s">
        <v>22</v>
      </c>
      <c r="D834" s="3" t="n">
        <v>5000</v>
      </c>
      <c r="E834" s="3" t="n">
        <v>0</v>
      </c>
      <c r="F834" s="3" t="n">
        <v>4.32</v>
      </c>
    </row>
    <row r="835" customFormat="false" ht="12.75" hidden="false" customHeight="false" outlineLevel="0" collapsed="false">
      <c r="A835" s="2" t="s">
        <v>402</v>
      </c>
      <c r="B835" s="2" t="s">
        <v>363</v>
      </c>
      <c r="C835" s="2" t="s">
        <v>169</v>
      </c>
      <c r="D835" s="3" t="n">
        <v>10000</v>
      </c>
      <c r="E835" s="3" t="n">
        <v>0</v>
      </c>
      <c r="F835" s="3" t="n">
        <v>3.8175</v>
      </c>
    </row>
    <row r="836" customFormat="false" ht="12.75" hidden="false" customHeight="false" outlineLevel="0" collapsed="false">
      <c r="A836" s="2" t="s">
        <v>402</v>
      </c>
      <c r="B836" s="2" t="s">
        <v>59</v>
      </c>
      <c r="C836" s="2" t="s">
        <v>8</v>
      </c>
      <c r="D836" s="3" t="n">
        <v>10000</v>
      </c>
      <c r="E836" s="3" t="n">
        <v>0</v>
      </c>
      <c r="F836" s="3" t="n">
        <v>3.825</v>
      </c>
    </row>
    <row r="837" customFormat="false" ht="12.75" hidden="false" customHeight="false" outlineLevel="0" collapsed="false">
      <c r="A837" s="2" t="s">
        <v>403</v>
      </c>
      <c r="B837" s="2" t="s">
        <v>72</v>
      </c>
      <c r="C837" s="2" t="s">
        <v>8</v>
      </c>
      <c r="D837" s="3" t="n">
        <v>0</v>
      </c>
      <c r="E837" s="3" t="n">
        <v>7500</v>
      </c>
      <c r="F837" s="3" t="n">
        <v>3.83</v>
      </c>
    </row>
    <row r="838" customFormat="false" ht="12.75" hidden="false" customHeight="false" outlineLevel="0" collapsed="false">
      <c r="A838" s="2" t="s">
        <v>403</v>
      </c>
      <c r="B838" s="2" t="s">
        <v>201</v>
      </c>
      <c r="C838" s="2" t="s">
        <v>8</v>
      </c>
      <c r="D838" s="3" t="n">
        <v>20000</v>
      </c>
      <c r="E838" s="3" t="n">
        <v>0</v>
      </c>
      <c r="F838" s="3" t="n">
        <v>3.825</v>
      </c>
    </row>
    <row r="839" customFormat="false" ht="12.75" hidden="false" customHeight="false" outlineLevel="0" collapsed="false">
      <c r="A839" s="2" t="s">
        <v>404</v>
      </c>
      <c r="B839" s="2" t="s">
        <v>37</v>
      </c>
      <c r="C839" s="2" t="s">
        <v>8</v>
      </c>
      <c r="D839" s="3" t="n">
        <v>0</v>
      </c>
      <c r="E839" s="3" t="n">
        <v>12500</v>
      </c>
      <c r="F839" s="3" t="n">
        <v>3.83</v>
      </c>
    </row>
    <row r="840" customFormat="false" ht="12.75" hidden="false" customHeight="false" outlineLevel="0" collapsed="false">
      <c r="A840" s="2" t="s">
        <v>405</v>
      </c>
      <c r="B840" s="2" t="s">
        <v>26</v>
      </c>
      <c r="C840" s="2" t="s">
        <v>18</v>
      </c>
      <c r="D840" s="3" t="n">
        <v>5000</v>
      </c>
      <c r="E840" s="3" t="n">
        <v>0</v>
      </c>
      <c r="F840" s="3" t="n">
        <v>3.99</v>
      </c>
    </row>
    <row r="841" customFormat="false" ht="12.75" hidden="false" customHeight="false" outlineLevel="0" collapsed="false">
      <c r="A841" s="2" t="s">
        <v>405</v>
      </c>
      <c r="B841" s="2" t="s">
        <v>12</v>
      </c>
      <c r="C841" s="2" t="s">
        <v>65</v>
      </c>
      <c r="D841" s="3" t="n">
        <v>20000</v>
      </c>
      <c r="E841" s="3" t="n">
        <v>0</v>
      </c>
      <c r="F841" s="3" t="n">
        <v>3.9675</v>
      </c>
    </row>
    <row r="842" customFormat="false" ht="12.75" hidden="false" customHeight="false" outlineLevel="0" collapsed="false">
      <c r="A842" s="2" t="s">
        <v>406</v>
      </c>
      <c r="B842" s="2" t="s">
        <v>160</v>
      </c>
      <c r="C842" s="2" t="s">
        <v>8</v>
      </c>
      <c r="D842" s="3" t="n">
        <v>2500</v>
      </c>
      <c r="E842" s="3" t="n">
        <v>0</v>
      </c>
      <c r="F842" s="3" t="n">
        <v>3.825</v>
      </c>
    </row>
    <row r="843" customFormat="false" ht="12.75" hidden="false" customHeight="false" outlineLevel="0" collapsed="false">
      <c r="A843" s="2" t="s">
        <v>406</v>
      </c>
      <c r="B843" s="2" t="s">
        <v>37</v>
      </c>
      <c r="C843" s="2" t="s">
        <v>8</v>
      </c>
      <c r="D843" s="3" t="n">
        <v>0</v>
      </c>
      <c r="E843" s="3" t="n">
        <v>20000</v>
      </c>
      <c r="F843" s="3" t="n">
        <v>3.83</v>
      </c>
    </row>
    <row r="844" customFormat="false" ht="12.75" hidden="false" customHeight="false" outlineLevel="0" collapsed="false">
      <c r="A844" s="2" t="s">
        <v>406</v>
      </c>
      <c r="B844" s="2" t="s">
        <v>24</v>
      </c>
      <c r="C844" s="2" t="s">
        <v>8</v>
      </c>
      <c r="D844" s="3" t="n">
        <v>0</v>
      </c>
      <c r="E844" s="3" t="n">
        <v>2500</v>
      </c>
      <c r="F844" s="3" t="n">
        <v>3.835</v>
      </c>
    </row>
    <row r="845" customFormat="false" ht="12.75" hidden="false" customHeight="false" outlineLevel="0" collapsed="false">
      <c r="A845" s="2" t="s">
        <v>406</v>
      </c>
      <c r="B845" s="2" t="s">
        <v>12</v>
      </c>
      <c r="C845" s="2" t="s">
        <v>13</v>
      </c>
      <c r="D845" s="3" t="n">
        <v>0</v>
      </c>
      <c r="E845" s="3" t="n">
        <v>5000</v>
      </c>
      <c r="F845" s="3" t="n">
        <v>3.94</v>
      </c>
    </row>
    <row r="846" customFormat="false" ht="12.75" hidden="false" customHeight="false" outlineLevel="0" collapsed="false">
      <c r="A846" s="2" t="s">
        <v>407</v>
      </c>
      <c r="B846" s="2" t="s">
        <v>86</v>
      </c>
      <c r="C846" s="2" t="s">
        <v>22</v>
      </c>
      <c r="D846" s="3" t="n">
        <v>0</v>
      </c>
      <c r="E846" s="3" t="n">
        <v>2500</v>
      </c>
      <c r="F846" s="3" t="n">
        <v>4.335</v>
      </c>
    </row>
    <row r="847" customFormat="false" ht="12.75" hidden="false" customHeight="false" outlineLevel="0" collapsed="false">
      <c r="A847" s="2" t="s">
        <v>408</v>
      </c>
      <c r="B847" s="2" t="s">
        <v>7</v>
      </c>
      <c r="C847" s="2" t="s">
        <v>8</v>
      </c>
      <c r="D847" s="3" t="n">
        <v>0</v>
      </c>
      <c r="E847" s="3" t="n">
        <v>20000</v>
      </c>
      <c r="F847" s="3" t="n">
        <v>3.84</v>
      </c>
    </row>
    <row r="848" customFormat="false" ht="12.75" hidden="false" customHeight="false" outlineLevel="0" collapsed="false">
      <c r="A848" s="2" t="s">
        <v>408</v>
      </c>
      <c r="B848" s="2" t="s">
        <v>12</v>
      </c>
      <c r="C848" s="2" t="s">
        <v>13</v>
      </c>
      <c r="D848" s="3" t="n">
        <v>0</v>
      </c>
      <c r="E848" s="3" t="n">
        <v>2500</v>
      </c>
      <c r="F848" s="3" t="n">
        <v>3.945</v>
      </c>
    </row>
    <row r="849" customFormat="false" ht="12.75" hidden="false" customHeight="false" outlineLevel="0" collapsed="false">
      <c r="A849" s="2" t="s">
        <v>408</v>
      </c>
      <c r="B849" s="2" t="s">
        <v>105</v>
      </c>
      <c r="C849" s="2" t="s">
        <v>8</v>
      </c>
      <c r="D849" s="3" t="n">
        <v>2500</v>
      </c>
      <c r="E849" s="3" t="n">
        <v>0</v>
      </c>
      <c r="F849" s="3" t="n">
        <v>3.835</v>
      </c>
    </row>
    <row r="850" customFormat="false" ht="12.75" hidden="false" customHeight="false" outlineLevel="0" collapsed="false">
      <c r="A850" s="2" t="s">
        <v>408</v>
      </c>
      <c r="B850" s="2" t="s">
        <v>409</v>
      </c>
      <c r="C850" s="2" t="s">
        <v>8</v>
      </c>
      <c r="D850" s="3" t="n">
        <v>17500</v>
      </c>
      <c r="E850" s="3" t="n">
        <v>0</v>
      </c>
      <c r="F850" s="3" t="n">
        <v>3.835</v>
      </c>
    </row>
    <row r="851" customFormat="false" ht="12.75" hidden="false" customHeight="false" outlineLevel="0" collapsed="false">
      <c r="A851" s="2" t="s">
        <v>410</v>
      </c>
      <c r="B851" s="2" t="s">
        <v>103</v>
      </c>
      <c r="C851" s="2" t="s">
        <v>22</v>
      </c>
      <c r="D851" s="3" t="n">
        <v>5000</v>
      </c>
      <c r="E851" s="3" t="n">
        <v>0</v>
      </c>
      <c r="F851" s="3" t="n">
        <v>4.33</v>
      </c>
    </row>
    <row r="852" customFormat="false" ht="12.75" hidden="false" customHeight="false" outlineLevel="0" collapsed="false">
      <c r="A852" s="2" t="s">
        <v>411</v>
      </c>
      <c r="B852" s="2" t="s">
        <v>86</v>
      </c>
      <c r="C852" s="2" t="s">
        <v>13</v>
      </c>
      <c r="D852" s="3" t="n">
        <v>2500</v>
      </c>
      <c r="E852" s="3" t="n">
        <v>0</v>
      </c>
      <c r="F852" s="3" t="n">
        <v>3.935</v>
      </c>
    </row>
    <row r="853" customFormat="false" ht="12.75" hidden="false" customHeight="false" outlineLevel="0" collapsed="false">
      <c r="A853" s="2" t="s">
        <v>411</v>
      </c>
      <c r="B853" s="2" t="s">
        <v>86</v>
      </c>
      <c r="C853" s="2" t="s">
        <v>8</v>
      </c>
      <c r="D853" s="3" t="n">
        <v>0</v>
      </c>
      <c r="E853" s="3" t="n">
        <v>10000</v>
      </c>
      <c r="F853" s="3" t="n">
        <v>3.835</v>
      </c>
    </row>
    <row r="854" customFormat="false" ht="12.75" hidden="false" customHeight="false" outlineLevel="0" collapsed="false">
      <c r="A854" s="2" t="s">
        <v>412</v>
      </c>
      <c r="B854" s="2" t="s">
        <v>268</v>
      </c>
      <c r="C854" s="2" t="s">
        <v>8</v>
      </c>
      <c r="D854" s="3" t="n">
        <v>0</v>
      </c>
      <c r="E854" s="3" t="n">
        <v>10000</v>
      </c>
      <c r="F854" s="3" t="n">
        <v>3.835</v>
      </c>
    </row>
    <row r="855" customFormat="false" ht="12.75" hidden="false" customHeight="false" outlineLevel="0" collapsed="false">
      <c r="A855" s="2" t="s">
        <v>413</v>
      </c>
      <c r="B855" s="2" t="s">
        <v>39</v>
      </c>
      <c r="C855" s="2" t="s">
        <v>32</v>
      </c>
      <c r="D855" s="3" t="n">
        <v>20000</v>
      </c>
      <c r="E855" s="3" t="n">
        <v>0</v>
      </c>
      <c r="F855" s="3" t="n">
        <v>3.925</v>
      </c>
    </row>
    <row r="856" customFormat="false" ht="12.75" hidden="false" customHeight="false" outlineLevel="0" collapsed="false">
      <c r="A856" s="2" t="s">
        <v>414</v>
      </c>
      <c r="B856" s="2" t="s">
        <v>37</v>
      </c>
      <c r="C856" s="2" t="s">
        <v>8</v>
      </c>
      <c r="D856" s="3" t="n">
        <v>0</v>
      </c>
      <c r="E856" s="3" t="n">
        <v>5000</v>
      </c>
      <c r="F856" s="3" t="n">
        <v>3.84</v>
      </c>
    </row>
    <row r="857" customFormat="false" ht="12.75" hidden="false" customHeight="false" outlineLevel="0" collapsed="false">
      <c r="A857" s="2" t="s">
        <v>414</v>
      </c>
      <c r="B857" s="2" t="s">
        <v>7</v>
      </c>
      <c r="C857" s="2" t="s">
        <v>8</v>
      </c>
      <c r="D857" s="3" t="n">
        <v>0</v>
      </c>
      <c r="E857" s="3" t="n">
        <v>20000</v>
      </c>
      <c r="F857" s="3" t="n">
        <v>3.835</v>
      </c>
    </row>
    <row r="858" customFormat="false" ht="12.75" hidden="false" customHeight="false" outlineLevel="0" collapsed="false">
      <c r="A858" s="2" t="s">
        <v>415</v>
      </c>
      <c r="B858" s="2" t="s">
        <v>268</v>
      </c>
      <c r="C858" s="2" t="s">
        <v>8</v>
      </c>
      <c r="D858" s="3" t="n">
        <v>0</v>
      </c>
      <c r="E858" s="3" t="n">
        <v>20000</v>
      </c>
      <c r="F858" s="3" t="n">
        <v>3.845</v>
      </c>
    </row>
    <row r="859" customFormat="false" ht="12.75" hidden="false" customHeight="false" outlineLevel="0" collapsed="false">
      <c r="A859" s="2" t="s">
        <v>415</v>
      </c>
      <c r="B859" s="2" t="s">
        <v>109</v>
      </c>
      <c r="C859" s="2" t="s">
        <v>22</v>
      </c>
      <c r="D859" s="3" t="n">
        <v>0</v>
      </c>
      <c r="E859" s="3" t="n">
        <v>5000</v>
      </c>
      <c r="F859" s="3" t="n">
        <v>4.345</v>
      </c>
    </row>
    <row r="860" customFormat="false" ht="12.75" hidden="false" customHeight="false" outlineLevel="0" collapsed="false">
      <c r="A860" s="2" t="s">
        <v>416</v>
      </c>
      <c r="B860" s="2" t="s">
        <v>35</v>
      </c>
      <c r="C860" s="2" t="s">
        <v>8</v>
      </c>
      <c r="D860" s="3" t="n">
        <v>0</v>
      </c>
      <c r="E860" s="3" t="n">
        <v>20000</v>
      </c>
      <c r="F860" s="3" t="n">
        <v>3.85</v>
      </c>
    </row>
    <row r="861" customFormat="false" ht="12.75" hidden="false" customHeight="false" outlineLevel="0" collapsed="false">
      <c r="A861" s="2" t="s">
        <v>416</v>
      </c>
      <c r="B861" s="2" t="s">
        <v>49</v>
      </c>
      <c r="C861" s="2" t="s">
        <v>22</v>
      </c>
      <c r="D861" s="3" t="n">
        <v>0</v>
      </c>
      <c r="E861" s="3" t="n">
        <v>5000</v>
      </c>
      <c r="F861" s="3" t="n">
        <v>4.35</v>
      </c>
    </row>
    <row r="862" customFormat="false" ht="12.75" hidden="false" customHeight="false" outlineLevel="0" collapsed="false">
      <c r="A862" s="2" t="s">
        <v>416</v>
      </c>
      <c r="B862" s="2" t="s">
        <v>312</v>
      </c>
      <c r="C862" s="2" t="s">
        <v>8</v>
      </c>
      <c r="D862" s="3" t="n">
        <v>0</v>
      </c>
      <c r="E862" s="3" t="n">
        <v>20000</v>
      </c>
      <c r="F862" s="3" t="n">
        <v>3.855</v>
      </c>
    </row>
    <row r="863" customFormat="false" ht="12.75" hidden="false" customHeight="false" outlineLevel="0" collapsed="false">
      <c r="A863" s="2" t="s">
        <v>417</v>
      </c>
      <c r="B863" s="2" t="s">
        <v>139</v>
      </c>
      <c r="C863" s="2" t="s">
        <v>8</v>
      </c>
      <c r="D863" s="3" t="n">
        <v>10000</v>
      </c>
      <c r="E863" s="3" t="n">
        <v>0</v>
      </c>
      <c r="F863" s="3" t="n">
        <v>3.85</v>
      </c>
    </row>
    <row r="864" customFormat="false" ht="12.75" hidden="false" customHeight="false" outlineLevel="0" collapsed="false">
      <c r="A864" s="2" t="s">
        <v>417</v>
      </c>
      <c r="B864" s="2" t="s">
        <v>386</v>
      </c>
      <c r="C864" s="2" t="s">
        <v>8</v>
      </c>
      <c r="D864" s="3" t="n">
        <v>0</v>
      </c>
      <c r="E864" s="3" t="n">
        <v>2500</v>
      </c>
      <c r="F864" s="3" t="n">
        <v>3.86</v>
      </c>
    </row>
    <row r="865" customFormat="false" ht="12.75" hidden="false" customHeight="false" outlineLevel="0" collapsed="false">
      <c r="A865" s="2" t="s">
        <v>417</v>
      </c>
      <c r="B865" s="2" t="s">
        <v>386</v>
      </c>
      <c r="C865" s="2" t="s">
        <v>8</v>
      </c>
      <c r="D865" s="3" t="n">
        <v>0</v>
      </c>
      <c r="E865" s="3" t="n">
        <v>2500</v>
      </c>
      <c r="F865" s="3" t="n">
        <v>3.86</v>
      </c>
    </row>
    <row r="866" customFormat="false" ht="12.75" hidden="false" customHeight="false" outlineLevel="0" collapsed="false">
      <c r="A866" s="2" t="s">
        <v>417</v>
      </c>
      <c r="B866" s="2" t="s">
        <v>176</v>
      </c>
      <c r="C866" s="2" t="s">
        <v>8</v>
      </c>
      <c r="D866" s="3" t="n">
        <v>0</v>
      </c>
      <c r="E866" s="3" t="n">
        <v>5000</v>
      </c>
      <c r="F866" s="3" t="n">
        <v>3.86</v>
      </c>
    </row>
    <row r="867" customFormat="false" ht="12.75" hidden="false" customHeight="false" outlineLevel="0" collapsed="false">
      <c r="A867" s="2" t="s">
        <v>417</v>
      </c>
      <c r="B867" s="2" t="s">
        <v>24</v>
      </c>
      <c r="C867" s="2" t="s">
        <v>13</v>
      </c>
      <c r="D867" s="3" t="n">
        <v>5000</v>
      </c>
      <c r="E867" s="3" t="n">
        <v>0</v>
      </c>
      <c r="F867" s="3" t="n">
        <v>3.955</v>
      </c>
    </row>
    <row r="868" customFormat="false" ht="12.75" hidden="false" customHeight="false" outlineLevel="0" collapsed="false">
      <c r="A868" s="2" t="s">
        <v>418</v>
      </c>
      <c r="B868" s="2" t="s">
        <v>252</v>
      </c>
      <c r="C868" s="2" t="s">
        <v>18</v>
      </c>
      <c r="D868" s="3" t="n">
        <v>0</v>
      </c>
      <c r="E868" s="3" t="n">
        <v>5000</v>
      </c>
      <c r="F868" s="3" t="n">
        <v>4.02</v>
      </c>
    </row>
    <row r="869" customFormat="false" ht="12.75" hidden="false" customHeight="false" outlineLevel="0" collapsed="false">
      <c r="A869" s="2" t="s">
        <v>418</v>
      </c>
      <c r="B869" s="2" t="s">
        <v>85</v>
      </c>
      <c r="C869" s="2" t="s">
        <v>8</v>
      </c>
      <c r="D869" s="3" t="n">
        <v>0</v>
      </c>
      <c r="E869" s="3" t="n">
        <v>20000</v>
      </c>
      <c r="F869" s="3" t="n">
        <v>3.865</v>
      </c>
    </row>
    <row r="870" customFormat="false" ht="12.75" hidden="false" customHeight="false" outlineLevel="0" collapsed="false">
      <c r="A870" s="2" t="s">
        <v>418</v>
      </c>
      <c r="B870" s="2" t="s">
        <v>86</v>
      </c>
      <c r="C870" s="2" t="s">
        <v>8</v>
      </c>
      <c r="D870" s="3" t="n">
        <v>0</v>
      </c>
      <c r="E870" s="3" t="n">
        <v>20000</v>
      </c>
      <c r="F870" s="3" t="n">
        <v>3.87</v>
      </c>
    </row>
    <row r="871" customFormat="false" ht="12.75" hidden="false" customHeight="false" outlineLevel="0" collapsed="false">
      <c r="A871" s="2" t="s">
        <v>418</v>
      </c>
      <c r="B871" s="2" t="s">
        <v>109</v>
      </c>
      <c r="C871" s="2" t="s">
        <v>8</v>
      </c>
      <c r="D871" s="3" t="n">
        <v>0</v>
      </c>
      <c r="E871" s="3" t="n">
        <v>10000</v>
      </c>
      <c r="F871" s="3" t="n">
        <v>3.86</v>
      </c>
    </row>
    <row r="872" customFormat="false" ht="12.75" hidden="false" customHeight="false" outlineLevel="0" collapsed="false">
      <c r="A872" s="2" t="s">
        <v>418</v>
      </c>
      <c r="B872" s="2" t="s">
        <v>149</v>
      </c>
      <c r="C872" s="2" t="s">
        <v>8</v>
      </c>
      <c r="D872" s="3" t="n">
        <v>5000</v>
      </c>
      <c r="E872" s="3" t="n">
        <v>0</v>
      </c>
      <c r="F872" s="3" t="n">
        <v>3.865</v>
      </c>
    </row>
    <row r="873" customFormat="false" ht="12.75" hidden="false" customHeight="false" outlineLevel="0" collapsed="false">
      <c r="A873" s="2" t="s">
        <v>418</v>
      </c>
      <c r="B873" s="2" t="s">
        <v>24</v>
      </c>
      <c r="C873" s="2" t="s">
        <v>8</v>
      </c>
      <c r="D873" s="3" t="n">
        <v>0</v>
      </c>
      <c r="E873" s="3" t="n">
        <v>10000</v>
      </c>
      <c r="F873" s="3" t="n">
        <v>3.86</v>
      </c>
    </row>
    <row r="874" customFormat="false" ht="12.75" hidden="false" customHeight="false" outlineLevel="0" collapsed="false">
      <c r="A874" s="2" t="s">
        <v>418</v>
      </c>
      <c r="B874" s="2" t="s">
        <v>55</v>
      </c>
      <c r="C874" s="2" t="s">
        <v>22</v>
      </c>
      <c r="D874" s="3" t="n">
        <v>0</v>
      </c>
      <c r="E874" s="3" t="n">
        <v>2500</v>
      </c>
      <c r="F874" s="3" t="n">
        <v>4.36</v>
      </c>
    </row>
    <row r="875" customFormat="false" ht="12.75" hidden="false" customHeight="false" outlineLevel="0" collapsed="false">
      <c r="A875" s="2" t="s">
        <v>418</v>
      </c>
      <c r="B875" s="2" t="s">
        <v>107</v>
      </c>
      <c r="C875" s="2" t="s">
        <v>8</v>
      </c>
      <c r="D875" s="3" t="n">
        <v>5000</v>
      </c>
      <c r="E875" s="3" t="n">
        <v>0</v>
      </c>
      <c r="F875" s="3" t="n">
        <v>3.865</v>
      </c>
    </row>
    <row r="876" customFormat="false" ht="12.75" hidden="false" customHeight="false" outlineLevel="0" collapsed="false">
      <c r="A876" s="2" t="s">
        <v>419</v>
      </c>
      <c r="B876" s="2" t="s">
        <v>100</v>
      </c>
      <c r="C876" s="2" t="s">
        <v>8</v>
      </c>
      <c r="D876" s="3" t="n">
        <v>0</v>
      </c>
      <c r="E876" s="3" t="n">
        <v>20000</v>
      </c>
      <c r="F876" s="3" t="n">
        <v>3.875</v>
      </c>
    </row>
    <row r="877" customFormat="false" ht="12.75" hidden="false" customHeight="false" outlineLevel="0" collapsed="false">
      <c r="A877" s="2" t="s">
        <v>419</v>
      </c>
      <c r="B877" s="2" t="s">
        <v>7</v>
      </c>
      <c r="C877" s="2" t="s">
        <v>13</v>
      </c>
      <c r="D877" s="3" t="n">
        <v>0</v>
      </c>
      <c r="E877" s="3" t="n">
        <v>2500</v>
      </c>
      <c r="F877" s="3" t="n">
        <v>3.98</v>
      </c>
    </row>
    <row r="878" customFormat="false" ht="12.75" hidden="false" customHeight="false" outlineLevel="0" collapsed="false">
      <c r="A878" s="2" t="s">
        <v>419</v>
      </c>
      <c r="B878" s="2" t="s">
        <v>7</v>
      </c>
      <c r="C878" s="2" t="s">
        <v>13</v>
      </c>
      <c r="D878" s="3" t="n">
        <v>0</v>
      </c>
      <c r="E878" s="3" t="n">
        <v>2500</v>
      </c>
      <c r="F878" s="3" t="n">
        <v>3.98</v>
      </c>
    </row>
    <row r="879" customFormat="false" ht="12.75" hidden="false" customHeight="false" outlineLevel="0" collapsed="false">
      <c r="A879" s="2" t="s">
        <v>419</v>
      </c>
      <c r="B879" s="2" t="s">
        <v>139</v>
      </c>
      <c r="C879" s="2" t="s">
        <v>8</v>
      </c>
      <c r="D879" s="3" t="n">
        <v>10000</v>
      </c>
      <c r="E879" s="3" t="n">
        <v>0</v>
      </c>
      <c r="F879" s="3" t="n">
        <v>3.87</v>
      </c>
    </row>
    <row r="880" customFormat="false" ht="12.75" hidden="false" customHeight="false" outlineLevel="0" collapsed="false">
      <c r="A880" s="2" t="s">
        <v>419</v>
      </c>
      <c r="B880" s="2" t="s">
        <v>312</v>
      </c>
      <c r="C880" s="2" t="s">
        <v>8</v>
      </c>
      <c r="D880" s="3" t="n">
        <v>10000</v>
      </c>
      <c r="E880" s="3" t="n">
        <v>0</v>
      </c>
      <c r="F880" s="3" t="n">
        <v>3.87</v>
      </c>
    </row>
    <row r="881" customFormat="false" ht="12.75" hidden="false" customHeight="false" outlineLevel="0" collapsed="false">
      <c r="A881" s="2" t="s">
        <v>419</v>
      </c>
      <c r="B881" s="2" t="s">
        <v>109</v>
      </c>
      <c r="C881" s="2" t="s">
        <v>8</v>
      </c>
      <c r="D881" s="3" t="n">
        <v>0</v>
      </c>
      <c r="E881" s="3" t="n">
        <v>20000</v>
      </c>
      <c r="F881" s="3" t="n">
        <v>3.87</v>
      </c>
    </row>
    <row r="882" customFormat="false" ht="12.75" hidden="false" customHeight="false" outlineLevel="0" collapsed="false">
      <c r="A882" s="2" t="s">
        <v>419</v>
      </c>
      <c r="B882" s="2" t="s">
        <v>176</v>
      </c>
      <c r="C882" s="2" t="s">
        <v>8</v>
      </c>
      <c r="D882" s="3" t="n">
        <v>0</v>
      </c>
      <c r="E882" s="3" t="n">
        <v>20000</v>
      </c>
      <c r="F882" s="3" t="n">
        <v>3.875</v>
      </c>
    </row>
    <row r="883" customFormat="false" ht="12.75" hidden="false" customHeight="false" outlineLevel="0" collapsed="false">
      <c r="A883" s="2" t="s">
        <v>419</v>
      </c>
      <c r="B883" s="2" t="s">
        <v>43</v>
      </c>
      <c r="C883" s="2" t="s">
        <v>8</v>
      </c>
      <c r="D883" s="3" t="n">
        <v>10000</v>
      </c>
      <c r="E883" s="3" t="n">
        <v>0</v>
      </c>
      <c r="F883" s="3" t="n">
        <v>3.87</v>
      </c>
    </row>
    <row r="884" customFormat="false" ht="12.75" hidden="false" customHeight="false" outlineLevel="0" collapsed="false">
      <c r="A884" s="2" t="s">
        <v>419</v>
      </c>
      <c r="B884" s="2" t="s">
        <v>24</v>
      </c>
      <c r="C884" s="2" t="s">
        <v>8</v>
      </c>
      <c r="D884" s="3" t="n">
        <v>0</v>
      </c>
      <c r="E884" s="3" t="n">
        <v>20000</v>
      </c>
      <c r="F884" s="3" t="n">
        <v>3.88</v>
      </c>
    </row>
    <row r="885" customFormat="false" ht="12.75" hidden="false" customHeight="false" outlineLevel="0" collapsed="false">
      <c r="A885" s="2" t="s">
        <v>419</v>
      </c>
      <c r="B885" s="2" t="s">
        <v>12</v>
      </c>
      <c r="C885" s="2" t="s">
        <v>65</v>
      </c>
      <c r="D885" s="3" t="n">
        <v>10000</v>
      </c>
      <c r="E885" s="3" t="n">
        <v>0</v>
      </c>
      <c r="F885" s="3" t="n">
        <v>4.0175</v>
      </c>
    </row>
    <row r="886" customFormat="false" ht="12.75" hidden="false" customHeight="false" outlineLevel="0" collapsed="false">
      <c r="A886" s="2" t="s">
        <v>420</v>
      </c>
      <c r="B886" s="2" t="s">
        <v>100</v>
      </c>
      <c r="C886" s="2" t="s">
        <v>8</v>
      </c>
      <c r="D886" s="3" t="n">
        <v>0</v>
      </c>
      <c r="E886" s="3" t="n">
        <v>15000</v>
      </c>
      <c r="F886" s="3" t="n">
        <v>3.88</v>
      </c>
    </row>
    <row r="887" customFormat="false" ht="12.75" hidden="false" customHeight="false" outlineLevel="0" collapsed="false">
      <c r="A887" s="2" t="s">
        <v>420</v>
      </c>
      <c r="B887" s="2" t="s">
        <v>46</v>
      </c>
      <c r="C887" s="2" t="s">
        <v>8</v>
      </c>
      <c r="D887" s="3" t="n">
        <v>5000</v>
      </c>
      <c r="E887" s="3" t="n">
        <v>0</v>
      </c>
      <c r="F887" s="3" t="n">
        <v>3.875</v>
      </c>
    </row>
    <row r="888" customFormat="false" ht="12.75" hidden="false" customHeight="false" outlineLevel="0" collapsed="false">
      <c r="A888" s="2" t="s">
        <v>420</v>
      </c>
      <c r="B888" s="2" t="s">
        <v>46</v>
      </c>
      <c r="C888" s="2" t="s">
        <v>13</v>
      </c>
      <c r="D888" s="3" t="n">
        <v>2500</v>
      </c>
      <c r="E888" s="3" t="n">
        <v>0</v>
      </c>
      <c r="F888" s="3" t="n">
        <v>3.975</v>
      </c>
    </row>
    <row r="889" customFormat="false" ht="12.75" hidden="false" customHeight="false" outlineLevel="0" collapsed="false">
      <c r="A889" s="2" t="s">
        <v>420</v>
      </c>
      <c r="B889" s="2" t="s">
        <v>15</v>
      </c>
      <c r="C889" s="2" t="s">
        <v>32</v>
      </c>
      <c r="D889" s="3" t="n">
        <v>5000</v>
      </c>
      <c r="E889" s="3" t="n">
        <v>0</v>
      </c>
      <c r="F889" s="3" t="n">
        <v>3.97</v>
      </c>
    </row>
    <row r="890" customFormat="false" ht="12.75" hidden="false" customHeight="false" outlineLevel="0" collapsed="false">
      <c r="A890" s="2" t="s">
        <v>420</v>
      </c>
      <c r="B890" s="2" t="s">
        <v>15</v>
      </c>
      <c r="C890" s="2" t="s">
        <v>32</v>
      </c>
      <c r="D890" s="3" t="n">
        <v>10000</v>
      </c>
      <c r="E890" s="3" t="n">
        <v>0</v>
      </c>
      <c r="F890" s="3" t="n">
        <v>3.97</v>
      </c>
    </row>
    <row r="891" customFormat="false" ht="12.75" hidden="false" customHeight="false" outlineLevel="0" collapsed="false">
      <c r="A891" s="2" t="s">
        <v>420</v>
      </c>
      <c r="B891" s="2" t="s">
        <v>86</v>
      </c>
      <c r="C891" s="2" t="s">
        <v>8</v>
      </c>
      <c r="D891" s="3" t="n">
        <v>0</v>
      </c>
      <c r="E891" s="3" t="n">
        <v>15000</v>
      </c>
      <c r="F891" s="3" t="n">
        <v>3.88</v>
      </c>
    </row>
    <row r="892" customFormat="false" ht="12.75" hidden="false" customHeight="false" outlineLevel="0" collapsed="false">
      <c r="A892" s="2" t="s">
        <v>420</v>
      </c>
      <c r="B892" s="2" t="s">
        <v>168</v>
      </c>
      <c r="C892" s="2" t="s">
        <v>169</v>
      </c>
      <c r="D892" s="3" t="n">
        <v>10000</v>
      </c>
      <c r="E892" s="3" t="n">
        <v>0</v>
      </c>
      <c r="F892" s="3" t="n">
        <v>3.8625</v>
      </c>
    </row>
    <row r="893" customFormat="false" ht="12.75" hidden="false" customHeight="false" outlineLevel="0" collapsed="false">
      <c r="A893" s="2" t="s">
        <v>420</v>
      </c>
      <c r="B893" s="2" t="s">
        <v>24</v>
      </c>
      <c r="C893" s="2" t="s">
        <v>8</v>
      </c>
      <c r="D893" s="3" t="n">
        <v>0</v>
      </c>
      <c r="E893" s="3" t="n">
        <v>15000</v>
      </c>
      <c r="F893" s="3" t="n">
        <v>3.88</v>
      </c>
    </row>
    <row r="894" customFormat="false" ht="12.75" hidden="false" customHeight="false" outlineLevel="0" collapsed="false">
      <c r="A894" s="2" t="s">
        <v>420</v>
      </c>
      <c r="B894" s="2" t="s">
        <v>24</v>
      </c>
      <c r="C894" s="2" t="s">
        <v>13</v>
      </c>
      <c r="D894" s="3" t="n">
        <v>0</v>
      </c>
      <c r="E894" s="3" t="n">
        <v>5000</v>
      </c>
      <c r="F894" s="3" t="n">
        <v>3.985</v>
      </c>
    </row>
    <row r="895" customFormat="false" ht="12.75" hidden="false" customHeight="false" outlineLevel="0" collapsed="false">
      <c r="A895" s="2" t="s">
        <v>421</v>
      </c>
      <c r="B895" s="2" t="s">
        <v>7</v>
      </c>
      <c r="C895" s="2" t="s">
        <v>22</v>
      </c>
      <c r="D895" s="3" t="n">
        <v>0</v>
      </c>
      <c r="E895" s="3" t="n">
        <v>2500</v>
      </c>
      <c r="F895" s="3" t="n">
        <v>4.38</v>
      </c>
    </row>
    <row r="896" customFormat="false" ht="12.75" hidden="false" customHeight="false" outlineLevel="0" collapsed="false">
      <c r="A896" s="2" t="s">
        <v>421</v>
      </c>
      <c r="B896" s="2" t="s">
        <v>7</v>
      </c>
      <c r="C896" s="2" t="s">
        <v>13</v>
      </c>
      <c r="D896" s="3" t="n">
        <v>0</v>
      </c>
      <c r="E896" s="3" t="n">
        <v>2500</v>
      </c>
      <c r="F896" s="3" t="n">
        <v>3.99</v>
      </c>
    </row>
    <row r="897" customFormat="false" ht="12.75" hidden="false" customHeight="false" outlineLevel="0" collapsed="false">
      <c r="A897" s="2" t="s">
        <v>421</v>
      </c>
      <c r="B897" s="2" t="s">
        <v>422</v>
      </c>
      <c r="C897" s="2" t="s">
        <v>8</v>
      </c>
      <c r="D897" s="3" t="n">
        <v>17500</v>
      </c>
      <c r="E897" s="3" t="n">
        <v>0</v>
      </c>
      <c r="F897" s="3" t="n">
        <v>3.88</v>
      </c>
    </row>
    <row r="898" customFormat="false" ht="12.75" hidden="false" customHeight="false" outlineLevel="0" collapsed="false">
      <c r="A898" s="2" t="s">
        <v>421</v>
      </c>
      <c r="B898" s="2" t="s">
        <v>422</v>
      </c>
      <c r="C898" s="2" t="s">
        <v>18</v>
      </c>
      <c r="D898" s="3" t="n">
        <v>5000</v>
      </c>
      <c r="E898" s="3" t="n">
        <v>0</v>
      </c>
      <c r="F898" s="3" t="n">
        <v>4.025</v>
      </c>
    </row>
    <row r="899" customFormat="false" ht="12.75" hidden="false" customHeight="false" outlineLevel="0" collapsed="false">
      <c r="A899" s="2" t="s">
        <v>421</v>
      </c>
      <c r="B899" s="2" t="s">
        <v>72</v>
      </c>
      <c r="C899" s="2" t="s">
        <v>8</v>
      </c>
      <c r="D899" s="3" t="n">
        <v>17500</v>
      </c>
      <c r="E899" s="3" t="n">
        <v>0</v>
      </c>
      <c r="F899" s="3" t="n">
        <v>3.885</v>
      </c>
    </row>
    <row r="900" customFormat="false" ht="12.75" hidden="false" customHeight="false" outlineLevel="0" collapsed="false">
      <c r="A900" s="2" t="s">
        <v>421</v>
      </c>
      <c r="B900" s="2" t="s">
        <v>64</v>
      </c>
      <c r="C900" s="2" t="s">
        <v>13</v>
      </c>
      <c r="D900" s="3" t="n">
        <v>5000</v>
      </c>
      <c r="E900" s="3" t="n">
        <v>0</v>
      </c>
      <c r="F900" s="3" t="n">
        <v>3.975</v>
      </c>
    </row>
    <row r="901" customFormat="false" ht="12.75" hidden="false" customHeight="false" outlineLevel="0" collapsed="false">
      <c r="A901" s="2" t="s">
        <v>421</v>
      </c>
      <c r="B901" s="2" t="s">
        <v>423</v>
      </c>
      <c r="C901" s="2" t="s">
        <v>8</v>
      </c>
      <c r="D901" s="3" t="n">
        <v>0</v>
      </c>
      <c r="E901" s="3" t="n">
        <v>20000</v>
      </c>
      <c r="F901" s="3" t="n">
        <v>3.885</v>
      </c>
    </row>
    <row r="902" customFormat="false" ht="12.75" hidden="false" customHeight="false" outlineLevel="0" collapsed="false">
      <c r="A902" s="2" t="s">
        <v>421</v>
      </c>
      <c r="B902" s="2" t="s">
        <v>423</v>
      </c>
      <c r="C902" s="2" t="s">
        <v>8</v>
      </c>
      <c r="D902" s="3" t="n">
        <v>0</v>
      </c>
      <c r="E902" s="3" t="n">
        <v>20000</v>
      </c>
      <c r="F902" s="3" t="n">
        <v>3.89</v>
      </c>
    </row>
    <row r="903" customFormat="false" ht="12.75" hidden="false" customHeight="false" outlineLevel="0" collapsed="false">
      <c r="A903" s="2" t="s">
        <v>421</v>
      </c>
      <c r="B903" s="2" t="s">
        <v>105</v>
      </c>
      <c r="C903" s="2" t="s">
        <v>8</v>
      </c>
      <c r="D903" s="3" t="n">
        <v>2500</v>
      </c>
      <c r="E903" s="3" t="n">
        <v>0</v>
      </c>
      <c r="F903" s="3" t="n">
        <v>3.88</v>
      </c>
    </row>
    <row r="904" customFormat="false" ht="12.75" hidden="false" customHeight="false" outlineLevel="0" collapsed="false">
      <c r="A904" s="2" t="s">
        <v>424</v>
      </c>
      <c r="B904" s="2" t="s">
        <v>82</v>
      </c>
      <c r="C904" s="2" t="s">
        <v>8</v>
      </c>
      <c r="D904" s="3" t="n">
        <v>10000</v>
      </c>
      <c r="E904" s="3" t="n">
        <v>0</v>
      </c>
      <c r="F904" s="3" t="n">
        <v>3.875</v>
      </c>
    </row>
    <row r="905" customFormat="false" ht="12.75" hidden="false" customHeight="false" outlineLevel="0" collapsed="false">
      <c r="A905" s="2" t="s">
        <v>424</v>
      </c>
      <c r="B905" s="2" t="s">
        <v>176</v>
      </c>
      <c r="C905" s="2" t="s">
        <v>8</v>
      </c>
      <c r="D905" s="3" t="n">
        <v>2500</v>
      </c>
      <c r="E905" s="3" t="n">
        <v>0</v>
      </c>
      <c r="F905" s="3" t="n">
        <v>3.88</v>
      </c>
    </row>
    <row r="906" customFormat="false" ht="12.75" hidden="false" customHeight="false" outlineLevel="0" collapsed="false">
      <c r="A906" s="2" t="s">
        <v>424</v>
      </c>
      <c r="B906" s="2" t="s">
        <v>80</v>
      </c>
      <c r="C906" s="2" t="s">
        <v>8</v>
      </c>
      <c r="D906" s="3" t="n">
        <v>10000</v>
      </c>
      <c r="E906" s="3" t="n">
        <v>0</v>
      </c>
      <c r="F906" s="3" t="n">
        <v>3.875</v>
      </c>
    </row>
    <row r="907" customFormat="false" ht="12.75" hidden="false" customHeight="false" outlineLevel="0" collapsed="false">
      <c r="A907" s="2" t="s">
        <v>425</v>
      </c>
      <c r="B907" s="2" t="s">
        <v>49</v>
      </c>
      <c r="C907" s="2" t="s">
        <v>13</v>
      </c>
      <c r="D907" s="3" t="n">
        <v>2500</v>
      </c>
      <c r="E907" s="3" t="n">
        <v>0</v>
      </c>
      <c r="F907" s="3" t="n">
        <v>3.97</v>
      </c>
    </row>
    <row r="908" customFormat="false" ht="12.75" hidden="false" customHeight="false" outlineLevel="0" collapsed="false">
      <c r="A908" s="2" t="s">
        <v>425</v>
      </c>
      <c r="B908" s="2" t="s">
        <v>30</v>
      </c>
      <c r="C908" s="2" t="s">
        <v>13</v>
      </c>
      <c r="D908" s="3" t="n">
        <v>2500</v>
      </c>
      <c r="E908" s="3" t="n">
        <v>0</v>
      </c>
      <c r="F908" s="3" t="n">
        <v>3.97</v>
      </c>
    </row>
    <row r="909" customFormat="false" ht="12.75" hidden="false" customHeight="false" outlineLevel="0" collapsed="false">
      <c r="A909" s="2" t="s">
        <v>425</v>
      </c>
      <c r="B909" s="2" t="s">
        <v>59</v>
      </c>
      <c r="C909" s="2" t="s">
        <v>8</v>
      </c>
      <c r="D909" s="3" t="n">
        <v>10000</v>
      </c>
      <c r="E909" s="3" t="n">
        <v>0</v>
      </c>
      <c r="F909" s="3" t="n">
        <v>3.87</v>
      </c>
    </row>
    <row r="910" customFormat="false" ht="12.75" hidden="false" customHeight="false" outlineLevel="0" collapsed="false">
      <c r="A910" s="2" t="s">
        <v>425</v>
      </c>
      <c r="B910" s="2" t="s">
        <v>24</v>
      </c>
      <c r="C910" s="2" t="s">
        <v>8</v>
      </c>
      <c r="D910" s="3" t="n">
        <v>0</v>
      </c>
      <c r="E910" s="3" t="n">
        <v>10000</v>
      </c>
      <c r="F910" s="3" t="n">
        <v>3.88</v>
      </c>
    </row>
    <row r="911" customFormat="false" ht="12.75" hidden="false" customHeight="false" outlineLevel="0" collapsed="false">
      <c r="A911" s="2" t="s">
        <v>425</v>
      </c>
      <c r="B911" s="2" t="s">
        <v>24</v>
      </c>
      <c r="C911" s="2" t="s">
        <v>8</v>
      </c>
      <c r="D911" s="3" t="n">
        <v>10000</v>
      </c>
      <c r="E911" s="3" t="n">
        <v>0</v>
      </c>
      <c r="F911" s="3" t="n">
        <v>3.87</v>
      </c>
    </row>
    <row r="912" customFormat="false" ht="12.75" hidden="false" customHeight="false" outlineLevel="0" collapsed="false">
      <c r="A912" s="2" t="s">
        <v>426</v>
      </c>
      <c r="B912" s="2" t="s">
        <v>31</v>
      </c>
      <c r="C912" s="2" t="s">
        <v>8</v>
      </c>
      <c r="D912" s="3" t="n">
        <v>10000</v>
      </c>
      <c r="E912" s="3" t="n">
        <v>0</v>
      </c>
      <c r="F912" s="3" t="n">
        <v>3.865</v>
      </c>
    </row>
    <row r="913" customFormat="false" ht="12.75" hidden="false" customHeight="false" outlineLevel="0" collapsed="false">
      <c r="A913" s="2" t="s">
        <v>427</v>
      </c>
      <c r="B913" s="2" t="s">
        <v>20</v>
      </c>
      <c r="C913" s="2" t="s">
        <v>8</v>
      </c>
      <c r="D913" s="3" t="n">
        <v>10000</v>
      </c>
      <c r="E913" s="3" t="n">
        <v>0</v>
      </c>
      <c r="F913" s="3" t="n">
        <v>3.865</v>
      </c>
    </row>
    <row r="914" customFormat="false" ht="12.75" hidden="false" customHeight="false" outlineLevel="0" collapsed="false">
      <c r="A914" s="2" t="s">
        <v>427</v>
      </c>
      <c r="B914" s="2" t="s">
        <v>116</v>
      </c>
      <c r="C914" s="2" t="s">
        <v>8</v>
      </c>
      <c r="D914" s="3" t="n">
        <v>10000</v>
      </c>
      <c r="E914" s="3" t="n">
        <v>0</v>
      </c>
      <c r="F914" s="3" t="n">
        <v>3.865</v>
      </c>
    </row>
    <row r="915" customFormat="false" ht="12.75" hidden="false" customHeight="false" outlineLevel="0" collapsed="false">
      <c r="A915" s="2" t="s">
        <v>427</v>
      </c>
      <c r="B915" s="2" t="s">
        <v>12</v>
      </c>
      <c r="C915" s="2" t="s">
        <v>13</v>
      </c>
      <c r="D915" s="3" t="n">
        <v>5000</v>
      </c>
      <c r="E915" s="3" t="n">
        <v>0</v>
      </c>
      <c r="F915" s="3" t="n">
        <v>3.97</v>
      </c>
    </row>
    <row r="916" customFormat="false" ht="12.75" hidden="false" customHeight="false" outlineLevel="0" collapsed="false">
      <c r="A916" s="2" t="s">
        <v>428</v>
      </c>
      <c r="B916" s="2" t="s">
        <v>100</v>
      </c>
      <c r="C916" s="2" t="s">
        <v>8</v>
      </c>
      <c r="D916" s="3" t="n">
        <v>20000</v>
      </c>
      <c r="E916" s="3" t="n">
        <v>0</v>
      </c>
      <c r="F916" s="3" t="n">
        <v>3.855</v>
      </c>
    </row>
    <row r="917" customFormat="false" ht="12.75" hidden="false" customHeight="false" outlineLevel="0" collapsed="false">
      <c r="A917" s="2" t="s">
        <v>428</v>
      </c>
      <c r="B917" s="2" t="s">
        <v>100</v>
      </c>
      <c r="C917" s="2" t="s">
        <v>8</v>
      </c>
      <c r="D917" s="3" t="n">
        <v>20000</v>
      </c>
      <c r="E917" s="3" t="n">
        <v>0</v>
      </c>
      <c r="F917" s="3" t="n">
        <v>3.85</v>
      </c>
    </row>
    <row r="918" customFormat="false" ht="12.75" hidden="false" customHeight="false" outlineLevel="0" collapsed="false">
      <c r="A918" s="2" t="s">
        <v>428</v>
      </c>
      <c r="B918" s="2" t="s">
        <v>46</v>
      </c>
      <c r="C918" s="2" t="s">
        <v>8</v>
      </c>
      <c r="D918" s="3" t="n">
        <v>0</v>
      </c>
      <c r="E918" s="3" t="n">
        <v>5000</v>
      </c>
      <c r="F918" s="3" t="n">
        <v>3.855</v>
      </c>
    </row>
    <row r="919" customFormat="false" ht="12.75" hidden="false" customHeight="false" outlineLevel="0" collapsed="false">
      <c r="A919" s="2" t="s">
        <v>428</v>
      </c>
      <c r="B919" s="2" t="s">
        <v>15</v>
      </c>
      <c r="C919" s="2" t="s">
        <v>8</v>
      </c>
      <c r="D919" s="3" t="n">
        <v>0</v>
      </c>
      <c r="E919" s="3" t="n">
        <v>12500</v>
      </c>
      <c r="F919" s="3" t="n">
        <v>3.855</v>
      </c>
    </row>
    <row r="920" customFormat="false" ht="12.75" hidden="false" customHeight="false" outlineLevel="0" collapsed="false">
      <c r="A920" s="2" t="s">
        <v>428</v>
      </c>
      <c r="B920" s="2" t="s">
        <v>86</v>
      </c>
      <c r="C920" s="2" t="s">
        <v>13</v>
      </c>
      <c r="D920" s="3" t="n">
        <v>2500</v>
      </c>
      <c r="E920" s="3" t="n">
        <v>0</v>
      </c>
      <c r="F920" s="3" t="n">
        <v>3.96</v>
      </c>
    </row>
    <row r="921" customFormat="false" ht="12.75" hidden="false" customHeight="false" outlineLevel="0" collapsed="false">
      <c r="A921" s="2" t="s">
        <v>428</v>
      </c>
      <c r="B921" s="2" t="s">
        <v>245</v>
      </c>
      <c r="C921" s="2" t="s">
        <v>8</v>
      </c>
      <c r="D921" s="3" t="n">
        <v>0</v>
      </c>
      <c r="E921" s="3" t="n">
        <v>2500</v>
      </c>
      <c r="F921" s="3" t="n">
        <v>3.86</v>
      </c>
    </row>
    <row r="922" customFormat="false" ht="12.75" hidden="false" customHeight="false" outlineLevel="0" collapsed="false">
      <c r="A922" s="2" t="s">
        <v>428</v>
      </c>
      <c r="B922" s="2" t="s">
        <v>68</v>
      </c>
      <c r="C922" s="2" t="s">
        <v>8</v>
      </c>
      <c r="D922" s="3" t="n">
        <v>20000</v>
      </c>
      <c r="E922" s="3" t="n">
        <v>0</v>
      </c>
      <c r="F922" s="3" t="n">
        <v>3.86</v>
      </c>
    </row>
    <row r="923" customFormat="false" ht="12.75" hidden="false" customHeight="false" outlineLevel="0" collapsed="false">
      <c r="A923" s="2" t="s">
        <v>428</v>
      </c>
      <c r="B923" s="2" t="s">
        <v>57</v>
      </c>
      <c r="C923" s="2" t="s">
        <v>8</v>
      </c>
      <c r="D923" s="3" t="n">
        <v>0</v>
      </c>
      <c r="E923" s="3" t="n">
        <v>2500</v>
      </c>
      <c r="F923" s="3" t="n">
        <v>3.855</v>
      </c>
    </row>
    <row r="924" customFormat="false" ht="12.75" hidden="false" customHeight="false" outlineLevel="0" collapsed="false">
      <c r="A924" s="2" t="s">
        <v>428</v>
      </c>
      <c r="B924" s="2" t="s">
        <v>423</v>
      </c>
      <c r="C924" s="2" t="s">
        <v>8</v>
      </c>
      <c r="D924" s="3" t="n">
        <v>0</v>
      </c>
      <c r="E924" s="3" t="n">
        <v>17500</v>
      </c>
      <c r="F924" s="3" t="n">
        <v>3.86</v>
      </c>
    </row>
    <row r="925" customFormat="false" ht="12.75" hidden="false" customHeight="false" outlineLevel="0" collapsed="false">
      <c r="A925" s="2" t="s">
        <v>429</v>
      </c>
      <c r="B925" s="2" t="s">
        <v>100</v>
      </c>
      <c r="C925" s="2" t="s">
        <v>8</v>
      </c>
      <c r="D925" s="3" t="n">
        <v>5000</v>
      </c>
      <c r="E925" s="3" t="n">
        <v>0</v>
      </c>
      <c r="F925" s="3" t="n">
        <v>3.85</v>
      </c>
    </row>
    <row r="926" customFormat="false" ht="12.75" hidden="false" customHeight="false" outlineLevel="0" collapsed="false">
      <c r="A926" s="2" t="s">
        <v>429</v>
      </c>
      <c r="B926" s="2" t="s">
        <v>82</v>
      </c>
      <c r="C926" s="2" t="s">
        <v>8</v>
      </c>
      <c r="D926" s="3" t="n">
        <v>10000</v>
      </c>
      <c r="E926" s="3" t="n">
        <v>0</v>
      </c>
      <c r="F926" s="3" t="n">
        <v>3.845</v>
      </c>
    </row>
    <row r="927" customFormat="false" ht="12.75" hidden="false" customHeight="false" outlineLevel="0" collapsed="false">
      <c r="A927" s="2" t="s">
        <v>429</v>
      </c>
      <c r="B927" s="2" t="s">
        <v>26</v>
      </c>
      <c r="C927" s="2" t="s">
        <v>8</v>
      </c>
      <c r="D927" s="3" t="n">
        <v>10000</v>
      </c>
      <c r="E927" s="3" t="n">
        <v>0</v>
      </c>
      <c r="F927" s="3" t="n">
        <v>3.855</v>
      </c>
    </row>
    <row r="928" customFormat="false" ht="12.75" hidden="false" customHeight="false" outlineLevel="0" collapsed="false">
      <c r="A928" s="2" t="s">
        <v>429</v>
      </c>
      <c r="B928" s="2" t="s">
        <v>218</v>
      </c>
      <c r="C928" s="2" t="s">
        <v>8</v>
      </c>
      <c r="D928" s="3" t="n">
        <v>10000</v>
      </c>
      <c r="E928" s="3" t="n">
        <v>0</v>
      </c>
      <c r="F928" s="3" t="n">
        <v>3.855</v>
      </c>
    </row>
    <row r="929" customFormat="false" ht="12.75" hidden="false" customHeight="false" outlineLevel="0" collapsed="false">
      <c r="A929" s="2" t="s">
        <v>429</v>
      </c>
      <c r="B929" s="2" t="s">
        <v>116</v>
      </c>
      <c r="C929" s="2" t="s">
        <v>8</v>
      </c>
      <c r="D929" s="3" t="n">
        <v>15000</v>
      </c>
      <c r="E929" s="3" t="n">
        <v>0</v>
      </c>
      <c r="F929" s="3" t="n">
        <v>3.85</v>
      </c>
    </row>
    <row r="930" customFormat="false" ht="12.75" hidden="false" customHeight="false" outlineLevel="0" collapsed="false">
      <c r="A930" s="2" t="s">
        <v>429</v>
      </c>
      <c r="B930" s="2" t="s">
        <v>12</v>
      </c>
      <c r="C930" s="2" t="s">
        <v>13</v>
      </c>
      <c r="D930" s="3" t="n">
        <v>5000</v>
      </c>
      <c r="E930" s="3" t="n">
        <v>0</v>
      </c>
      <c r="F930" s="3" t="n">
        <v>3.96</v>
      </c>
    </row>
    <row r="931" customFormat="false" ht="12.75" hidden="false" customHeight="false" outlineLevel="0" collapsed="false">
      <c r="A931" s="2" t="s">
        <v>430</v>
      </c>
      <c r="B931" s="2" t="s">
        <v>363</v>
      </c>
      <c r="C931" s="2" t="s">
        <v>169</v>
      </c>
      <c r="D931" s="3" t="n">
        <v>5000</v>
      </c>
      <c r="E931" s="3" t="n">
        <v>0</v>
      </c>
      <c r="F931" s="3" t="n">
        <v>3.8375</v>
      </c>
    </row>
    <row r="932" customFormat="false" ht="12.75" hidden="false" customHeight="false" outlineLevel="0" collapsed="false">
      <c r="A932" s="2" t="s">
        <v>430</v>
      </c>
      <c r="B932" s="2" t="s">
        <v>12</v>
      </c>
      <c r="C932" s="2" t="s">
        <v>13</v>
      </c>
      <c r="D932" s="3" t="n">
        <v>5000</v>
      </c>
      <c r="E932" s="3" t="n">
        <v>0</v>
      </c>
      <c r="F932" s="3" t="n">
        <v>3.955</v>
      </c>
    </row>
    <row r="933" customFormat="false" ht="12.75" hidden="false" customHeight="false" outlineLevel="0" collapsed="false">
      <c r="A933" s="2" t="s">
        <v>431</v>
      </c>
      <c r="B933" s="2" t="s">
        <v>26</v>
      </c>
      <c r="C933" s="2" t="s">
        <v>8</v>
      </c>
      <c r="D933" s="3" t="n">
        <v>0</v>
      </c>
      <c r="E933" s="3" t="n">
        <v>5000</v>
      </c>
      <c r="F933" s="3" t="n">
        <v>3.86</v>
      </c>
    </row>
    <row r="934" customFormat="false" ht="12.75" hidden="false" customHeight="false" outlineLevel="0" collapsed="false">
      <c r="A934" s="2" t="s">
        <v>431</v>
      </c>
      <c r="B934" s="2" t="s">
        <v>46</v>
      </c>
      <c r="C934" s="2" t="s">
        <v>8</v>
      </c>
      <c r="D934" s="3" t="n">
        <v>0</v>
      </c>
      <c r="E934" s="3" t="n">
        <v>20000</v>
      </c>
      <c r="F934" s="3" t="n">
        <v>3.855</v>
      </c>
    </row>
    <row r="935" customFormat="false" ht="12.75" hidden="false" customHeight="false" outlineLevel="0" collapsed="false">
      <c r="A935" s="2" t="s">
        <v>431</v>
      </c>
      <c r="B935" s="2" t="s">
        <v>46</v>
      </c>
      <c r="C935" s="2" t="s">
        <v>8</v>
      </c>
      <c r="D935" s="3" t="n">
        <v>15000</v>
      </c>
      <c r="E935" s="3" t="n">
        <v>0</v>
      </c>
      <c r="F935" s="3" t="n">
        <v>3.85</v>
      </c>
    </row>
    <row r="936" customFormat="false" ht="12.75" hidden="false" customHeight="false" outlineLevel="0" collapsed="false">
      <c r="A936" s="2" t="s">
        <v>432</v>
      </c>
      <c r="B936" s="2" t="s">
        <v>30</v>
      </c>
      <c r="C936" s="2" t="s">
        <v>8</v>
      </c>
      <c r="D936" s="3" t="n">
        <v>0</v>
      </c>
      <c r="E936" s="3" t="n">
        <v>10000</v>
      </c>
      <c r="F936" s="3" t="n">
        <v>3.855</v>
      </c>
    </row>
    <row r="937" customFormat="false" ht="12.75" hidden="false" customHeight="false" outlineLevel="0" collapsed="false">
      <c r="A937" s="2" t="s">
        <v>432</v>
      </c>
      <c r="B937" s="2" t="s">
        <v>80</v>
      </c>
      <c r="C937" s="2" t="s">
        <v>8</v>
      </c>
      <c r="D937" s="3" t="n">
        <v>0</v>
      </c>
      <c r="E937" s="3" t="n">
        <v>5000</v>
      </c>
      <c r="F937" s="3" t="n">
        <v>3.855</v>
      </c>
    </row>
    <row r="938" customFormat="false" ht="12.75" hidden="false" customHeight="false" outlineLevel="0" collapsed="false">
      <c r="A938" s="2" t="s">
        <v>433</v>
      </c>
      <c r="B938" s="2" t="s">
        <v>46</v>
      </c>
      <c r="C938" s="2" t="s">
        <v>13</v>
      </c>
      <c r="D938" s="3" t="n">
        <v>0</v>
      </c>
      <c r="E938" s="3" t="n">
        <v>2500</v>
      </c>
      <c r="F938" s="3" t="n">
        <v>3.965</v>
      </c>
    </row>
    <row r="939" customFormat="false" ht="12.75" hidden="false" customHeight="false" outlineLevel="0" collapsed="false">
      <c r="A939" s="2" t="s">
        <v>433</v>
      </c>
      <c r="B939" s="2" t="s">
        <v>24</v>
      </c>
      <c r="C939" s="2" t="s">
        <v>8</v>
      </c>
      <c r="D939" s="3" t="n">
        <v>0</v>
      </c>
      <c r="E939" s="3" t="n">
        <v>10000</v>
      </c>
      <c r="F939" s="3" t="n">
        <v>3.86</v>
      </c>
    </row>
    <row r="940" customFormat="false" ht="12.75" hidden="false" customHeight="false" outlineLevel="0" collapsed="false">
      <c r="A940" s="2" t="s">
        <v>433</v>
      </c>
      <c r="B940" s="2" t="s">
        <v>24</v>
      </c>
      <c r="C940" s="2" t="s">
        <v>18</v>
      </c>
      <c r="D940" s="3" t="n">
        <v>0</v>
      </c>
      <c r="E940" s="3" t="n">
        <v>5000</v>
      </c>
      <c r="F940" s="3" t="n">
        <v>4.025</v>
      </c>
    </row>
    <row r="941" customFormat="false" ht="12.75" hidden="false" customHeight="false" outlineLevel="0" collapsed="false">
      <c r="A941" s="2" t="s">
        <v>434</v>
      </c>
      <c r="B941" s="2" t="s">
        <v>82</v>
      </c>
      <c r="C941" s="2" t="s">
        <v>8</v>
      </c>
      <c r="D941" s="3" t="n">
        <v>10000</v>
      </c>
      <c r="E941" s="3" t="n">
        <v>0</v>
      </c>
      <c r="F941" s="3" t="n">
        <v>3.855</v>
      </c>
    </row>
    <row r="942" customFormat="false" ht="12.75" hidden="false" customHeight="false" outlineLevel="0" collapsed="false">
      <c r="A942" s="2" t="s">
        <v>434</v>
      </c>
      <c r="B942" s="2" t="s">
        <v>46</v>
      </c>
      <c r="C942" s="2" t="s">
        <v>8</v>
      </c>
      <c r="D942" s="3" t="n">
        <v>0</v>
      </c>
      <c r="E942" s="3" t="n">
        <v>10000</v>
      </c>
      <c r="F942" s="3" t="n">
        <v>3.86</v>
      </c>
    </row>
    <row r="943" customFormat="false" ht="12.75" hidden="false" customHeight="false" outlineLevel="0" collapsed="false">
      <c r="A943" s="2" t="s">
        <v>434</v>
      </c>
      <c r="B943" s="2" t="s">
        <v>37</v>
      </c>
      <c r="C943" s="2" t="s">
        <v>32</v>
      </c>
      <c r="D943" s="3" t="n">
        <v>10000</v>
      </c>
      <c r="E943" s="3" t="n">
        <v>0</v>
      </c>
      <c r="F943" s="3" t="n">
        <v>3.95</v>
      </c>
    </row>
    <row r="944" customFormat="false" ht="12.75" hidden="false" customHeight="false" outlineLevel="0" collapsed="false">
      <c r="A944" s="2" t="s">
        <v>435</v>
      </c>
      <c r="B944" s="2" t="s">
        <v>20</v>
      </c>
      <c r="C944" s="2" t="s">
        <v>8</v>
      </c>
      <c r="D944" s="3" t="n">
        <v>20000</v>
      </c>
      <c r="E944" s="3" t="n">
        <v>0</v>
      </c>
      <c r="F944" s="3" t="n">
        <v>3.855</v>
      </c>
    </row>
    <row r="945" customFormat="false" ht="12.75" hidden="false" customHeight="false" outlineLevel="0" collapsed="false">
      <c r="A945" s="2" t="s">
        <v>435</v>
      </c>
      <c r="B945" s="2" t="s">
        <v>12</v>
      </c>
      <c r="C945" s="2" t="s">
        <v>13</v>
      </c>
      <c r="D945" s="3" t="n">
        <v>5000</v>
      </c>
      <c r="E945" s="3" t="n">
        <v>0</v>
      </c>
      <c r="F945" s="3" t="n">
        <v>3.96</v>
      </c>
    </row>
    <row r="946" customFormat="false" ht="12.75" hidden="false" customHeight="false" outlineLevel="0" collapsed="false">
      <c r="A946" s="2" t="s">
        <v>436</v>
      </c>
      <c r="B946" s="2" t="s">
        <v>363</v>
      </c>
      <c r="C946" s="2" t="s">
        <v>169</v>
      </c>
      <c r="D946" s="3" t="n">
        <v>5000</v>
      </c>
      <c r="E946" s="3" t="n">
        <v>0</v>
      </c>
      <c r="F946" s="3" t="n">
        <v>3.8375</v>
      </c>
    </row>
    <row r="947" customFormat="false" ht="12.75" hidden="false" customHeight="false" outlineLevel="0" collapsed="false">
      <c r="A947" s="2" t="s">
        <v>436</v>
      </c>
      <c r="B947" s="2" t="s">
        <v>64</v>
      </c>
      <c r="C947" s="2" t="s">
        <v>8</v>
      </c>
      <c r="D947" s="3" t="n">
        <v>20000</v>
      </c>
      <c r="E947" s="3" t="n">
        <v>0</v>
      </c>
      <c r="F947" s="3" t="n">
        <v>3.85</v>
      </c>
    </row>
    <row r="948" customFormat="false" ht="12.75" hidden="false" customHeight="false" outlineLevel="0" collapsed="false">
      <c r="A948" s="2" t="s">
        <v>437</v>
      </c>
      <c r="B948" s="2" t="s">
        <v>46</v>
      </c>
      <c r="C948" s="2" t="s">
        <v>8</v>
      </c>
      <c r="D948" s="3" t="n">
        <v>0</v>
      </c>
      <c r="E948" s="3" t="n">
        <v>10000</v>
      </c>
      <c r="F948" s="3" t="n">
        <v>3.855</v>
      </c>
    </row>
    <row r="949" customFormat="false" ht="12.75" hidden="false" customHeight="false" outlineLevel="0" collapsed="false">
      <c r="A949" s="2" t="s">
        <v>437</v>
      </c>
      <c r="B949" s="2" t="s">
        <v>277</v>
      </c>
      <c r="C949" s="2" t="s">
        <v>8</v>
      </c>
      <c r="D949" s="3" t="n">
        <v>20000</v>
      </c>
      <c r="E949" s="3" t="n">
        <v>0</v>
      </c>
      <c r="F949" s="3" t="n">
        <v>3.85</v>
      </c>
    </row>
    <row r="950" customFormat="false" ht="12.75" hidden="false" customHeight="false" outlineLevel="0" collapsed="false">
      <c r="A950" s="2" t="s">
        <v>437</v>
      </c>
      <c r="B950" s="2" t="s">
        <v>49</v>
      </c>
      <c r="C950" s="2" t="s">
        <v>22</v>
      </c>
      <c r="D950" s="3" t="n">
        <v>0</v>
      </c>
      <c r="E950" s="3" t="n">
        <v>2500</v>
      </c>
      <c r="F950" s="3" t="n">
        <v>4.355</v>
      </c>
    </row>
    <row r="951" customFormat="false" ht="12.75" hidden="false" customHeight="false" outlineLevel="0" collapsed="false">
      <c r="A951" s="2" t="s">
        <v>437</v>
      </c>
      <c r="B951" s="2" t="s">
        <v>64</v>
      </c>
      <c r="C951" s="2" t="s">
        <v>8</v>
      </c>
      <c r="D951" s="3" t="n">
        <v>20000</v>
      </c>
      <c r="E951" s="3" t="n">
        <v>0</v>
      </c>
      <c r="F951" s="3" t="n">
        <v>3.845</v>
      </c>
    </row>
    <row r="952" customFormat="false" ht="12.75" hidden="false" customHeight="false" outlineLevel="0" collapsed="false">
      <c r="A952" s="2" t="s">
        <v>438</v>
      </c>
      <c r="B952" s="2" t="s">
        <v>88</v>
      </c>
      <c r="C952" s="2" t="s">
        <v>8</v>
      </c>
      <c r="D952" s="3" t="n">
        <v>0</v>
      </c>
      <c r="E952" s="3" t="n">
        <v>10000</v>
      </c>
      <c r="F952" s="3" t="n">
        <v>3.855</v>
      </c>
    </row>
    <row r="953" customFormat="false" ht="12.75" hidden="false" customHeight="false" outlineLevel="0" collapsed="false">
      <c r="A953" s="2" t="s">
        <v>438</v>
      </c>
      <c r="B953" s="2" t="s">
        <v>116</v>
      </c>
      <c r="C953" s="2" t="s">
        <v>8</v>
      </c>
      <c r="D953" s="3" t="n">
        <v>10000</v>
      </c>
      <c r="E953" s="3" t="n">
        <v>0</v>
      </c>
      <c r="F953" s="3" t="n">
        <v>3.84</v>
      </c>
    </row>
    <row r="954" customFormat="false" ht="12.75" hidden="false" customHeight="false" outlineLevel="0" collapsed="false">
      <c r="A954" s="2" t="s">
        <v>438</v>
      </c>
      <c r="B954" s="2" t="s">
        <v>12</v>
      </c>
      <c r="C954" s="2" t="s">
        <v>13</v>
      </c>
      <c r="D954" s="3" t="n">
        <v>5000</v>
      </c>
      <c r="E954" s="3" t="n">
        <v>0</v>
      </c>
      <c r="F954" s="3" t="n">
        <v>3.955</v>
      </c>
    </row>
    <row r="955" customFormat="false" ht="12.75" hidden="false" customHeight="false" outlineLevel="0" collapsed="false">
      <c r="A955" s="2" t="s">
        <v>439</v>
      </c>
      <c r="B955" s="2" t="s">
        <v>7</v>
      </c>
      <c r="C955" s="2" t="s">
        <v>22</v>
      </c>
      <c r="D955" s="3" t="n">
        <v>2500</v>
      </c>
      <c r="E955" s="3" t="n">
        <v>0</v>
      </c>
      <c r="F955" s="3" t="n">
        <v>4.34</v>
      </c>
    </row>
    <row r="956" customFormat="false" ht="12.75" hidden="false" customHeight="false" outlineLevel="0" collapsed="false">
      <c r="A956" s="2" t="s">
        <v>439</v>
      </c>
      <c r="B956" s="2" t="s">
        <v>24</v>
      </c>
      <c r="C956" s="2" t="s">
        <v>32</v>
      </c>
      <c r="D956" s="3" t="n">
        <v>15000</v>
      </c>
      <c r="E956" s="3" t="n">
        <v>0</v>
      </c>
      <c r="F956" s="3" t="n">
        <v>3.945</v>
      </c>
    </row>
    <row r="957" customFormat="false" ht="12.75" hidden="false" customHeight="false" outlineLevel="0" collapsed="false">
      <c r="A957" s="2" t="s">
        <v>439</v>
      </c>
      <c r="B957" s="2" t="s">
        <v>12</v>
      </c>
      <c r="C957" s="2" t="s">
        <v>13</v>
      </c>
      <c r="D957" s="3" t="n">
        <v>2500</v>
      </c>
      <c r="E957" s="3" t="n">
        <v>0</v>
      </c>
      <c r="F957" s="3" t="n">
        <v>3.95</v>
      </c>
    </row>
    <row r="958" customFormat="false" ht="12.75" hidden="false" customHeight="false" outlineLevel="0" collapsed="false">
      <c r="A958" s="2" t="s">
        <v>440</v>
      </c>
      <c r="B958" s="2" t="s">
        <v>24</v>
      </c>
      <c r="C958" s="2" t="s">
        <v>8</v>
      </c>
      <c r="D958" s="3" t="n">
        <v>5000</v>
      </c>
      <c r="E958" s="3" t="n">
        <v>0</v>
      </c>
      <c r="F958" s="3" t="n">
        <v>3.845</v>
      </c>
    </row>
    <row r="959" customFormat="false" ht="12.75" hidden="false" customHeight="false" outlineLevel="0" collapsed="false">
      <c r="A959" s="2" t="s">
        <v>441</v>
      </c>
      <c r="B959" s="2" t="s">
        <v>442</v>
      </c>
      <c r="C959" s="2" t="s">
        <v>8</v>
      </c>
      <c r="D959" s="3" t="n">
        <v>0</v>
      </c>
      <c r="E959" s="3" t="n">
        <v>20000</v>
      </c>
      <c r="F959" s="3" t="n">
        <v>3.855</v>
      </c>
    </row>
    <row r="960" customFormat="false" ht="12.75" hidden="false" customHeight="false" outlineLevel="0" collapsed="false">
      <c r="A960" s="2" t="s">
        <v>441</v>
      </c>
      <c r="B960" s="2" t="s">
        <v>98</v>
      </c>
      <c r="C960" s="2" t="s">
        <v>8</v>
      </c>
      <c r="D960" s="3" t="n">
        <v>15000</v>
      </c>
      <c r="E960" s="3" t="n">
        <v>0</v>
      </c>
      <c r="F960" s="3" t="n">
        <v>3.85</v>
      </c>
    </row>
    <row r="961" customFormat="false" ht="12.75" hidden="false" customHeight="false" outlineLevel="0" collapsed="false">
      <c r="A961" s="2" t="s">
        <v>443</v>
      </c>
      <c r="B961" s="2" t="s">
        <v>85</v>
      </c>
      <c r="C961" s="2" t="s">
        <v>32</v>
      </c>
      <c r="D961" s="3" t="n">
        <v>0</v>
      </c>
      <c r="E961" s="3" t="n">
        <v>15000</v>
      </c>
      <c r="F961" s="3" t="n">
        <v>3.955</v>
      </c>
    </row>
    <row r="962" customFormat="false" ht="12.75" hidden="false" customHeight="false" outlineLevel="0" collapsed="false">
      <c r="A962" s="2" t="s">
        <v>443</v>
      </c>
      <c r="B962" s="2" t="s">
        <v>37</v>
      </c>
      <c r="C962" s="2" t="s">
        <v>8</v>
      </c>
      <c r="D962" s="3" t="n">
        <v>0</v>
      </c>
      <c r="E962" s="3" t="n">
        <v>5000</v>
      </c>
      <c r="F962" s="3" t="n">
        <v>3.86</v>
      </c>
    </row>
    <row r="963" customFormat="false" ht="12.75" hidden="false" customHeight="false" outlineLevel="0" collapsed="false">
      <c r="A963" s="2" t="s">
        <v>443</v>
      </c>
      <c r="B963" s="2" t="s">
        <v>37</v>
      </c>
      <c r="C963" s="2" t="s">
        <v>8</v>
      </c>
      <c r="D963" s="3" t="n">
        <v>0</v>
      </c>
      <c r="E963" s="3" t="n">
        <v>20000</v>
      </c>
      <c r="F963" s="3" t="n">
        <v>3.865</v>
      </c>
    </row>
    <row r="964" customFormat="false" ht="12.75" hidden="false" customHeight="false" outlineLevel="0" collapsed="false">
      <c r="A964" s="2" t="s">
        <v>443</v>
      </c>
      <c r="B964" s="2" t="s">
        <v>37</v>
      </c>
      <c r="C964" s="2" t="s">
        <v>32</v>
      </c>
      <c r="D964" s="3" t="n">
        <v>0</v>
      </c>
      <c r="E964" s="3" t="n">
        <v>20000</v>
      </c>
      <c r="F964" s="3" t="n">
        <v>3.965</v>
      </c>
    </row>
    <row r="965" customFormat="false" ht="12.75" hidden="false" customHeight="false" outlineLevel="0" collapsed="false">
      <c r="A965" s="2" t="s">
        <v>443</v>
      </c>
      <c r="B965" s="2" t="s">
        <v>49</v>
      </c>
      <c r="C965" s="2" t="s">
        <v>22</v>
      </c>
      <c r="D965" s="3" t="n">
        <v>0</v>
      </c>
      <c r="E965" s="3" t="n">
        <v>5000</v>
      </c>
      <c r="F965" s="3" t="n">
        <v>4.36</v>
      </c>
    </row>
    <row r="966" customFormat="false" ht="12.75" hidden="false" customHeight="false" outlineLevel="0" collapsed="false">
      <c r="A966" s="2" t="s">
        <v>444</v>
      </c>
      <c r="B966" s="2" t="s">
        <v>98</v>
      </c>
      <c r="C966" s="2" t="s">
        <v>8</v>
      </c>
      <c r="D966" s="3" t="n">
        <v>7500</v>
      </c>
      <c r="E966" s="3" t="n">
        <v>0</v>
      </c>
      <c r="F966" s="3" t="n">
        <v>3.865</v>
      </c>
    </row>
    <row r="967" customFormat="false" ht="12.75" hidden="false" customHeight="false" outlineLevel="0" collapsed="false">
      <c r="A967" s="2" t="s">
        <v>444</v>
      </c>
      <c r="B967" s="2" t="s">
        <v>312</v>
      </c>
      <c r="C967" s="2" t="s">
        <v>8</v>
      </c>
      <c r="D967" s="3" t="n">
        <v>12500</v>
      </c>
      <c r="E967" s="3" t="n">
        <v>0</v>
      </c>
      <c r="F967" s="3" t="n">
        <v>3.865</v>
      </c>
    </row>
    <row r="968" customFormat="false" ht="12.75" hidden="false" customHeight="false" outlineLevel="0" collapsed="false">
      <c r="A968" s="2" t="s">
        <v>444</v>
      </c>
      <c r="B968" s="2" t="s">
        <v>12</v>
      </c>
      <c r="C968" s="2" t="s">
        <v>13</v>
      </c>
      <c r="D968" s="3" t="n">
        <v>5000</v>
      </c>
      <c r="E968" s="3" t="n">
        <v>0</v>
      </c>
      <c r="F968" s="3" t="n">
        <v>3.965</v>
      </c>
    </row>
    <row r="969" customFormat="false" ht="12.75" hidden="false" customHeight="false" outlineLevel="0" collapsed="false">
      <c r="A969" s="2" t="s">
        <v>445</v>
      </c>
      <c r="B969" s="2" t="s">
        <v>23</v>
      </c>
      <c r="C969" s="2" t="s">
        <v>22</v>
      </c>
      <c r="D969" s="3" t="n">
        <v>5000</v>
      </c>
      <c r="E969" s="3" t="n">
        <v>0</v>
      </c>
      <c r="F969" s="3" t="n">
        <v>4.355</v>
      </c>
    </row>
    <row r="970" customFormat="false" ht="12.75" hidden="false" customHeight="false" outlineLevel="0" collapsed="false">
      <c r="A970" s="2" t="s">
        <v>446</v>
      </c>
      <c r="B970" s="2" t="s">
        <v>37</v>
      </c>
      <c r="C970" s="2" t="s">
        <v>32</v>
      </c>
      <c r="D970" s="3" t="n">
        <v>0</v>
      </c>
      <c r="E970" s="3" t="n">
        <v>20000</v>
      </c>
      <c r="F970" s="3" t="n">
        <v>3.965</v>
      </c>
    </row>
    <row r="971" customFormat="false" ht="12.75" hidden="false" customHeight="false" outlineLevel="0" collapsed="false">
      <c r="A971" s="2" t="s">
        <v>446</v>
      </c>
      <c r="B971" s="2" t="s">
        <v>24</v>
      </c>
      <c r="C971" s="2" t="s">
        <v>22</v>
      </c>
      <c r="D971" s="3" t="n">
        <v>0</v>
      </c>
      <c r="E971" s="3" t="n">
        <v>5000</v>
      </c>
      <c r="F971" s="3" t="n">
        <v>4.36</v>
      </c>
    </row>
    <row r="972" customFormat="false" ht="12.75" hidden="false" customHeight="false" outlineLevel="0" collapsed="false">
      <c r="A972" s="2" t="s">
        <v>447</v>
      </c>
      <c r="B972" s="2" t="s">
        <v>42</v>
      </c>
      <c r="C972" s="2" t="s">
        <v>13</v>
      </c>
      <c r="D972" s="3" t="n">
        <v>0</v>
      </c>
      <c r="E972" s="3" t="n">
        <v>5000</v>
      </c>
      <c r="F972" s="3" t="n">
        <v>3.98</v>
      </c>
    </row>
    <row r="973" customFormat="false" ht="12.75" hidden="false" customHeight="false" outlineLevel="0" collapsed="false">
      <c r="A973" s="2" t="s">
        <v>447</v>
      </c>
      <c r="B973" s="2" t="s">
        <v>42</v>
      </c>
      <c r="C973" s="2" t="s">
        <v>8</v>
      </c>
      <c r="D973" s="3" t="n">
        <v>0</v>
      </c>
      <c r="E973" s="3" t="n">
        <v>20000</v>
      </c>
      <c r="F973" s="3" t="n">
        <v>3.875</v>
      </c>
    </row>
    <row r="974" customFormat="false" ht="12.75" hidden="false" customHeight="false" outlineLevel="0" collapsed="false">
      <c r="A974" s="2" t="s">
        <v>447</v>
      </c>
      <c r="B974" s="2" t="s">
        <v>12</v>
      </c>
      <c r="C974" s="2" t="s">
        <v>13</v>
      </c>
      <c r="D974" s="3" t="n">
        <v>5000</v>
      </c>
      <c r="E974" s="3" t="n">
        <v>0</v>
      </c>
      <c r="F974" s="3" t="n">
        <v>3.975</v>
      </c>
    </row>
    <row r="975" customFormat="false" ht="12.75" hidden="false" customHeight="false" outlineLevel="0" collapsed="false">
      <c r="A975" s="2" t="s">
        <v>448</v>
      </c>
      <c r="B975" s="2" t="s">
        <v>12</v>
      </c>
      <c r="C975" s="2" t="s">
        <v>13</v>
      </c>
      <c r="D975" s="3" t="n">
        <v>5000</v>
      </c>
      <c r="E975" s="3" t="n">
        <v>0</v>
      </c>
      <c r="F975" s="3" t="n">
        <v>3.975</v>
      </c>
    </row>
    <row r="976" customFormat="false" ht="12.75" hidden="false" customHeight="false" outlineLevel="0" collapsed="false">
      <c r="A976" s="2" t="s">
        <v>449</v>
      </c>
      <c r="B976" s="2" t="s">
        <v>204</v>
      </c>
      <c r="C976" s="2" t="s">
        <v>22</v>
      </c>
      <c r="D976" s="3" t="n">
        <v>0</v>
      </c>
      <c r="E976" s="3" t="n">
        <v>5000</v>
      </c>
      <c r="F976" s="3" t="n">
        <v>4.375</v>
      </c>
    </row>
    <row r="977" customFormat="false" ht="12.75" hidden="false" customHeight="false" outlineLevel="0" collapsed="false">
      <c r="A977" s="2" t="s">
        <v>450</v>
      </c>
      <c r="B977" s="2" t="s">
        <v>37</v>
      </c>
      <c r="C977" s="2" t="s">
        <v>22</v>
      </c>
      <c r="D977" s="3" t="n">
        <v>0</v>
      </c>
      <c r="E977" s="3" t="n">
        <v>5000</v>
      </c>
      <c r="F977" s="3" t="n">
        <v>4.375</v>
      </c>
    </row>
    <row r="978" customFormat="false" ht="12.75" hidden="false" customHeight="false" outlineLevel="0" collapsed="false">
      <c r="A978" s="2" t="s">
        <v>450</v>
      </c>
      <c r="B978" s="2" t="s">
        <v>12</v>
      </c>
      <c r="C978" s="2" t="s">
        <v>13</v>
      </c>
      <c r="D978" s="3" t="n">
        <v>5000</v>
      </c>
      <c r="E978" s="3" t="n">
        <v>0</v>
      </c>
      <c r="F978" s="3" t="n">
        <v>3.98</v>
      </c>
    </row>
    <row r="979" customFormat="false" ht="12.75" hidden="false" customHeight="false" outlineLevel="0" collapsed="false">
      <c r="A979" s="2" t="s">
        <v>451</v>
      </c>
      <c r="B979" s="2" t="s">
        <v>98</v>
      </c>
      <c r="C979" s="2" t="s">
        <v>8</v>
      </c>
      <c r="D979" s="3" t="n">
        <v>20000</v>
      </c>
      <c r="E979" s="3" t="n">
        <v>0</v>
      </c>
      <c r="F979" s="3" t="n">
        <v>3.87</v>
      </c>
    </row>
    <row r="980" customFormat="false" ht="12.75" hidden="false" customHeight="false" outlineLevel="0" collapsed="false">
      <c r="A980" s="2" t="s">
        <v>451</v>
      </c>
      <c r="B980" s="2" t="s">
        <v>176</v>
      </c>
      <c r="C980" s="2" t="s">
        <v>8</v>
      </c>
      <c r="D980" s="3" t="n">
        <v>0</v>
      </c>
      <c r="E980" s="3" t="n">
        <v>10000</v>
      </c>
      <c r="F980" s="3" t="n">
        <v>3.875</v>
      </c>
    </row>
    <row r="981" customFormat="false" ht="12.75" hidden="false" customHeight="false" outlineLevel="0" collapsed="false">
      <c r="A981" s="2" t="s">
        <v>451</v>
      </c>
      <c r="B981" s="2" t="s">
        <v>164</v>
      </c>
      <c r="C981" s="2" t="s">
        <v>8</v>
      </c>
      <c r="D981" s="3" t="n">
        <v>0</v>
      </c>
      <c r="E981" s="3" t="n">
        <v>10000</v>
      </c>
      <c r="F981" s="3" t="n">
        <v>3.875</v>
      </c>
    </row>
    <row r="982" customFormat="false" ht="12.75" hidden="false" customHeight="false" outlineLevel="0" collapsed="false">
      <c r="A982" s="2" t="s">
        <v>452</v>
      </c>
      <c r="B982" s="2" t="s">
        <v>85</v>
      </c>
      <c r="C982" s="2" t="s">
        <v>8</v>
      </c>
      <c r="D982" s="3" t="n">
        <v>0</v>
      </c>
      <c r="E982" s="3" t="n">
        <v>20000</v>
      </c>
      <c r="F982" s="3" t="n">
        <v>3.875</v>
      </c>
    </row>
    <row r="983" customFormat="false" ht="12.75" hidden="false" customHeight="false" outlineLevel="0" collapsed="false">
      <c r="A983" s="2" t="s">
        <v>452</v>
      </c>
      <c r="B983" s="2" t="s">
        <v>37</v>
      </c>
      <c r="C983" s="2" t="s">
        <v>32</v>
      </c>
      <c r="D983" s="3" t="n">
        <v>0</v>
      </c>
      <c r="E983" s="3" t="n">
        <v>5000</v>
      </c>
      <c r="F983" s="3" t="n">
        <v>3.97</v>
      </c>
    </row>
    <row r="984" customFormat="false" ht="12.75" hidden="false" customHeight="false" outlineLevel="0" collapsed="false">
      <c r="A984" s="2" t="s">
        <v>452</v>
      </c>
      <c r="B984" s="2" t="s">
        <v>201</v>
      </c>
      <c r="C984" s="2" t="s">
        <v>8</v>
      </c>
      <c r="D984" s="3" t="n">
        <v>10000</v>
      </c>
      <c r="E984" s="3" t="n">
        <v>0</v>
      </c>
      <c r="F984" s="3" t="n">
        <v>3.87</v>
      </c>
    </row>
    <row r="985" customFormat="false" ht="12.75" hidden="false" customHeight="false" outlineLevel="0" collapsed="false">
      <c r="A985" s="2" t="s">
        <v>452</v>
      </c>
      <c r="B985" s="2" t="s">
        <v>201</v>
      </c>
      <c r="C985" s="2" t="s">
        <v>8</v>
      </c>
      <c r="D985" s="3" t="n">
        <v>20000</v>
      </c>
      <c r="E985" s="3" t="n">
        <v>0</v>
      </c>
      <c r="F985" s="3" t="n">
        <v>3.87</v>
      </c>
    </row>
    <row r="986" customFormat="false" ht="12.75" hidden="false" customHeight="false" outlineLevel="0" collapsed="false">
      <c r="A986" s="2" t="s">
        <v>453</v>
      </c>
      <c r="B986" s="2" t="s">
        <v>12</v>
      </c>
      <c r="C986" s="2" t="s">
        <v>13</v>
      </c>
      <c r="D986" s="3" t="n">
        <v>5000</v>
      </c>
      <c r="E986" s="3" t="n">
        <v>0</v>
      </c>
      <c r="F986" s="3" t="n">
        <v>3.975</v>
      </c>
    </row>
    <row r="987" customFormat="false" ht="12.75" hidden="false" customHeight="false" outlineLevel="0" collapsed="false">
      <c r="A987" s="2" t="s">
        <v>454</v>
      </c>
      <c r="B987" s="2" t="s">
        <v>7</v>
      </c>
      <c r="C987" s="2" t="s">
        <v>8</v>
      </c>
      <c r="D987" s="3" t="n">
        <v>0</v>
      </c>
      <c r="E987" s="3" t="n">
        <v>15000</v>
      </c>
      <c r="F987" s="3" t="n">
        <v>3.875</v>
      </c>
    </row>
    <row r="988" customFormat="false" ht="12.75" hidden="false" customHeight="false" outlineLevel="0" collapsed="false">
      <c r="A988" s="2" t="s">
        <v>455</v>
      </c>
      <c r="B988" s="2" t="s">
        <v>64</v>
      </c>
      <c r="C988" s="2" t="s">
        <v>8</v>
      </c>
      <c r="D988" s="3" t="n">
        <v>20000</v>
      </c>
      <c r="E988" s="3" t="n">
        <v>0</v>
      </c>
      <c r="F988" s="3" t="n">
        <v>3.87</v>
      </c>
    </row>
    <row r="989" customFormat="false" ht="12.75" hidden="false" customHeight="false" outlineLevel="0" collapsed="false">
      <c r="A989" s="2" t="s">
        <v>456</v>
      </c>
      <c r="B989" s="2" t="s">
        <v>245</v>
      </c>
      <c r="C989" s="2" t="s">
        <v>22</v>
      </c>
      <c r="D989" s="3" t="n">
        <v>0</v>
      </c>
      <c r="E989" s="3" t="n">
        <v>2500</v>
      </c>
      <c r="F989" s="3" t="n">
        <v>4.375</v>
      </c>
    </row>
    <row r="990" customFormat="false" ht="12.75" hidden="false" customHeight="false" outlineLevel="0" collapsed="false">
      <c r="A990" s="2" t="s">
        <v>457</v>
      </c>
      <c r="B990" s="2" t="s">
        <v>57</v>
      </c>
      <c r="C990" s="2" t="s">
        <v>32</v>
      </c>
      <c r="D990" s="3" t="n">
        <v>0</v>
      </c>
      <c r="E990" s="3" t="n">
        <v>20000</v>
      </c>
      <c r="F990" s="3" t="n">
        <v>3.9725</v>
      </c>
    </row>
    <row r="991" customFormat="false" ht="12.75" hidden="false" customHeight="false" outlineLevel="0" collapsed="false">
      <c r="A991" s="2" t="s">
        <v>458</v>
      </c>
      <c r="B991" s="2" t="s">
        <v>20</v>
      </c>
      <c r="C991" s="2" t="s">
        <v>8</v>
      </c>
      <c r="D991" s="3" t="n">
        <v>0</v>
      </c>
      <c r="E991" s="3" t="n">
        <v>5000</v>
      </c>
      <c r="F991" s="3" t="n">
        <v>3.885</v>
      </c>
    </row>
    <row r="992" customFormat="false" ht="12.75" hidden="false" customHeight="false" outlineLevel="0" collapsed="false">
      <c r="A992" s="2" t="s">
        <v>458</v>
      </c>
      <c r="B992" s="2" t="s">
        <v>176</v>
      </c>
      <c r="C992" s="2" t="s">
        <v>8</v>
      </c>
      <c r="D992" s="3" t="n">
        <v>0</v>
      </c>
      <c r="E992" s="3" t="n">
        <v>20000</v>
      </c>
      <c r="F992" s="3" t="n">
        <v>3.88</v>
      </c>
    </row>
    <row r="993" customFormat="false" ht="12.75" hidden="false" customHeight="false" outlineLevel="0" collapsed="false">
      <c r="A993" s="2" t="s">
        <v>459</v>
      </c>
      <c r="B993" s="2" t="s">
        <v>26</v>
      </c>
      <c r="C993" s="2" t="s">
        <v>8</v>
      </c>
      <c r="D993" s="3" t="n">
        <v>0</v>
      </c>
      <c r="E993" s="3" t="n">
        <v>5000</v>
      </c>
      <c r="F993" s="3" t="n">
        <v>3.885</v>
      </c>
    </row>
    <row r="994" customFormat="false" ht="12.75" hidden="false" customHeight="false" outlineLevel="0" collapsed="false">
      <c r="A994" s="2" t="s">
        <v>459</v>
      </c>
      <c r="B994" s="2" t="s">
        <v>252</v>
      </c>
      <c r="C994" s="2" t="s">
        <v>18</v>
      </c>
      <c r="D994" s="3" t="n">
        <v>0</v>
      </c>
      <c r="E994" s="3" t="n">
        <v>5000</v>
      </c>
      <c r="F994" s="3" t="n">
        <v>4.04</v>
      </c>
    </row>
    <row r="995" customFormat="false" ht="12.75" hidden="false" customHeight="false" outlineLevel="0" collapsed="false">
      <c r="A995" s="2" t="s">
        <v>459</v>
      </c>
      <c r="B995" s="2" t="s">
        <v>72</v>
      </c>
      <c r="C995" s="2" t="s">
        <v>8</v>
      </c>
      <c r="D995" s="3" t="n">
        <v>0</v>
      </c>
      <c r="E995" s="3" t="n">
        <v>5000</v>
      </c>
      <c r="F995" s="3" t="n">
        <v>3.885</v>
      </c>
    </row>
    <row r="996" customFormat="false" ht="12.75" hidden="false" customHeight="false" outlineLevel="0" collapsed="false">
      <c r="A996" s="2" t="s">
        <v>459</v>
      </c>
      <c r="B996" s="2" t="s">
        <v>24</v>
      </c>
      <c r="C996" s="2" t="s">
        <v>22</v>
      </c>
      <c r="D996" s="3" t="n">
        <v>0</v>
      </c>
      <c r="E996" s="3" t="n">
        <v>5000</v>
      </c>
      <c r="F996" s="3" t="n">
        <v>4.385</v>
      </c>
    </row>
    <row r="997" customFormat="false" ht="12.75" hidden="false" customHeight="false" outlineLevel="0" collapsed="false">
      <c r="A997" s="2" t="s">
        <v>459</v>
      </c>
      <c r="B997" s="2" t="s">
        <v>24</v>
      </c>
      <c r="C997" s="2" t="s">
        <v>8</v>
      </c>
      <c r="D997" s="3" t="n">
        <v>0</v>
      </c>
      <c r="E997" s="3" t="n">
        <v>5000</v>
      </c>
      <c r="F997" s="3" t="n">
        <v>3.885</v>
      </c>
    </row>
    <row r="998" customFormat="false" ht="12.75" hidden="false" customHeight="false" outlineLevel="0" collapsed="false">
      <c r="A998" s="2" t="s">
        <v>460</v>
      </c>
      <c r="B998" s="2" t="s">
        <v>252</v>
      </c>
      <c r="C998" s="2" t="s">
        <v>8</v>
      </c>
      <c r="D998" s="3" t="n">
        <v>0</v>
      </c>
      <c r="E998" s="3" t="n">
        <v>20000</v>
      </c>
      <c r="F998" s="3" t="n">
        <v>3.895</v>
      </c>
    </row>
    <row r="999" customFormat="false" ht="12.75" hidden="false" customHeight="false" outlineLevel="0" collapsed="false">
      <c r="A999" s="2" t="s">
        <v>460</v>
      </c>
      <c r="B999" s="2" t="s">
        <v>442</v>
      </c>
      <c r="C999" s="2" t="s">
        <v>8</v>
      </c>
      <c r="D999" s="3" t="n">
        <v>0</v>
      </c>
      <c r="E999" s="3" t="n">
        <v>10000</v>
      </c>
      <c r="F999" s="3" t="n">
        <v>3.89</v>
      </c>
    </row>
    <row r="1000" customFormat="false" ht="12.75" hidden="false" customHeight="false" outlineLevel="0" collapsed="false">
      <c r="A1000" s="2" t="s">
        <v>460</v>
      </c>
      <c r="B1000" s="2" t="s">
        <v>258</v>
      </c>
      <c r="C1000" s="2" t="s">
        <v>8</v>
      </c>
      <c r="D1000" s="3" t="n">
        <v>0</v>
      </c>
      <c r="E1000" s="3" t="n">
        <v>10000</v>
      </c>
      <c r="F1000" s="3" t="n">
        <v>3.89</v>
      </c>
    </row>
    <row r="1001" customFormat="false" ht="12.75" hidden="false" customHeight="false" outlineLevel="0" collapsed="false">
      <c r="A1001" s="2" t="s">
        <v>460</v>
      </c>
      <c r="B1001" s="2" t="s">
        <v>109</v>
      </c>
      <c r="C1001" s="2" t="s">
        <v>22</v>
      </c>
      <c r="D1001" s="3" t="n">
        <v>0</v>
      </c>
      <c r="E1001" s="3" t="n">
        <v>5000</v>
      </c>
      <c r="F1001" s="3" t="n">
        <v>4.395</v>
      </c>
    </row>
    <row r="1002" customFormat="false" ht="12.75" hidden="false" customHeight="false" outlineLevel="0" collapsed="false">
      <c r="A1002" s="2" t="s">
        <v>461</v>
      </c>
      <c r="B1002" s="2" t="s">
        <v>103</v>
      </c>
      <c r="C1002" s="2" t="s">
        <v>8</v>
      </c>
      <c r="D1002" s="3" t="n">
        <v>0</v>
      </c>
      <c r="E1002" s="3" t="n">
        <v>20000</v>
      </c>
      <c r="F1002" s="3" t="n">
        <v>3.905</v>
      </c>
    </row>
    <row r="1003" customFormat="false" ht="12.75" hidden="false" customHeight="false" outlineLevel="0" collapsed="false">
      <c r="A1003" s="2" t="s">
        <v>461</v>
      </c>
      <c r="B1003" s="2" t="s">
        <v>139</v>
      </c>
      <c r="C1003" s="2" t="s">
        <v>8</v>
      </c>
      <c r="D1003" s="3" t="n">
        <v>10000</v>
      </c>
      <c r="E1003" s="3" t="n">
        <v>0</v>
      </c>
      <c r="F1003" s="3" t="n">
        <v>3.9</v>
      </c>
    </row>
    <row r="1004" customFormat="false" ht="12.75" hidden="false" customHeight="false" outlineLevel="0" collapsed="false">
      <c r="A1004" s="2" t="s">
        <v>461</v>
      </c>
      <c r="B1004" s="2" t="s">
        <v>191</v>
      </c>
      <c r="C1004" s="2" t="s">
        <v>8</v>
      </c>
      <c r="D1004" s="3" t="n">
        <v>10000</v>
      </c>
      <c r="E1004" s="3" t="n">
        <v>0</v>
      </c>
      <c r="F1004" s="3" t="n">
        <v>3.8975</v>
      </c>
    </row>
    <row r="1005" customFormat="false" ht="12.75" hidden="false" customHeight="false" outlineLevel="0" collapsed="false">
      <c r="A1005" s="2" t="s">
        <v>461</v>
      </c>
      <c r="B1005" s="2" t="s">
        <v>258</v>
      </c>
      <c r="C1005" s="2" t="s">
        <v>8</v>
      </c>
      <c r="D1005" s="3" t="n">
        <v>0</v>
      </c>
      <c r="E1005" s="3" t="n">
        <v>10000</v>
      </c>
      <c r="F1005" s="3" t="n">
        <v>3.9</v>
      </c>
    </row>
    <row r="1006" customFormat="false" ht="12.75" hidden="false" customHeight="false" outlineLevel="0" collapsed="false">
      <c r="A1006" s="2" t="s">
        <v>461</v>
      </c>
      <c r="B1006" s="2" t="s">
        <v>24</v>
      </c>
      <c r="C1006" s="2" t="s">
        <v>8</v>
      </c>
      <c r="D1006" s="3" t="n">
        <v>0</v>
      </c>
      <c r="E1006" s="3" t="n">
        <v>10000</v>
      </c>
      <c r="F1006" s="3" t="n">
        <v>3.9</v>
      </c>
    </row>
    <row r="1007" customFormat="false" ht="12.75" hidden="false" customHeight="false" outlineLevel="0" collapsed="false">
      <c r="A1007" s="2" t="s">
        <v>462</v>
      </c>
      <c r="B1007" s="2" t="s">
        <v>15</v>
      </c>
      <c r="C1007" s="2" t="s">
        <v>65</v>
      </c>
      <c r="D1007" s="3" t="n">
        <v>20000</v>
      </c>
      <c r="E1007" s="3" t="n">
        <v>0</v>
      </c>
      <c r="F1007" s="3" t="n">
        <v>4.035</v>
      </c>
    </row>
    <row r="1008" customFormat="false" ht="12.75" hidden="false" customHeight="false" outlineLevel="0" collapsed="false">
      <c r="A1008" s="2" t="s">
        <v>462</v>
      </c>
      <c r="B1008" s="2" t="s">
        <v>24</v>
      </c>
      <c r="C1008" s="2" t="s">
        <v>8</v>
      </c>
      <c r="D1008" s="3" t="n">
        <v>0</v>
      </c>
      <c r="E1008" s="3" t="n">
        <v>15000</v>
      </c>
      <c r="F1008" s="3" t="n">
        <v>3.9</v>
      </c>
    </row>
    <row r="1009" customFormat="false" ht="12.75" hidden="false" customHeight="false" outlineLevel="0" collapsed="false">
      <c r="A1009" s="2" t="s">
        <v>462</v>
      </c>
      <c r="B1009" s="2" t="s">
        <v>12</v>
      </c>
      <c r="C1009" s="2" t="s">
        <v>65</v>
      </c>
      <c r="D1009" s="3" t="n">
        <v>20000</v>
      </c>
      <c r="E1009" s="3" t="n">
        <v>0</v>
      </c>
      <c r="F1009" s="3" t="n">
        <v>4.04</v>
      </c>
    </row>
    <row r="1010" customFormat="false" ht="12.75" hidden="false" customHeight="false" outlineLevel="0" collapsed="false">
      <c r="A1010" s="2" t="s">
        <v>462</v>
      </c>
      <c r="B1010" s="2" t="s">
        <v>55</v>
      </c>
      <c r="C1010" s="2" t="s">
        <v>8</v>
      </c>
      <c r="D1010" s="3" t="n">
        <v>0</v>
      </c>
      <c r="E1010" s="3" t="n">
        <v>5000</v>
      </c>
      <c r="F1010" s="3" t="n">
        <v>3.9</v>
      </c>
    </row>
    <row r="1011" customFormat="false" ht="12.75" hidden="false" customHeight="false" outlineLevel="0" collapsed="false">
      <c r="A1011" s="2" t="s">
        <v>463</v>
      </c>
      <c r="B1011" s="2" t="s">
        <v>100</v>
      </c>
      <c r="C1011" s="2" t="s">
        <v>8</v>
      </c>
      <c r="D1011" s="3" t="n">
        <v>0</v>
      </c>
      <c r="E1011" s="3" t="n">
        <v>10000</v>
      </c>
      <c r="F1011" s="3" t="n">
        <v>3.9</v>
      </c>
    </row>
    <row r="1012" customFormat="false" ht="12.75" hidden="false" customHeight="false" outlineLevel="0" collapsed="false">
      <c r="A1012" s="2" t="s">
        <v>463</v>
      </c>
      <c r="B1012" s="2" t="s">
        <v>94</v>
      </c>
      <c r="C1012" s="2" t="s">
        <v>8</v>
      </c>
      <c r="D1012" s="3" t="n">
        <v>0</v>
      </c>
      <c r="E1012" s="3" t="n">
        <v>5000</v>
      </c>
      <c r="F1012" s="3" t="n">
        <v>3.9</v>
      </c>
    </row>
    <row r="1013" customFormat="false" ht="12.75" hidden="false" customHeight="false" outlineLevel="0" collapsed="false">
      <c r="A1013" s="2" t="s">
        <v>463</v>
      </c>
      <c r="B1013" s="2" t="s">
        <v>24</v>
      </c>
      <c r="C1013" s="2" t="s">
        <v>8</v>
      </c>
      <c r="D1013" s="3" t="n">
        <v>20000</v>
      </c>
      <c r="E1013" s="3" t="n">
        <v>0</v>
      </c>
      <c r="F1013" s="3" t="n">
        <v>3.895</v>
      </c>
    </row>
    <row r="1014" customFormat="false" ht="12.75" hidden="false" customHeight="false" outlineLevel="0" collapsed="false">
      <c r="A1014" s="2" t="s">
        <v>464</v>
      </c>
      <c r="B1014" s="2" t="s">
        <v>214</v>
      </c>
      <c r="C1014" s="2" t="s">
        <v>8</v>
      </c>
      <c r="D1014" s="3" t="n">
        <v>2500</v>
      </c>
      <c r="E1014" s="3" t="n">
        <v>0</v>
      </c>
      <c r="F1014" s="3" t="n">
        <v>3.89</v>
      </c>
    </row>
    <row r="1015" customFormat="false" ht="12.75" hidden="false" customHeight="false" outlineLevel="0" collapsed="false">
      <c r="A1015" s="2" t="s">
        <v>464</v>
      </c>
      <c r="B1015" s="2" t="s">
        <v>164</v>
      </c>
      <c r="C1015" s="2" t="s">
        <v>8</v>
      </c>
      <c r="D1015" s="3" t="n">
        <v>0</v>
      </c>
      <c r="E1015" s="3" t="n">
        <v>5000</v>
      </c>
      <c r="F1015" s="3" t="n">
        <v>3.9</v>
      </c>
    </row>
    <row r="1016" customFormat="false" ht="12.75" hidden="false" customHeight="false" outlineLevel="0" collapsed="false">
      <c r="A1016" s="2" t="s">
        <v>464</v>
      </c>
      <c r="B1016" s="2" t="s">
        <v>12</v>
      </c>
      <c r="C1016" s="2" t="s">
        <v>65</v>
      </c>
      <c r="D1016" s="3" t="n">
        <v>17500</v>
      </c>
      <c r="E1016" s="3" t="n">
        <v>0</v>
      </c>
      <c r="F1016" s="3" t="n">
        <v>4.04</v>
      </c>
    </row>
    <row r="1017" customFormat="false" ht="12.75" hidden="false" customHeight="false" outlineLevel="0" collapsed="false">
      <c r="A1017" s="2" t="s">
        <v>465</v>
      </c>
      <c r="B1017" s="2" t="s">
        <v>72</v>
      </c>
      <c r="C1017" s="2" t="s">
        <v>8</v>
      </c>
      <c r="D1017" s="3" t="n">
        <v>0</v>
      </c>
      <c r="E1017" s="3" t="n">
        <v>5000</v>
      </c>
      <c r="F1017" s="3" t="n">
        <v>3.9</v>
      </c>
    </row>
    <row r="1018" customFormat="false" ht="12.75" hidden="false" customHeight="false" outlineLevel="0" collapsed="false">
      <c r="A1018" s="2" t="s">
        <v>465</v>
      </c>
      <c r="B1018" s="2" t="s">
        <v>168</v>
      </c>
      <c r="C1018" s="2" t="s">
        <v>8</v>
      </c>
      <c r="D1018" s="3" t="n">
        <v>20000</v>
      </c>
      <c r="E1018" s="3" t="n">
        <v>0</v>
      </c>
      <c r="F1018" s="3" t="n">
        <v>3.89</v>
      </c>
    </row>
    <row r="1019" customFormat="false" ht="12.75" hidden="false" customHeight="false" outlineLevel="0" collapsed="false">
      <c r="A1019" s="2" t="s">
        <v>466</v>
      </c>
      <c r="B1019" s="2" t="s">
        <v>31</v>
      </c>
      <c r="C1019" s="2" t="s">
        <v>8</v>
      </c>
      <c r="D1019" s="3" t="n">
        <v>0</v>
      </c>
      <c r="E1019" s="3" t="n">
        <v>15000</v>
      </c>
      <c r="F1019" s="3" t="n">
        <v>3.895</v>
      </c>
    </row>
    <row r="1020" customFormat="false" ht="12.75" hidden="false" customHeight="false" outlineLevel="0" collapsed="false">
      <c r="A1020" s="2" t="s">
        <v>466</v>
      </c>
      <c r="B1020" s="2" t="s">
        <v>83</v>
      </c>
      <c r="C1020" s="2" t="s">
        <v>8</v>
      </c>
      <c r="D1020" s="3" t="n">
        <v>5000</v>
      </c>
      <c r="E1020" s="3" t="n">
        <v>0</v>
      </c>
      <c r="F1020" s="3" t="n">
        <v>3.89</v>
      </c>
    </row>
    <row r="1021" customFormat="false" ht="12.75" hidden="false" customHeight="false" outlineLevel="0" collapsed="false">
      <c r="A1021" s="2" t="s">
        <v>467</v>
      </c>
      <c r="B1021" s="2" t="s">
        <v>100</v>
      </c>
      <c r="C1021" s="2" t="s">
        <v>8</v>
      </c>
      <c r="D1021" s="3" t="n">
        <v>0</v>
      </c>
      <c r="E1021" s="3" t="n">
        <v>10000</v>
      </c>
      <c r="F1021" s="3" t="n">
        <v>3.9</v>
      </c>
    </row>
    <row r="1022" customFormat="false" ht="12.75" hidden="false" customHeight="false" outlineLevel="0" collapsed="false">
      <c r="A1022" s="2" t="s">
        <v>467</v>
      </c>
      <c r="B1022" s="2" t="s">
        <v>26</v>
      </c>
      <c r="C1022" s="2" t="s">
        <v>8</v>
      </c>
      <c r="D1022" s="3" t="n">
        <v>0</v>
      </c>
      <c r="E1022" s="3" t="n">
        <v>2500</v>
      </c>
      <c r="F1022" s="3" t="n">
        <v>3.9</v>
      </c>
    </row>
    <row r="1023" customFormat="false" ht="12.75" hidden="false" customHeight="false" outlineLevel="0" collapsed="false">
      <c r="A1023" s="2" t="s">
        <v>467</v>
      </c>
      <c r="B1023" s="2" t="s">
        <v>85</v>
      </c>
      <c r="C1023" s="2" t="s">
        <v>8</v>
      </c>
      <c r="D1023" s="3" t="n">
        <v>0</v>
      </c>
      <c r="E1023" s="3" t="n">
        <v>5000</v>
      </c>
      <c r="F1023" s="3" t="n">
        <v>3.9</v>
      </c>
    </row>
    <row r="1024" customFormat="false" ht="12.75" hidden="false" customHeight="false" outlineLevel="0" collapsed="false">
      <c r="A1024" s="2" t="s">
        <v>467</v>
      </c>
      <c r="B1024" s="2" t="s">
        <v>49</v>
      </c>
      <c r="C1024" s="2" t="s">
        <v>8</v>
      </c>
      <c r="D1024" s="3" t="n">
        <v>0</v>
      </c>
      <c r="E1024" s="3" t="n">
        <v>2500</v>
      </c>
      <c r="F1024" s="3" t="n">
        <v>3.9</v>
      </c>
    </row>
    <row r="1025" customFormat="false" ht="12.75" hidden="false" customHeight="false" outlineLevel="0" collapsed="false">
      <c r="A1025" s="2" t="s">
        <v>467</v>
      </c>
      <c r="B1025" s="2" t="s">
        <v>72</v>
      </c>
      <c r="C1025" s="2" t="s">
        <v>8</v>
      </c>
      <c r="D1025" s="3" t="n">
        <v>15000</v>
      </c>
      <c r="E1025" s="3" t="n">
        <v>0</v>
      </c>
      <c r="F1025" s="3" t="n">
        <v>3.895</v>
      </c>
    </row>
    <row r="1026" customFormat="false" ht="12.75" hidden="false" customHeight="false" outlineLevel="0" collapsed="false">
      <c r="A1026" s="2" t="s">
        <v>467</v>
      </c>
      <c r="B1026" s="2" t="s">
        <v>31</v>
      </c>
      <c r="C1026" s="2" t="s">
        <v>8</v>
      </c>
      <c r="D1026" s="3" t="n">
        <v>0</v>
      </c>
      <c r="E1026" s="3" t="n">
        <v>5000</v>
      </c>
      <c r="F1026" s="3" t="n">
        <v>3.9</v>
      </c>
    </row>
    <row r="1027" customFormat="false" ht="12.75" hidden="false" customHeight="false" outlineLevel="0" collapsed="false">
      <c r="A1027" s="2" t="s">
        <v>468</v>
      </c>
      <c r="B1027" s="2" t="s">
        <v>100</v>
      </c>
      <c r="C1027" s="2" t="s">
        <v>8</v>
      </c>
      <c r="D1027" s="3" t="n">
        <v>0</v>
      </c>
      <c r="E1027" s="3" t="n">
        <v>7500</v>
      </c>
      <c r="F1027" s="3" t="n">
        <v>3.9</v>
      </c>
    </row>
    <row r="1028" customFormat="false" ht="12.75" hidden="false" customHeight="false" outlineLevel="0" collapsed="false">
      <c r="A1028" s="2" t="s">
        <v>468</v>
      </c>
      <c r="B1028" s="2" t="s">
        <v>26</v>
      </c>
      <c r="C1028" s="2" t="s">
        <v>8</v>
      </c>
      <c r="D1028" s="3" t="n">
        <v>0</v>
      </c>
      <c r="E1028" s="3" t="n">
        <v>7500</v>
      </c>
      <c r="F1028" s="3" t="n">
        <v>3.9</v>
      </c>
    </row>
    <row r="1029" customFormat="false" ht="12.75" hidden="false" customHeight="false" outlineLevel="0" collapsed="false">
      <c r="A1029" s="2" t="s">
        <v>468</v>
      </c>
      <c r="B1029" s="2" t="s">
        <v>252</v>
      </c>
      <c r="C1029" s="2" t="s">
        <v>13</v>
      </c>
      <c r="D1029" s="3" t="n">
        <v>0</v>
      </c>
      <c r="E1029" s="3" t="n">
        <v>5000</v>
      </c>
      <c r="F1029" s="3" t="n">
        <v>4.015</v>
      </c>
    </row>
    <row r="1030" customFormat="false" ht="12.75" hidden="false" customHeight="false" outlineLevel="0" collapsed="false">
      <c r="A1030" s="2" t="s">
        <v>469</v>
      </c>
      <c r="B1030" s="2" t="s">
        <v>100</v>
      </c>
      <c r="C1030" s="2" t="s">
        <v>8</v>
      </c>
      <c r="D1030" s="3" t="n">
        <v>0</v>
      </c>
      <c r="E1030" s="3" t="n">
        <v>2500</v>
      </c>
      <c r="F1030" s="3" t="n">
        <v>3.91</v>
      </c>
    </row>
    <row r="1031" customFormat="false" ht="12.75" hidden="false" customHeight="false" outlineLevel="0" collapsed="false">
      <c r="A1031" s="2" t="s">
        <v>469</v>
      </c>
      <c r="B1031" s="2" t="s">
        <v>7</v>
      </c>
      <c r="C1031" s="2" t="s">
        <v>13</v>
      </c>
      <c r="D1031" s="3" t="n">
        <v>0</v>
      </c>
      <c r="E1031" s="3" t="n">
        <v>2500</v>
      </c>
      <c r="F1031" s="3" t="n">
        <v>4.02</v>
      </c>
    </row>
    <row r="1032" customFormat="false" ht="12.75" hidden="false" customHeight="false" outlineLevel="0" collapsed="false">
      <c r="A1032" s="2" t="s">
        <v>469</v>
      </c>
      <c r="B1032" s="2" t="s">
        <v>93</v>
      </c>
      <c r="C1032" s="2" t="s">
        <v>8</v>
      </c>
      <c r="D1032" s="3" t="n">
        <v>0</v>
      </c>
      <c r="E1032" s="3" t="n">
        <v>17500</v>
      </c>
      <c r="F1032" s="3" t="n">
        <v>3.91</v>
      </c>
    </row>
    <row r="1033" customFormat="false" ht="12.75" hidden="false" customHeight="false" outlineLevel="0" collapsed="false">
      <c r="A1033" s="2" t="s">
        <v>470</v>
      </c>
      <c r="B1033" s="2" t="s">
        <v>70</v>
      </c>
      <c r="C1033" s="2" t="s">
        <v>13</v>
      </c>
      <c r="D1033" s="3" t="n">
        <v>0</v>
      </c>
      <c r="E1033" s="3" t="n">
        <v>2500</v>
      </c>
      <c r="F1033" s="3" t="n">
        <v>4.02</v>
      </c>
    </row>
    <row r="1034" customFormat="false" ht="12.75" hidden="false" customHeight="false" outlineLevel="0" collapsed="false">
      <c r="A1034" s="2" t="s">
        <v>470</v>
      </c>
      <c r="B1034" s="2" t="s">
        <v>103</v>
      </c>
      <c r="C1034" s="2" t="s">
        <v>8</v>
      </c>
      <c r="D1034" s="3" t="n">
        <v>0</v>
      </c>
      <c r="E1034" s="3" t="n">
        <v>20000</v>
      </c>
      <c r="F1034" s="3" t="n">
        <v>3.915</v>
      </c>
    </row>
    <row r="1035" customFormat="false" ht="12.75" hidden="false" customHeight="false" outlineLevel="0" collapsed="false">
      <c r="A1035" s="2" t="s">
        <v>470</v>
      </c>
      <c r="B1035" s="2" t="s">
        <v>72</v>
      </c>
      <c r="C1035" s="2" t="s">
        <v>32</v>
      </c>
      <c r="D1035" s="3" t="n">
        <v>5000</v>
      </c>
      <c r="E1035" s="3" t="n">
        <v>0</v>
      </c>
      <c r="F1035" s="3" t="n">
        <v>4.0025</v>
      </c>
    </row>
    <row r="1036" customFormat="false" ht="12.75" hidden="false" customHeight="false" outlineLevel="0" collapsed="false">
      <c r="A1036" s="2" t="s">
        <v>470</v>
      </c>
      <c r="B1036" s="2" t="s">
        <v>214</v>
      </c>
      <c r="C1036" s="2" t="s">
        <v>8</v>
      </c>
      <c r="D1036" s="3" t="n">
        <v>5000</v>
      </c>
      <c r="E1036" s="3" t="n">
        <v>0</v>
      </c>
      <c r="F1036" s="3" t="n">
        <v>3.905</v>
      </c>
    </row>
    <row r="1037" customFormat="false" ht="12.75" hidden="false" customHeight="false" outlineLevel="0" collapsed="false">
      <c r="A1037" s="2" t="s">
        <v>471</v>
      </c>
      <c r="B1037" s="2" t="s">
        <v>114</v>
      </c>
      <c r="C1037" s="2" t="s">
        <v>8</v>
      </c>
      <c r="D1037" s="3" t="n">
        <v>10000</v>
      </c>
      <c r="E1037" s="3" t="n">
        <v>0</v>
      </c>
      <c r="F1037" s="3" t="n">
        <v>3.905</v>
      </c>
    </row>
    <row r="1038" customFormat="false" ht="12.75" hidden="false" customHeight="false" outlineLevel="0" collapsed="false">
      <c r="A1038" s="2" t="s">
        <v>471</v>
      </c>
      <c r="B1038" s="2" t="s">
        <v>72</v>
      </c>
      <c r="C1038" s="2" t="s">
        <v>32</v>
      </c>
      <c r="D1038" s="3" t="n">
        <v>5000</v>
      </c>
      <c r="E1038" s="3" t="n">
        <v>0</v>
      </c>
      <c r="F1038" s="3" t="n">
        <v>3.9975</v>
      </c>
    </row>
    <row r="1039" customFormat="false" ht="12.75" hidden="false" customHeight="false" outlineLevel="0" collapsed="false">
      <c r="A1039" s="2" t="s">
        <v>471</v>
      </c>
      <c r="B1039" s="2" t="s">
        <v>72</v>
      </c>
      <c r="C1039" s="2" t="s">
        <v>32</v>
      </c>
      <c r="D1039" s="3" t="n">
        <v>7500</v>
      </c>
      <c r="E1039" s="3" t="n">
        <v>0</v>
      </c>
      <c r="F1039" s="3" t="n">
        <v>4.0025</v>
      </c>
    </row>
    <row r="1040" customFormat="false" ht="12.75" hidden="false" customHeight="false" outlineLevel="0" collapsed="false">
      <c r="A1040" s="2" t="s">
        <v>471</v>
      </c>
      <c r="B1040" s="2" t="s">
        <v>72</v>
      </c>
      <c r="C1040" s="2" t="s">
        <v>32</v>
      </c>
      <c r="D1040" s="3" t="n">
        <v>7500</v>
      </c>
      <c r="E1040" s="3" t="n">
        <v>0</v>
      </c>
      <c r="F1040" s="3" t="n">
        <v>4.0025</v>
      </c>
    </row>
    <row r="1041" customFormat="false" ht="12.75" hidden="false" customHeight="false" outlineLevel="0" collapsed="false">
      <c r="A1041" s="2" t="s">
        <v>471</v>
      </c>
      <c r="B1041" s="2" t="s">
        <v>39</v>
      </c>
      <c r="C1041" s="2" t="s">
        <v>8</v>
      </c>
      <c r="D1041" s="3" t="n">
        <v>0</v>
      </c>
      <c r="E1041" s="3" t="n">
        <v>20000</v>
      </c>
      <c r="F1041" s="3" t="n">
        <v>3.91</v>
      </c>
    </row>
    <row r="1042" customFormat="false" ht="12.75" hidden="false" customHeight="false" outlineLevel="0" collapsed="false">
      <c r="A1042" s="2" t="s">
        <v>471</v>
      </c>
      <c r="B1042" s="2" t="s">
        <v>12</v>
      </c>
      <c r="C1042" s="2" t="s">
        <v>65</v>
      </c>
      <c r="D1042" s="3" t="n">
        <v>10000</v>
      </c>
      <c r="E1042" s="3" t="n">
        <v>0</v>
      </c>
      <c r="F1042" s="3" t="n">
        <v>4.05</v>
      </c>
    </row>
    <row r="1043" customFormat="false" ht="12.75" hidden="false" customHeight="false" outlineLevel="0" collapsed="false">
      <c r="A1043" s="2" t="s">
        <v>472</v>
      </c>
      <c r="B1043" s="2" t="s">
        <v>26</v>
      </c>
      <c r="C1043" s="2" t="s">
        <v>32</v>
      </c>
      <c r="D1043" s="3" t="n">
        <v>2500</v>
      </c>
      <c r="E1043" s="3" t="n">
        <v>0</v>
      </c>
      <c r="F1043" s="3" t="n">
        <v>3.9925</v>
      </c>
    </row>
    <row r="1044" customFormat="false" ht="12.75" hidden="false" customHeight="false" outlineLevel="0" collapsed="false">
      <c r="A1044" s="2" t="s">
        <v>472</v>
      </c>
      <c r="B1044" s="2" t="s">
        <v>97</v>
      </c>
      <c r="C1044" s="2" t="s">
        <v>8</v>
      </c>
      <c r="D1044" s="3" t="n">
        <v>10000</v>
      </c>
      <c r="E1044" s="3" t="n">
        <v>0</v>
      </c>
      <c r="F1044" s="3" t="n">
        <v>3.9</v>
      </c>
    </row>
    <row r="1045" customFormat="false" ht="12.75" hidden="false" customHeight="false" outlineLevel="0" collapsed="false">
      <c r="A1045" s="2" t="s">
        <v>472</v>
      </c>
      <c r="B1045" s="2" t="s">
        <v>86</v>
      </c>
      <c r="C1045" s="2" t="s">
        <v>8</v>
      </c>
      <c r="D1045" s="3" t="n">
        <v>5000</v>
      </c>
      <c r="E1045" s="3" t="n">
        <v>0</v>
      </c>
      <c r="F1045" s="3" t="n">
        <v>3.9</v>
      </c>
    </row>
    <row r="1046" customFormat="false" ht="12.75" hidden="false" customHeight="false" outlineLevel="0" collapsed="false">
      <c r="A1046" s="2" t="s">
        <v>472</v>
      </c>
      <c r="B1046" s="2" t="s">
        <v>30</v>
      </c>
      <c r="C1046" s="2" t="s">
        <v>13</v>
      </c>
      <c r="D1046" s="3" t="n">
        <v>2500</v>
      </c>
      <c r="E1046" s="3" t="n">
        <v>0</v>
      </c>
      <c r="F1046" s="3" t="n">
        <v>4.005</v>
      </c>
    </row>
    <row r="1047" customFormat="false" ht="12.75" hidden="false" customHeight="false" outlineLevel="0" collapsed="false">
      <c r="A1047" s="2" t="s">
        <v>472</v>
      </c>
      <c r="B1047" s="2" t="s">
        <v>214</v>
      </c>
      <c r="C1047" s="2" t="s">
        <v>32</v>
      </c>
      <c r="D1047" s="3" t="n">
        <v>5000</v>
      </c>
      <c r="E1047" s="3" t="n">
        <v>0</v>
      </c>
      <c r="F1047" s="3" t="n">
        <v>3.9975</v>
      </c>
    </row>
    <row r="1048" customFormat="false" ht="12.75" hidden="false" customHeight="false" outlineLevel="0" collapsed="false">
      <c r="A1048" s="2" t="s">
        <v>472</v>
      </c>
      <c r="B1048" s="2" t="s">
        <v>24</v>
      </c>
      <c r="C1048" s="2" t="s">
        <v>18</v>
      </c>
      <c r="D1048" s="3" t="n">
        <v>5000</v>
      </c>
      <c r="E1048" s="3" t="n">
        <v>0</v>
      </c>
      <c r="F1048" s="3" t="n">
        <v>4.05</v>
      </c>
    </row>
    <row r="1049" customFormat="false" ht="12.75" hidden="false" customHeight="false" outlineLevel="0" collapsed="false">
      <c r="A1049" s="2" t="s">
        <v>473</v>
      </c>
      <c r="B1049" s="2" t="s">
        <v>97</v>
      </c>
      <c r="C1049" s="2" t="s">
        <v>18</v>
      </c>
      <c r="D1049" s="3" t="n">
        <v>2500</v>
      </c>
      <c r="E1049" s="3" t="n">
        <v>0</v>
      </c>
      <c r="F1049" s="3" t="n">
        <v>4.04</v>
      </c>
    </row>
    <row r="1050" customFormat="false" ht="12.75" hidden="false" customHeight="false" outlineLevel="0" collapsed="false">
      <c r="A1050" s="2" t="s">
        <v>473</v>
      </c>
      <c r="B1050" s="2" t="s">
        <v>86</v>
      </c>
      <c r="C1050" s="2" t="s">
        <v>8</v>
      </c>
      <c r="D1050" s="3" t="n">
        <v>5000</v>
      </c>
      <c r="E1050" s="3" t="n">
        <v>0</v>
      </c>
      <c r="F1050" s="3" t="n">
        <v>3.895</v>
      </c>
    </row>
    <row r="1051" customFormat="false" ht="12.75" hidden="false" customHeight="false" outlineLevel="0" collapsed="false">
      <c r="A1051" s="2" t="s">
        <v>473</v>
      </c>
      <c r="B1051" s="2" t="s">
        <v>258</v>
      </c>
      <c r="C1051" s="2" t="s">
        <v>8</v>
      </c>
      <c r="D1051" s="3" t="n">
        <v>5000</v>
      </c>
      <c r="E1051" s="3" t="n">
        <v>0</v>
      </c>
      <c r="F1051" s="3" t="n">
        <v>3.895</v>
      </c>
    </row>
    <row r="1052" customFormat="false" ht="12.75" hidden="false" customHeight="false" outlineLevel="0" collapsed="false">
      <c r="A1052" s="2" t="s">
        <v>473</v>
      </c>
      <c r="B1052" s="2" t="s">
        <v>248</v>
      </c>
      <c r="C1052" s="2" t="s">
        <v>8</v>
      </c>
      <c r="D1052" s="3" t="n">
        <v>20000</v>
      </c>
      <c r="E1052" s="3" t="n">
        <v>0</v>
      </c>
      <c r="F1052" s="3" t="n">
        <v>3.89</v>
      </c>
    </row>
    <row r="1053" customFormat="false" ht="12.75" hidden="false" customHeight="false" outlineLevel="0" collapsed="false">
      <c r="A1053" s="2" t="s">
        <v>473</v>
      </c>
      <c r="B1053" s="2" t="s">
        <v>176</v>
      </c>
      <c r="C1053" s="2" t="s">
        <v>8</v>
      </c>
      <c r="D1053" s="3" t="n">
        <v>5000</v>
      </c>
      <c r="E1053" s="3" t="n">
        <v>0</v>
      </c>
      <c r="F1053" s="3" t="n">
        <v>3.895</v>
      </c>
    </row>
    <row r="1054" customFormat="false" ht="12.75" hidden="false" customHeight="false" outlineLevel="0" collapsed="false">
      <c r="A1054" s="2" t="s">
        <v>473</v>
      </c>
      <c r="B1054" s="2" t="s">
        <v>24</v>
      </c>
      <c r="C1054" s="2" t="s">
        <v>8</v>
      </c>
      <c r="D1054" s="3" t="n">
        <v>2500</v>
      </c>
      <c r="E1054" s="3" t="n">
        <v>0</v>
      </c>
      <c r="F1054" s="3" t="n">
        <v>3.895</v>
      </c>
    </row>
    <row r="1055" customFormat="false" ht="12.75" hidden="false" customHeight="false" outlineLevel="0" collapsed="false">
      <c r="A1055" s="2" t="s">
        <v>473</v>
      </c>
      <c r="B1055" s="2" t="s">
        <v>24</v>
      </c>
      <c r="C1055" s="2" t="s">
        <v>8</v>
      </c>
      <c r="D1055" s="3" t="n">
        <v>20000</v>
      </c>
      <c r="E1055" s="3" t="n">
        <v>0</v>
      </c>
      <c r="F1055" s="3" t="n">
        <v>3.885</v>
      </c>
    </row>
    <row r="1056" customFormat="false" ht="12.75" hidden="false" customHeight="false" outlineLevel="0" collapsed="false">
      <c r="A1056" s="2" t="s">
        <v>474</v>
      </c>
      <c r="B1056" s="2" t="s">
        <v>86</v>
      </c>
      <c r="C1056" s="2" t="s">
        <v>13</v>
      </c>
      <c r="D1056" s="3" t="n">
        <v>5000</v>
      </c>
      <c r="E1056" s="3" t="n">
        <v>0</v>
      </c>
      <c r="F1056" s="3" t="n">
        <v>3.99</v>
      </c>
    </row>
    <row r="1057" customFormat="false" ht="12.75" hidden="false" customHeight="false" outlineLevel="0" collapsed="false">
      <c r="A1057" s="2" t="s">
        <v>474</v>
      </c>
      <c r="B1057" s="2" t="s">
        <v>68</v>
      </c>
      <c r="C1057" s="2" t="s">
        <v>13</v>
      </c>
      <c r="D1057" s="3" t="n">
        <v>2500</v>
      </c>
      <c r="E1057" s="3" t="n">
        <v>0</v>
      </c>
      <c r="F1057" s="3" t="n">
        <v>3.985</v>
      </c>
    </row>
    <row r="1058" customFormat="false" ht="12.75" hidden="false" customHeight="false" outlineLevel="0" collapsed="false">
      <c r="A1058" s="2" t="s">
        <v>474</v>
      </c>
      <c r="B1058" s="2" t="s">
        <v>199</v>
      </c>
      <c r="C1058" s="2" t="s">
        <v>22</v>
      </c>
      <c r="D1058" s="3" t="n">
        <v>5000</v>
      </c>
      <c r="E1058" s="3" t="n">
        <v>0</v>
      </c>
      <c r="F1058" s="3" t="n">
        <v>4.375</v>
      </c>
    </row>
    <row r="1059" customFormat="false" ht="12.75" hidden="false" customHeight="false" outlineLevel="0" collapsed="false">
      <c r="A1059" s="2" t="s">
        <v>474</v>
      </c>
      <c r="B1059" s="2" t="s">
        <v>24</v>
      </c>
      <c r="C1059" s="2" t="s">
        <v>13</v>
      </c>
      <c r="D1059" s="3" t="n">
        <v>5000</v>
      </c>
      <c r="E1059" s="3" t="n">
        <v>0</v>
      </c>
      <c r="F1059" s="3" t="n">
        <v>3.995</v>
      </c>
    </row>
    <row r="1060" customFormat="false" ht="12.75" hidden="false" customHeight="false" outlineLevel="0" collapsed="false">
      <c r="A1060" s="2" t="s">
        <v>474</v>
      </c>
      <c r="B1060" s="2" t="s">
        <v>24</v>
      </c>
      <c r="C1060" s="2" t="s">
        <v>8</v>
      </c>
      <c r="D1060" s="3" t="n">
        <v>20000</v>
      </c>
      <c r="E1060" s="3" t="n">
        <v>0</v>
      </c>
      <c r="F1060" s="3" t="n">
        <v>3.88</v>
      </c>
    </row>
    <row r="1061" customFormat="false" ht="12.75" hidden="false" customHeight="false" outlineLevel="0" collapsed="false">
      <c r="A1061" s="2" t="s">
        <v>475</v>
      </c>
      <c r="B1061" s="2" t="s">
        <v>26</v>
      </c>
      <c r="C1061" s="2" t="s">
        <v>18</v>
      </c>
      <c r="D1061" s="3" t="n">
        <v>5000</v>
      </c>
      <c r="E1061" s="3" t="n">
        <v>0</v>
      </c>
      <c r="F1061" s="3" t="n">
        <v>4.035</v>
      </c>
    </row>
    <row r="1062" customFormat="false" ht="12.75" hidden="false" customHeight="false" outlineLevel="0" collapsed="false">
      <c r="A1062" s="2" t="s">
        <v>475</v>
      </c>
      <c r="B1062" s="2" t="s">
        <v>39</v>
      </c>
      <c r="C1062" s="2" t="s">
        <v>8</v>
      </c>
      <c r="D1062" s="3" t="n">
        <v>0</v>
      </c>
      <c r="E1062" s="3" t="n">
        <v>20000</v>
      </c>
      <c r="F1062" s="3" t="n">
        <v>3.88</v>
      </c>
    </row>
    <row r="1063" customFormat="false" ht="12.75" hidden="false" customHeight="false" outlineLevel="0" collapsed="false">
      <c r="A1063" s="2" t="s">
        <v>475</v>
      </c>
      <c r="B1063" s="2" t="s">
        <v>476</v>
      </c>
      <c r="C1063" s="2" t="s">
        <v>272</v>
      </c>
      <c r="D1063" s="3" t="n">
        <v>0</v>
      </c>
      <c r="E1063" s="3" t="n">
        <v>50</v>
      </c>
      <c r="F1063" s="3" t="n">
        <v>3.875</v>
      </c>
    </row>
    <row r="1064" customFormat="false" ht="12.75" hidden="false" customHeight="false" outlineLevel="0" collapsed="false">
      <c r="A1064" s="2" t="s">
        <v>475</v>
      </c>
      <c r="B1064" s="2" t="s">
        <v>476</v>
      </c>
      <c r="C1064" s="2" t="s">
        <v>242</v>
      </c>
      <c r="D1064" s="3" t="n">
        <v>50</v>
      </c>
      <c r="E1064" s="3" t="n">
        <v>0</v>
      </c>
      <c r="F1064" s="3" t="n">
        <v>3.97</v>
      </c>
    </row>
    <row r="1065" customFormat="false" ht="12.75" hidden="false" customHeight="false" outlineLevel="0" collapsed="false">
      <c r="A1065" s="2" t="s">
        <v>475</v>
      </c>
      <c r="B1065" s="2" t="s">
        <v>24</v>
      </c>
      <c r="C1065" s="2" t="s">
        <v>8</v>
      </c>
      <c r="D1065" s="3" t="n">
        <v>20000</v>
      </c>
      <c r="E1065" s="3" t="n">
        <v>0</v>
      </c>
      <c r="F1065" s="3" t="n">
        <v>3.875</v>
      </c>
    </row>
    <row r="1066" customFormat="false" ht="12.75" hidden="false" customHeight="false" outlineLevel="0" collapsed="false">
      <c r="A1066" s="2" t="s">
        <v>477</v>
      </c>
      <c r="B1066" s="2" t="s">
        <v>12</v>
      </c>
      <c r="C1066" s="2" t="s">
        <v>65</v>
      </c>
      <c r="D1066" s="3" t="n">
        <v>0</v>
      </c>
      <c r="E1066" s="3" t="n">
        <v>20000</v>
      </c>
      <c r="F1066" s="3" t="n">
        <v>4.0275</v>
      </c>
    </row>
    <row r="1067" customFormat="false" ht="12.75" hidden="false" customHeight="false" outlineLevel="0" collapsed="false">
      <c r="A1067" s="2" t="s">
        <v>478</v>
      </c>
      <c r="B1067" s="2" t="s">
        <v>218</v>
      </c>
      <c r="C1067" s="2" t="s">
        <v>8</v>
      </c>
      <c r="D1067" s="3" t="n">
        <v>10000</v>
      </c>
      <c r="E1067" s="3" t="n">
        <v>0</v>
      </c>
      <c r="F1067" s="3" t="n">
        <v>3.88</v>
      </c>
    </row>
    <row r="1068" customFormat="false" ht="12.75" hidden="false" customHeight="false" outlineLevel="0" collapsed="false">
      <c r="A1068" s="2" t="s">
        <v>478</v>
      </c>
      <c r="B1068" s="2" t="s">
        <v>258</v>
      </c>
      <c r="C1068" s="2" t="s">
        <v>8</v>
      </c>
      <c r="D1068" s="3" t="n">
        <v>5000</v>
      </c>
      <c r="E1068" s="3" t="n">
        <v>0</v>
      </c>
      <c r="F1068" s="3" t="n">
        <v>3.88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6"/>
  <sheetViews>
    <sheetView showFormulas="false" showGridLines="true" showRowColHeaders="true" showZeros="true" rightToLeft="false" tabSelected="false" showOutlineSymbols="true" defaultGridColor="true" view="normal" topLeftCell="A13" colorId="64" zoomScale="85" zoomScaleNormal="85" zoomScalePageLayoutView="100" workbookViewId="0">
      <selection pane="topLeft" activeCell="I11" activeCellId="0" sqref="I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4" width="9.14"/>
    <col collapsed="false" customWidth="true" hidden="false" outlineLevel="0" max="2" min="2" style="0" width="9.41"/>
    <col collapsed="false" customWidth="true" hidden="false" outlineLevel="0" max="3" min="3" style="55" width="17.14"/>
    <col collapsed="false" customWidth="true" hidden="false" outlineLevel="0" max="4" min="4" style="0" width="3.14"/>
    <col collapsed="false" customWidth="true" hidden="false" outlineLevel="0" max="5" min="5" style="56" width="10.13"/>
    <col collapsed="false" customWidth="true" hidden="false" outlineLevel="0" max="6" min="6" style="0" width="9.41"/>
    <col collapsed="false" customWidth="true" hidden="false" outlineLevel="0" max="7" min="7" style="57" width="15.28"/>
    <col collapsed="false" customWidth="true" hidden="false" outlineLevel="0" max="8" min="8" style="0" width="2.84"/>
    <col collapsed="false" customWidth="true" hidden="false" outlineLevel="0" max="9" min="9" style="58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9" t="s">
        <v>529</v>
      </c>
      <c r="B1" s="6"/>
      <c r="C1" s="60"/>
      <c r="D1" s="21"/>
      <c r="E1" s="59" t="s">
        <v>530</v>
      </c>
      <c r="F1" s="6"/>
      <c r="G1" s="61"/>
      <c r="I1" s="62"/>
      <c r="K1" s="63"/>
    </row>
    <row r="2" customFormat="false" ht="12.75" hidden="false" customHeight="false" outlineLevel="0" collapsed="false">
      <c r="A2" s="64"/>
      <c r="B2" s="6"/>
      <c r="C2" s="60" t="n">
        <f aca="false">A2*B2*10000</f>
        <v>0</v>
      </c>
      <c r="D2" s="21"/>
      <c r="E2" s="65"/>
      <c r="F2" s="66"/>
      <c r="G2" s="67" t="n">
        <f aca="false">E2*F2*10000</f>
        <v>0</v>
      </c>
      <c r="I2" s="68"/>
    </row>
    <row r="3" customFormat="false" ht="12.75" hidden="false" customHeight="false" outlineLevel="0" collapsed="false">
      <c r="A3" s="64"/>
      <c r="B3" s="6"/>
      <c r="C3" s="60" t="n">
        <f aca="false">A3*B3*10000</f>
        <v>0</v>
      </c>
      <c r="D3" s="21"/>
      <c r="E3" s="69"/>
      <c r="F3" s="6"/>
      <c r="G3" s="67" t="n">
        <f aca="false">E3*F3*10000</f>
        <v>0</v>
      </c>
      <c r="I3" s="70"/>
      <c r="K3" s="71"/>
    </row>
    <row r="4" customFormat="false" ht="12.75" hidden="false" customHeight="false" outlineLevel="0" collapsed="false">
      <c r="A4" s="72"/>
      <c r="B4" s="66"/>
      <c r="C4" s="60" t="n">
        <f aca="false">A4*B4*10000</f>
        <v>0</v>
      </c>
      <c r="D4" s="21"/>
      <c r="E4" s="69"/>
      <c r="F4" s="6"/>
      <c r="G4" s="67" t="n">
        <f aca="false">E4*F4*10000</f>
        <v>0</v>
      </c>
      <c r="J4" s="68"/>
      <c r="K4" s="21" t="n">
        <f aca="false">4.69+0.032</f>
        <v>4.722</v>
      </c>
    </row>
    <row r="5" customFormat="false" ht="12.75" hidden="false" customHeight="false" outlineLevel="0" collapsed="false">
      <c r="A5" s="72"/>
      <c r="B5" s="66"/>
      <c r="C5" s="60" t="n">
        <f aca="false">A5*B5*10000</f>
        <v>0</v>
      </c>
      <c r="D5" s="21"/>
      <c r="E5" s="65"/>
      <c r="F5" s="66"/>
      <c r="G5" s="67" t="n">
        <f aca="false">E5*F5*10000</f>
        <v>0</v>
      </c>
      <c r="I5" s="68"/>
      <c r="J5" s="40"/>
      <c r="K5" s="21"/>
    </row>
    <row r="6" customFormat="false" ht="12.75" hidden="false" customHeight="false" outlineLevel="0" collapsed="false">
      <c r="A6" s="73"/>
      <c r="B6" s="6"/>
      <c r="C6" s="60" t="n">
        <f aca="false">A6*B6*10000</f>
        <v>0</v>
      </c>
      <c r="D6" s="21"/>
      <c r="E6" s="69"/>
      <c r="F6" s="6"/>
      <c r="G6" s="67" t="n">
        <f aca="false">E6*F6*10000</f>
        <v>0</v>
      </c>
      <c r="I6" s="68" t="s">
        <v>540</v>
      </c>
      <c r="J6" s="40"/>
      <c r="K6" s="21"/>
    </row>
    <row r="7" customFormat="false" ht="12.75" hidden="false" customHeight="false" outlineLevel="0" collapsed="false">
      <c r="A7" s="69"/>
      <c r="B7" s="6"/>
      <c r="C7" s="60" t="n">
        <f aca="false">A7*B7*10000</f>
        <v>0</v>
      </c>
      <c r="D7" s="21"/>
      <c r="E7" s="69"/>
      <c r="F7" s="6"/>
      <c r="G7" s="67" t="n">
        <f aca="false">E7*F7*10000</f>
        <v>0</v>
      </c>
      <c r="I7" s="68"/>
      <c r="M7" s="0" t="n">
        <v>15</v>
      </c>
      <c r="N7" s="0" t="n">
        <v>3.995</v>
      </c>
      <c r="O7" s="0" t="n">
        <f aca="false">M7*N7</f>
        <v>59.925</v>
      </c>
    </row>
    <row r="8" customFormat="false" ht="12.75" hidden="false" customHeight="false" outlineLevel="0" collapsed="false">
      <c r="A8" s="69"/>
      <c r="B8" s="6"/>
      <c r="C8" s="60" t="n">
        <f aca="false">A8*B8*10000</f>
        <v>0</v>
      </c>
      <c r="D8" s="21"/>
      <c r="E8" s="69"/>
      <c r="F8" s="6"/>
      <c r="G8" s="67" t="n">
        <f aca="false">E8*F8*10000</f>
        <v>0</v>
      </c>
      <c r="I8" s="68"/>
      <c r="K8" s="21"/>
      <c r="M8" s="0" t="n">
        <v>30</v>
      </c>
      <c r="N8" s="0" t="n">
        <v>4.02</v>
      </c>
      <c r="O8" s="0" t="n">
        <f aca="false">M8*N8</f>
        <v>120.6</v>
      </c>
    </row>
    <row r="9" customFormat="false" ht="12.75" hidden="false" customHeight="false" outlineLevel="0" collapsed="false">
      <c r="A9" s="69"/>
      <c r="B9" s="6"/>
      <c r="C9" s="60" t="n">
        <f aca="false">A9*B9*10000</f>
        <v>0</v>
      </c>
      <c r="D9" s="21"/>
      <c r="E9" s="69"/>
      <c r="F9" s="6"/>
      <c r="G9" s="67" t="n">
        <f aca="false">E9*F9*10000</f>
        <v>0</v>
      </c>
      <c r="I9" s="68"/>
      <c r="K9" s="0" t="n">
        <f aca="false">1250*30</f>
        <v>37500</v>
      </c>
      <c r="M9" s="0" t="n">
        <f aca="false">SUM(M7:M8)</f>
        <v>45</v>
      </c>
      <c r="O9" s="0" t="n">
        <f aca="false">SUM(O7:O8)</f>
        <v>180.525</v>
      </c>
    </row>
    <row r="10" customFormat="false" ht="12.75" hidden="false" customHeight="false" outlineLevel="0" collapsed="false">
      <c r="A10" s="69"/>
      <c r="B10" s="6"/>
      <c r="C10" s="60" t="n">
        <f aca="false">A10*B10*10000</f>
        <v>0</v>
      </c>
      <c r="D10" s="21"/>
      <c r="E10" s="69"/>
      <c r="F10" s="6"/>
      <c r="G10" s="67" t="n">
        <f aca="false">E10*F10*10000</f>
        <v>0</v>
      </c>
      <c r="I10" s="68"/>
      <c r="O10" s="0" t="n">
        <f aca="false">O9/M9</f>
        <v>4.01166666666667</v>
      </c>
    </row>
    <row r="11" customFormat="false" ht="12.75" hidden="false" customHeight="false" outlineLevel="0" collapsed="false">
      <c r="A11" s="69"/>
      <c r="B11" s="6"/>
      <c r="C11" s="60" t="n">
        <f aca="false">A11*B11*10000</f>
        <v>0</v>
      </c>
      <c r="D11" s="21"/>
      <c r="E11" s="69"/>
      <c r="F11" s="6"/>
      <c r="G11" s="67" t="n">
        <f aca="false">E11*F11*10000</f>
        <v>0</v>
      </c>
      <c r="I11" s="68"/>
    </row>
    <row r="12" customFormat="false" ht="12.75" hidden="false" customHeight="false" outlineLevel="0" collapsed="false">
      <c r="A12" s="69"/>
      <c r="B12" s="6"/>
      <c r="C12" s="60" t="n">
        <f aca="false">A12*B12*10000</f>
        <v>0</v>
      </c>
      <c r="D12" s="21"/>
      <c r="E12" s="69"/>
      <c r="F12" s="6"/>
      <c r="G12" s="67" t="n">
        <f aca="false">E12*F12*10000</f>
        <v>0</v>
      </c>
      <c r="I12" s="68"/>
    </row>
    <row r="13" customFormat="false" ht="12.75" hidden="false" customHeight="false" outlineLevel="0" collapsed="false">
      <c r="A13" s="69"/>
      <c r="B13" s="6"/>
      <c r="C13" s="60" t="n">
        <f aca="false">A13*B13*10000</f>
        <v>0</v>
      </c>
      <c r="D13" s="21"/>
      <c r="E13" s="69"/>
      <c r="F13" s="6"/>
      <c r="G13" s="67" t="n">
        <f aca="false">E13*F13*10000</f>
        <v>0</v>
      </c>
      <c r="I13" s="68"/>
    </row>
    <row r="14" customFormat="false" ht="12.75" hidden="false" customHeight="false" outlineLevel="0" collapsed="false">
      <c r="A14" s="69"/>
      <c r="B14" s="6"/>
      <c r="C14" s="60" t="n">
        <f aca="false">A14*B14*10000</f>
        <v>0</v>
      </c>
      <c r="D14" s="21"/>
      <c r="E14" s="65"/>
      <c r="F14" s="66"/>
      <c r="G14" s="67" t="n">
        <f aca="false">E14*F14*10000</f>
        <v>0</v>
      </c>
      <c r="I14" s="68"/>
    </row>
    <row r="15" customFormat="false" ht="12.75" hidden="false" customHeight="false" outlineLevel="0" collapsed="false">
      <c r="A15" s="69"/>
      <c r="B15" s="6"/>
      <c r="C15" s="60" t="n">
        <f aca="false">A15*B15*10000</f>
        <v>0</v>
      </c>
      <c r="D15" s="21"/>
      <c r="E15" s="65"/>
      <c r="F15" s="66"/>
      <c r="G15" s="67" t="n">
        <f aca="false">E15*F15*10000</f>
        <v>0</v>
      </c>
      <c r="I15" s="68"/>
    </row>
    <row r="16" customFormat="false" ht="12.75" hidden="false" customHeight="false" outlineLevel="0" collapsed="false">
      <c r="A16" s="69"/>
      <c r="B16" s="6"/>
      <c r="C16" s="60" t="n">
        <f aca="false">A16*B16*10000</f>
        <v>0</v>
      </c>
      <c r="D16" s="21"/>
      <c r="E16" s="65"/>
      <c r="F16" s="66"/>
      <c r="G16" s="67" t="n">
        <f aca="false">E16*F16*10000</f>
        <v>0</v>
      </c>
      <c r="I16" s="68"/>
      <c r="L16" s="0" t="n">
        <f aca="false">7500*31</f>
        <v>232500</v>
      </c>
    </row>
    <row r="17" customFormat="false" ht="12.75" hidden="false" customHeight="false" outlineLevel="0" collapsed="false">
      <c r="A17" s="69"/>
      <c r="B17" s="6"/>
      <c r="C17" s="60" t="n">
        <f aca="false">A17*B17*10000</f>
        <v>0</v>
      </c>
      <c r="D17" s="21"/>
      <c r="E17" s="65"/>
      <c r="F17" s="66"/>
      <c r="G17" s="67" t="n">
        <f aca="false">E17*F17*10000</f>
        <v>0</v>
      </c>
      <c r="I17" s="68"/>
    </row>
    <row r="18" customFormat="false" ht="12.75" hidden="false" customHeight="false" outlineLevel="0" collapsed="false">
      <c r="A18" s="69"/>
      <c r="B18" s="6"/>
      <c r="C18" s="60" t="n">
        <f aca="false">A18*B18*10000</f>
        <v>0</v>
      </c>
      <c r="D18" s="21"/>
      <c r="E18" s="65"/>
      <c r="F18" s="66"/>
      <c r="G18" s="67" t="n">
        <f aca="false">E18*F18*10000</f>
        <v>0</v>
      </c>
      <c r="I18" s="68"/>
    </row>
    <row r="19" customFormat="false" ht="12.75" hidden="false" customHeight="false" outlineLevel="0" collapsed="false">
      <c r="A19" s="69"/>
      <c r="B19" s="6"/>
      <c r="C19" s="60" t="n">
        <f aca="false">A19*B19*10000</f>
        <v>0</v>
      </c>
      <c r="D19" s="21"/>
      <c r="E19" s="65"/>
      <c r="F19" s="66"/>
      <c r="G19" s="67" t="n">
        <f aca="false">E19*F19*10000</f>
        <v>0</v>
      </c>
      <c r="I19" s="68"/>
    </row>
    <row r="20" customFormat="false" ht="12.75" hidden="false" customHeight="false" outlineLevel="0" collapsed="false">
      <c r="A20" s="69"/>
      <c r="B20" s="6"/>
      <c r="C20" s="60" t="n">
        <f aca="false">A20*B20*10000</f>
        <v>0</v>
      </c>
      <c r="D20" s="21"/>
      <c r="E20" s="65"/>
      <c r="F20" s="66"/>
      <c r="G20" s="67" t="n">
        <f aca="false">E20*F20*10000</f>
        <v>0</v>
      </c>
      <c r="I20" s="68"/>
    </row>
    <row r="21" customFormat="false" ht="12.75" hidden="false" customHeight="false" outlineLevel="0" collapsed="false">
      <c r="A21" s="69"/>
      <c r="B21" s="6"/>
      <c r="C21" s="60" t="n">
        <f aca="false">A21*B21*10000</f>
        <v>0</v>
      </c>
      <c r="D21" s="21"/>
      <c r="E21" s="65"/>
      <c r="F21" s="66"/>
      <c r="G21" s="67" t="n">
        <f aca="false">E21*F21*10000</f>
        <v>0</v>
      </c>
      <c r="I21" s="68"/>
    </row>
    <row r="22" customFormat="false" ht="12.75" hidden="false" customHeight="false" outlineLevel="0" collapsed="false">
      <c r="A22" s="69"/>
      <c r="B22" s="6"/>
      <c r="C22" s="60" t="n">
        <f aca="false">A22*B22*10000</f>
        <v>0</v>
      </c>
      <c r="D22" s="21"/>
      <c r="E22" s="65"/>
      <c r="F22" s="66"/>
      <c r="G22" s="67" t="n">
        <f aca="false">E22*F22*10000</f>
        <v>0</v>
      </c>
      <c r="I22" s="68"/>
    </row>
    <row r="23" customFormat="false" ht="12.75" hidden="false" customHeight="false" outlineLevel="0" collapsed="false">
      <c r="A23" s="69"/>
      <c r="B23" s="6"/>
      <c r="C23" s="60" t="n">
        <f aca="false">A23*B23*10000</f>
        <v>0</v>
      </c>
      <c r="D23" s="21"/>
      <c r="E23" s="65"/>
      <c r="F23" s="66"/>
      <c r="G23" s="67" t="n">
        <f aca="false">E23*F23*10000</f>
        <v>0</v>
      </c>
      <c r="I23" s="68"/>
    </row>
    <row r="24" customFormat="false" ht="12" hidden="false" customHeight="true" outlineLevel="0" collapsed="false">
      <c r="A24" s="69"/>
      <c r="B24" s="6"/>
      <c r="C24" s="60" t="n">
        <f aca="false">A24*B24*10000</f>
        <v>0</v>
      </c>
      <c r="D24" s="21"/>
      <c r="E24" s="65"/>
      <c r="F24" s="66"/>
      <c r="G24" s="67" t="n">
        <f aca="false">E24*F24*10000</f>
        <v>0</v>
      </c>
      <c r="I24" s="68"/>
    </row>
    <row r="25" customFormat="false" ht="12" hidden="false" customHeight="true" outlineLevel="0" collapsed="false">
      <c r="A25" s="69"/>
      <c r="B25" s="6"/>
      <c r="C25" s="60" t="n">
        <f aca="false">A25*B25*10000</f>
        <v>0</v>
      </c>
      <c r="D25" s="21"/>
      <c r="E25" s="65"/>
      <c r="F25" s="66"/>
      <c r="G25" s="67" t="n">
        <f aca="false">E25*F25*10000</f>
        <v>0</v>
      </c>
      <c r="I25" s="68"/>
    </row>
    <row r="26" customFormat="false" ht="12" hidden="false" customHeight="true" outlineLevel="0" collapsed="false">
      <c r="A26" s="69"/>
      <c r="B26" s="6"/>
      <c r="C26" s="60" t="n">
        <f aca="false">A26*B26*10000</f>
        <v>0</v>
      </c>
      <c r="D26" s="21"/>
      <c r="E26" s="65"/>
      <c r="F26" s="66"/>
      <c r="G26" s="67" t="n">
        <f aca="false">E26*F26*10000</f>
        <v>0</v>
      </c>
      <c r="I26" s="68" t="s">
        <v>531</v>
      </c>
      <c r="K26" s="0" t="n">
        <f aca="false">7500*30</f>
        <v>225000</v>
      </c>
    </row>
    <row r="27" customFormat="false" ht="12" hidden="false" customHeight="true" outlineLevel="0" collapsed="false">
      <c r="A27" s="69"/>
      <c r="B27" s="6"/>
      <c r="C27" s="60" t="n">
        <f aca="false">A27*B27*10000</f>
        <v>0</v>
      </c>
      <c r="D27" s="21"/>
      <c r="E27" s="65"/>
      <c r="F27" s="66"/>
      <c r="G27" s="67" t="n">
        <f aca="false">E27*F27*10000</f>
        <v>0</v>
      </c>
      <c r="I27" s="68"/>
    </row>
    <row r="28" customFormat="false" ht="12" hidden="false" customHeight="true" outlineLevel="0" collapsed="false">
      <c r="A28" s="69"/>
      <c r="B28" s="6"/>
      <c r="C28" s="60" t="n">
        <f aca="false">A28*B28*10000</f>
        <v>0</v>
      </c>
      <c r="D28" s="21"/>
      <c r="E28" s="65"/>
      <c r="F28" s="66"/>
      <c r="G28" s="67" t="n">
        <f aca="false">E28*F28*10000</f>
        <v>0</v>
      </c>
      <c r="I28" s="68"/>
    </row>
    <row r="29" customFormat="false" ht="12" hidden="false" customHeight="true" outlineLevel="0" collapsed="false">
      <c r="A29" s="69"/>
      <c r="B29" s="6"/>
      <c r="C29" s="60" t="n">
        <f aca="false">A29*B29*10000</f>
        <v>0</v>
      </c>
      <c r="D29" s="21"/>
      <c r="E29" s="65"/>
      <c r="F29" s="66"/>
      <c r="G29" s="67" t="n">
        <f aca="false">E29*F29*10000</f>
        <v>0</v>
      </c>
      <c r="I29" s="68"/>
    </row>
    <row r="30" customFormat="false" ht="6" hidden="false" customHeight="true" outlineLevel="0" collapsed="false">
      <c r="A30" s="69"/>
      <c r="B30" s="6"/>
      <c r="C30" s="60" t="n">
        <f aca="false">A30*B30*10000</f>
        <v>0</v>
      </c>
      <c r="D30" s="21"/>
      <c r="E30" s="65"/>
      <c r="F30" s="66"/>
      <c r="G30" s="67" t="n">
        <f aca="false">E30*F30*10000</f>
        <v>0</v>
      </c>
      <c r="I30" s="68"/>
    </row>
    <row r="31" customFormat="false" ht="6" hidden="false" customHeight="true" outlineLevel="0" collapsed="false">
      <c r="A31" s="69"/>
      <c r="B31" s="6"/>
      <c r="C31" s="60" t="n">
        <f aca="false">A31*B31*10000</f>
        <v>0</v>
      </c>
      <c r="D31" s="21"/>
      <c r="E31" s="65"/>
      <c r="F31" s="66"/>
      <c r="G31" s="67" t="n">
        <f aca="false">E31*F31*10000</f>
        <v>0</v>
      </c>
      <c r="I31" s="68"/>
    </row>
    <row r="32" customFormat="false" ht="6" hidden="false" customHeight="true" outlineLevel="0" collapsed="false">
      <c r="A32" s="69"/>
      <c r="B32" s="6"/>
      <c r="C32" s="60" t="n">
        <f aca="false">A32*B32*10000</f>
        <v>0</v>
      </c>
      <c r="D32" s="21"/>
      <c r="E32" s="65"/>
      <c r="F32" s="66"/>
      <c r="G32" s="67" t="n">
        <f aca="false">E32*F32*10000</f>
        <v>0</v>
      </c>
      <c r="I32" s="68"/>
    </row>
    <row r="33" customFormat="false" ht="10.5" hidden="false" customHeight="true" outlineLevel="0" collapsed="false">
      <c r="A33" s="69"/>
      <c r="B33" s="6"/>
      <c r="C33" s="60" t="n">
        <f aca="false">A33*B33*10000</f>
        <v>0</v>
      </c>
      <c r="D33" s="21"/>
      <c r="E33" s="65"/>
      <c r="F33" s="66"/>
      <c r="G33" s="67" t="n">
        <f aca="false">E33*F33*10000</f>
        <v>0</v>
      </c>
      <c r="I33" s="68"/>
    </row>
    <row r="34" customFormat="false" ht="10.5" hidden="false" customHeight="true" outlineLevel="0" collapsed="false">
      <c r="A34" s="69"/>
      <c r="B34" s="6"/>
      <c r="C34" s="60" t="n">
        <f aca="false">A34*B34*10000</f>
        <v>0</v>
      </c>
      <c r="D34" s="21"/>
      <c r="E34" s="65"/>
      <c r="F34" s="66"/>
      <c r="G34" s="67" t="n">
        <f aca="false">E34*F34*10000</f>
        <v>0</v>
      </c>
      <c r="I34" s="68"/>
    </row>
    <row r="35" customFormat="false" ht="10.5" hidden="false" customHeight="true" outlineLevel="0" collapsed="false">
      <c r="A35" s="69"/>
      <c r="B35" s="6"/>
      <c r="C35" s="60" t="n">
        <f aca="false">A35*B35*10000</f>
        <v>0</v>
      </c>
      <c r="D35" s="21"/>
      <c r="E35" s="65"/>
      <c r="F35" s="66"/>
      <c r="G35" s="67" t="n">
        <f aca="false">E35*F35*10000</f>
        <v>0</v>
      </c>
      <c r="I35" s="68"/>
    </row>
    <row r="36" customFormat="false" ht="10.5" hidden="false" customHeight="true" outlineLevel="0" collapsed="false">
      <c r="A36" s="69"/>
      <c r="B36" s="6"/>
      <c r="C36" s="60" t="n">
        <f aca="false">A36*B36*10000</f>
        <v>0</v>
      </c>
      <c r="D36" s="21"/>
      <c r="E36" s="65"/>
      <c r="F36" s="66"/>
      <c r="G36" s="67" t="n">
        <f aca="false">E36*F36*10000</f>
        <v>0</v>
      </c>
      <c r="I36" s="68"/>
    </row>
    <row r="37" customFormat="false" ht="10.5" hidden="false" customHeight="true" outlineLevel="0" collapsed="false">
      <c r="A37" s="69"/>
      <c r="B37" s="6"/>
      <c r="C37" s="60" t="n">
        <f aca="false">A37*B37*10000</f>
        <v>0</v>
      </c>
      <c r="D37" s="21"/>
      <c r="E37" s="65"/>
      <c r="F37" s="66"/>
      <c r="G37" s="67" t="n">
        <f aca="false">E37*F37*10000</f>
        <v>0</v>
      </c>
      <c r="I37" s="68"/>
    </row>
    <row r="38" customFormat="false" ht="12" hidden="false" customHeight="true" outlineLevel="0" collapsed="false">
      <c r="A38" s="69"/>
      <c r="B38" s="6"/>
      <c r="C38" s="60" t="n">
        <f aca="false">A38*B38*10000</f>
        <v>0</v>
      </c>
      <c r="D38" s="21"/>
      <c r="E38" s="65"/>
      <c r="F38" s="66"/>
      <c r="G38" s="67" t="n">
        <f aca="false">E38*F38*10000</f>
        <v>0</v>
      </c>
      <c r="I38" s="68"/>
    </row>
    <row r="39" customFormat="false" ht="12.75" hidden="false" customHeight="false" outlineLevel="0" collapsed="false">
      <c r="E39" s="54"/>
      <c r="G39" s="74"/>
    </row>
    <row r="40" customFormat="false" ht="12.75" hidden="false" customHeight="false" outlineLevel="0" collapsed="false">
      <c r="A40" s="69" t="n">
        <f aca="false">SUM(A1:A39)</f>
        <v>0</v>
      </c>
      <c r="B40" s="6" t="n">
        <f aca="false">IF(A40=0,0,C40/A40/10000)</f>
        <v>0</v>
      </c>
      <c r="C40" s="60" t="n">
        <f aca="false">SUM(C1:C39)</f>
        <v>0</v>
      </c>
      <c r="E40" s="69" t="n">
        <f aca="false">SUM(E1:E39)</f>
        <v>0</v>
      </c>
      <c r="F40" s="6" t="n">
        <f aca="false">IF(E40=0,0,G40/E40/10000)</f>
        <v>0</v>
      </c>
      <c r="G40" s="67" t="n">
        <f aca="false">SUM(G1:G39)</f>
        <v>0</v>
      </c>
      <c r="I40" s="75" t="n">
        <f aca="false">MIN(A40,E40)*(B40-F40)*10000</f>
        <v>0</v>
      </c>
      <c r="J40" s="76"/>
      <c r="K40" s="76" t="s">
        <v>532</v>
      </c>
      <c r="L40" s="21"/>
      <c r="M40" s="21"/>
    </row>
    <row r="41" customFormat="false" ht="12.75" hidden="false" customHeight="false" outlineLevel="0" collapsed="false">
      <c r="I41" s="75"/>
      <c r="J41" s="76"/>
      <c r="K41" s="76"/>
      <c r="L41" s="21"/>
      <c r="M41" s="21"/>
    </row>
    <row r="42" customFormat="false" ht="12.75" hidden="false" customHeight="false" outlineLevel="0" collapsed="false">
      <c r="E42" s="56" t="n">
        <f aca="false">-A40+E40</f>
        <v>0</v>
      </c>
      <c r="F42" s="0" t="n">
        <f aca="false">IF(E42&lt;0,B40,F40)</f>
        <v>0</v>
      </c>
      <c r="G42" s="57" t="n">
        <f aca="false">IF(E42&lt;0,(F42-B45)*ABS(E42)*10000,-1*(F42-B45)*ABS(E42)*10000)</f>
        <v>0</v>
      </c>
      <c r="I42" s="75" t="n">
        <f aca="false">G42</f>
        <v>0</v>
      </c>
      <c r="J42" s="76"/>
      <c r="K42" s="76" t="s">
        <v>533</v>
      </c>
      <c r="L42" s="21"/>
      <c r="M42" s="21" t="s">
        <v>534</v>
      </c>
    </row>
    <row r="43" customFormat="false" ht="12.75" hidden="false" customHeight="false" outlineLevel="0" collapsed="false">
      <c r="L43" s="21"/>
      <c r="M43" s="21"/>
    </row>
    <row r="44" customFormat="false" ht="12.75" hidden="false" customHeight="false" outlineLevel="0" collapsed="false">
      <c r="E44" s="56" t="n">
        <f aca="false">-A40+E40</f>
        <v>0</v>
      </c>
      <c r="F44" s="0" t="n">
        <f aca="false">IF(E44&lt;0,(B40+(I40/(ABS(E44)*10000))),IF(E44=0,0,(F40-(I40/(ABS(E44)*10000)))))</f>
        <v>0</v>
      </c>
      <c r="G44" s="57" t="n">
        <f aca="false">IF(E44&lt;0,(F44-B45)*ABS(E44)*10000,IF(E44=0,0,-1*(F44-B45)*ABS(E44)*10000))</f>
        <v>0</v>
      </c>
      <c r="I44" s="77" t="n">
        <f aca="false">G44</f>
        <v>0</v>
      </c>
      <c r="J44" s="78"/>
      <c r="K44" s="78" t="s">
        <v>535</v>
      </c>
      <c r="L44" s="21"/>
      <c r="M44" s="21" t="s">
        <v>536</v>
      </c>
    </row>
    <row r="45" customFormat="false" ht="12.75" hidden="false" customHeight="false" outlineLevel="0" collapsed="false">
      <c r="B45" s="0" t="n">
        <f aca="false">IF(ISBLANK(B46),'[1]Nymex Prices'!B10,B46)</f>
        <v>3.922</v>
      </c>
      <c r="C45" s="55" t="s">
        <v>537</v>
      </c>
      <c r="L45" s="21"/>
      <c r="M45" s="21"/>
    </row>
    <row r="46" customFormat="false" ht="12.75" hidden="false" customHeight="false" outlineLevel="0" collapsed="false">
      <c r="B46" s="0" t="n">
        <f aca="false">Summary!B5</f>
        <v>3.922</v>
      </c>
      <c r="C46" s="55" t="s">
        <v>538</v>
      </c>
      <c r="I46" s="79" t="n">
        <f aca="false">I40+I42</f>
        <v>0</v>
      </c>
      <c r="J46" s="80"/>
      <c r="K46" s="80" t="s">
        <v>539</v>
      </c>
      <c r="L46" s="21"/>
      <c r="M46" s="21"/>
    </row>
    <row r="53" customFormat="false" ht="12.75" hidden="false" customHeight="false" outlineLevel="0" collapsed="false">
      <c r="A53" s="56"/>
    </row>
    <row r="56" customFormat="false" ht="12.75" hidden="false" customHeight="false" outlineLevel="0" collapsed="false">
      <c r="A56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4" width="9.14"/>
    <col collapsed="false" customWidth="true" hidden="false" outlineLevel="0" max="2" min="2" style="0" width="9.41"/>
    <col collapsed="false" customWidth="true" hidden="false" outlineLevel="0" max="3" min="3" style="55" width="17.14"/>
    <col collapsed="false" customWidth="true" hidden="false" outlineLevel="0" max="4" min="4" style="0" width="3.14"/>
    <col collapsed="false" customWidth="true" hidden="false" outlineLevel="0" max="5" min="5" style="56" width="10.13"/>
    <col collapsed="false" customWidth="true" hidden="false" outlineLevel="0" max="6" min="6" style="0" width="9.41"/>
    <col collapsed="false" customWidth="true" hidden="false" outlineLevel="0" max="7" min="7" style="57" width="15.28"/>
    <col collapsed="false" customWidth="true" hidden="false" outlineLevel="0" max="8" min="8" style="0" width="2.84"/>
    <col collapsed="false" customWidth="true" hidden="false" outlineLevel="0" max="9" min="9" style="58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9" t="s">
        <v>529</v>
      </c>
      <c r="B1" s="6"/>
      <c r="C1" s="60"/>
      <c r="D1" s="21"/>
      <c r="E1" s="59" t="s">
        <v>530</v>
      </c>
      <c r="F1" s="6"/>
      <c r="G1" s="61"/>
      <c r="I1" s="62"/>
      <c r="K1" s="63"/>
    </row>
    <row r="2" customFormat="false" ht="12.75" hidden="false" customHeight="false" outlineLevel="0" collapsed="false">
      <c r="A2" s="64"/>
      <c r="B2" s="6"/>
      <c r="C2" s="60" t="n">
        <f aca="false">A2*B2*10000</f>
        <v>0</v>
      </c>
      <c r="D2" s="21"/>
      <c r="E2" s="65"/>
      <c r="F2" s="66"/>
      <c r="G2" s="67" t="n">
        <f aca="false">E2*F2*10000</f>
        <v>0</v>
      </c>
      <c r="I2" s="68" t="s">
        <v>503</v>
      </c>
    </row>
    <row r="3" customFormat="false" ht="12.75" hidden="false" customHeight="false" outlineLevel="0" collapsed="false">
      <c r="A3" s="64"/>
      <c r="B3" s="6"/>
      <c r="C3" s="60" t="n">
        <f aca="false">A3*B3*10000</f>
        <v>0</v>
      </c>
      <c r="D3" s="21"/>
      <c r="E3" s="69"/>
      <c r="F3" s="6"/>
      <c r="G3" s="67" t="n">
        <f aca="false">E3*F3*10000</f>
        <v>0</v>
      </c>
      <c r="I3" s="70" t="s">
        <v>507</v>
      </c>
      <c r="K3" s="71"/>
    </row>
    <row r="4" customFormat="false" ht="12.75" hidden="false" customHeight="false" outlineLevel="0" collapsed="false">
      <c r="A4" s="72"/>
      <c r="B4" s="66"/>
      <c r="C4" s="60" t="n">
        <f aca="false">A4*B4*10000</f>
        <v>0</v>
      </c>
      <c r="D4" s="21"/>
      <c r="E4" s="69"/>
      <c r="F4" s="6"/>
      <c r="G4" s="67" t="n">
        <f aca="false">E4*F4*10000</f>
        <v>0</v>
      </c>
      <c r="J4" s="68"/>
      <c r="K4" s="21" t="n">
        <f aca="false">7500*31</f>
        <v>232500</v>
      </c>
    </row>
    <row r="5" customFormat="false" ht="12.75" hidden="false" customHeight="false" outlineLevel="0" collapsed="false">
      <c r="A5" s="72"/>
      <c r="B5" s="66"/>
      <c r="C5" s="60" t="n">
        <f aca="false">A5*B5*10000</f>
        <v>0</v>
      </c>
      <c r="D5" s="21"/>
      <c r="E5" s="65"/>
      <c r="F5" s="66"/>
      <c r="G5" s="67" t="n">
        <f aca="false">E5*F5*10000</f>
        <v>0</v>
      </c>
      <c r="I5" s="68"/>
      <c r="J5" s="40"/>
      <c r="K5" s="21" t="n">
        <f aca="false">15000*31</f>
        <v>465000</v>
      </c>
    </row>
    <row r="6" customFormat="false" ht="12.75" hidden="false" customHeight="false" outlineLevel="0" collapsed="false">
      <c r="A6" s="73"/>
      <c r="B6" s="6"/>
      <c r="C6" s="60" t="n">
        <f aca="false">A6*B6*10000</f>
        <v>0</v>
      </c>
      <c r="D6" s="21"/>
      <c r="E6" s="69"/>
      <c r="F6" s="6"/>
      <c r="G6" s="67" t="n">
        <f aca="false">E6*F6*10000</f>
        <v>0</v>
      </c>
      <c r="I6" s="68"/>
      <c r="J6" s="40"/>
      <c r="K6" s="21"/>
    </row>
    <row r="7" customFormat="false" ht="12.75" hidden="false" customHeight="false" outlineLevel="0" collapsed="false">
      <c r="A7" s="69"/>
      <c r="B7" s="6"/>
      <c r="C7" s="60" t="n">
        <f aca="false">A7*B7*10000</f>
        <v>0</v>
      </c>
      <c r="D7" s="21"/>
      <c r="E7" s="69"/>
      <c r="F7" s="6"/>
      <c r="G7" s="67" t="n">
        <f aca="false">E7*F7*10000</f>
        <v>0</v>
      </c>
      <c r="I7" s="68"/>
    </row>
    <row r="8" customFormat="false" ht="12.75" hidden="false" customHeight="false" outlineLevel="0" collapsed="false">
      <c r="A8" s="69"/>
      <c r="B8" s="6"/>
      <c r="C8" s="60" t="n">
        <f aca="false">A8*B8*10000</f>
        <v>0</v>
      </c>
      <c r="D8" s="21"/>
      <c r="E8" s="69"/>
      <c r="F8" s="6"/>
      <c r="G8" s="67" t="n">
        <f aca="false">E8*F8*10000</f>
        <v>0</v>
      </c>
      <c r="I8" s="68"/>
      <c r="K8" s="21"/>
    </row>
    <row r="9" customFormat="false" ht="12.75" hidden="false" customHeight="false" outlineLevel="0" collapsed="false">
      <c r="A9" s="69"/>
      <c r="B9" s="6"/>
      <c r="C9" s="60" t="n">
        <f aca="false">A9*B9*10000</f>
        <v>0</v>
      </c>
      <c r="D9" s="21"/>
      <c r="E9" s="69"/>
      <c r="F9" s="6"/>
      <c r="G9" s="67" t="n">
        <f aca="false">E9*F9*10000</f>
        <v>0</v>
      </c>
      <c r="I9" s="68"/>
    </row>
    <row r="10" customFormat="false" ht="12.75" hidden="false" customHeight="false" outlineLevel="0" collapsed="false">
      <c r="A10" s="69"/>
      <c r="B10" s="6"/>
      <c r="C10" s="60" t="n">
        <f aca="false">A10*B10*10000</f>
        <v>0</v>
      </c>
      <c r="D10" s="21"/>
      <c r="E10" s="69"/>
      <c r="F10" s="6"/>
      <c r="G10" s="67" t="n">
        <f aca="false">E10*F10*10000</f>
        <v>0</v>
      </c>
      <c r="I10" s="68"/>
    </row>
    <row r="11" customFormat="false" ht="12.75" hidden="false" customHeight="false" outlineLevel="0" collapsed="false">
      <c r="A11" s="69"/>
      <c r="B11" s="6"/>
      <c r="C11" s="60" t="n">
        <f aca="false">A11*B11*10000</f>
        <v>0</v>
      </c>
      <c r="D11" s="21"/>
      <c r="E11" s="69"/>
      <c r="F11" s="6"/>
      <c r="G11" s="67" t="n">
        <f aca="false">E11*F11*10000</f>
        <v>0</v>
      </c>
      <c r="I11" s="68"/>
    </row>
    <row r="12" customFormat="false" ht="12.75" hidden="false" customHeight="false" outlineLevel="0" collapsed="false">
      <c r="A12" s="69"/>
      <c r="B12" s="6"/>
      <c r="C12" s="60" t="n">
        <f aca="false">A12*B12*10000</f>
        <v>0</v>
      </c>
      <c r="D12" s="21"/>
      <c r="E12" s="69"/>
      <c r="F12" s="6"/>
      <c r="G12" s="67" t="n">
        <f aca="false">E12*F12*10000</f>
        <v>0</v>
      </c>
      <c r="I12" s="68"/>
    </row>
    <row r="13" customFormat="false" ht="12.75" hidden="false" customHeight="false" outlineLevel="0" collapsed="false">
      <c r="A13" s="69"/>
      <c r="B13" s="6"/>
      <c r="C13" s="60" t="n">
        <f aca="false">A13*B13*10000</f>
        <v>0</v>
      </c>
      <c r="D13" s="21"/>
      <c r="E13" s="69"/>
      <c r="F13" s="6"/>
      <c r="G13" s="67" t="n">
        <f aca="false">E13*F13*10000</f>
        <v>0</v>
      </c>
      <c r="I13" s="68"/>
    </row>
    <row r="14" customFormat="false" ht="12.75" hidden="false" customHeight="false" outlineLevel="0" collapsed="false">
      <c r="A14" s="69"/>
      <c r="B14" s="6"/>
      <c r="C14" s="60" t="n">
        <f aca="false">A14*B14*10000</f>
        <v>0</v>
      </c>
      <c r="D14" s="21"/>
      <c r="E14" s="65"/>
      <c r="F14" s="66"/>
      <c r="G14" s="67" t="n">
        <f aca="false">E14*F14*10000</f>
        <v>0</v>
      </c>
      <c r="I14" s="68"/>
    </row>
    <row r="15" customFormat="false" ht="12.75" hidden="false" customHeight="false" outlineLevel="0" collapsed="false">
      <c r="A15" s="69"/>
      <c r="B15" s="6"/>
      <c r="C15" s="60" t="n">
        <f aca="false">A15*B15*10000</f>
        <v>0</v>
      </c>
      <c r="D15" s="21"/>
      <c r="E15" s="65"/>
      <c r="F15" s="66"/>
      <c r="G15" s="67" t="n">
        <f aca="false">E15*F15*10000</f>
        <v>0</v>
      </c>
      <c r="I15" s="68"/>
    </row>
    <row r="16" customFormat="false" ht="12.75" hidden="false" customHeight="false" outlineLevel="0" collapsed="false">
      <c r="A16" s="69"/>
      <c r="B16" s="6"/>
      <c r="C16" s="60" t="n">
        <f aca="false">A16*B16*10000</f>
        <v>0</v>
      </c>
      <c r="D16" s="21"/>
      <c r="E16" s="65"/>
      <c r="F16" s="66"/>
      <c r="G16" s="67" t="n">
        <f aca="false">E16*F16*10000</f>
        <v>0</v>
      </c>
      <c r="I16" s="68"/>
    </row>
    <row r="17" customFormat="false" ht="12.75" hidden="false" customHeight="false" outlineLevel="0" collapsed="false">
      <c r="A17" s="69"/>
      <c r="B17" s="6"/>
      <c r="C17" s="60" t="n">
        <f aca="false">A17*B17*10000</f>
        <v>0</v>
      </c>
      <c r="D17" s="21"/>
      <c r="E17" s="65"/>
      <c r="F17" s="66"/>
      <c r="G17" s="67" t="n">
        <f aca="false">E17*F17*10000</f>
        <v>0</v>
      </c>
      <c r="I17" s="68"/>
    </row>
    <row r="18" customFormat="false" ht="12.75" hidden="false" customHeight="false" outlineLevel="0" collapsed="false">
      <c r="A18" s="69"/>
      <c r="B18" s="6"/>
      <c r="C18" s="60" t="n">
        <f aca="false">A18*B18*10000</f>
        <v>0</v>
      </c>
      <c r="D18" s="21"/>
      <c r="E18" s="65"/>
      <c r="F18" s="66"/>
      <c r="G18" s="67" t="n">
        <f aca="false">E18*F18*10000</f>
        <v>0</v>
      </c>
      <c r="I18" s="68"/>
    </row>
    <row r="19" customFormat="false" ht="12.75" hidden="false" customHeight="false" outlineLevel="0" collapsed="false">
      <c r="A19" s="69"/>
      <c r="B19" s="6"/>
      <c r="C19" s="60" t="n">
        <f aca="false">A19*B19*10000</f>
        <v>0</v>
      </c>
      <c r="D19" s="21"/>
      <c r="E19" s="65"/>
      <c r="F19" s="66"/>
      <c r="G19" s="67" t="n">
        <f aca="false">E19*F19*10000</f>
        <v>0</v>
      </c>
      <c r="I19" s="68"/>
    </row>
    <row r="20" customFormat="false" ht="12.75" hidden="false" customHeight="false" outlineLevel="0" collapsed="false">
      <c r="A20" s="69"/>
      <c r="B20" s="6"/>
      <c r="C20" s="60" t="n">
        <f aca="false">A20*B20*10000</f>
        <v>0</v>
      </c>
      <c r="D20" s="21"/>
      <c r="E20" s="65"/>
      <c r="F20" s="66"/>
      <c r="G20" s="67" t="n">
        <f aca="false">E20*F20*10000</f>
        <v>0</v>
      </c>
      <c r="I20" s="68"/>
    </row>
    <row r="21" customFormat="false" ht="12.75" hidden="false" customHeight="false" outlineLevel="0" collapsed="false">
      <c r="A21" s="69"/>
      <c r="B21" s="6"/>
      <c r="C21" s="60" t="n">
        <f aca="false">A21*B21*10000</f>
        <v>0</v>
      </c>
      <c r="D21" s="21"/>
      <c r="E21" s="65"/>
      <c r="F21" s="66"/>
      <c r="G21" s="67" t="n">
        <f aca="false">E21*F21*10000</f>
        <v>0</v>
      </c>
      <c r="I21" s="68"/>
    </row>
    <row r="22" customFormat="false" ht="12.75" hidden="false" customHeight="false" outlineLevel="0" collapsed="false">
      <c r="A22" s="69"/>
      <c r="B22" s="6"/>
      <c r="C22" s="60" t="n">
        <f aca="false">A22*B22*10000</f>
        <v>0</v>
      </c>
      <c r="D22" s="21"/>
      <c r="E22" s="65"/>
      <c r="F22" s="66"/>
      <c r="G22" s="67" t="n">
        <f aca="false">E22*F22*10000</f>
        <v>0</v>
      </c>
      <c r="I22" s="68"/>
    </row>
    <row r="23" customFormat="false" ht="12.75" hidden="false" customHeight="false" outlineLevel="0" collapsed="false">
      <c r="A23" s="69"/>
      <c r="B23" s="6"/>
      <c r="C23" s="60" t="n">
        <f aca="false">A23*B23*10000</f>
        <v>0</v>
      </c>
      <c r="D23" s="21"/>
      <c r="E23" s="65"/>
      <c r="F23" s="66"/>
      <c r="G23" s="67" t="n">
        <f aca="false">E23*F23*10000</f>
        <v>0</v>
      </c>
      <c r="I23" s="68"/>
    </row>
    <row r="24" customFormat="false" ht="6.75" hidden="false" customHeight="true" outlineLevel="0" collapsed="false">
      <c r="A24" s="69"/>
      <c r="B24" s="6"/>
      <c r="C24" s="60" t="n">
        <f aca="false">A24*B24*10000</f>
        <v>0</v>
      </c>
      <c r="D24" s="21"/>
      <c r="E24" s="65"/>
      <c r="F24" s="66"/>
      <c r="G24" s="67" t="n">
        <f aca="false">E24*F24*10000</f>
        <v>0</v>
      </c>
      <c r="I24" s="68"/>
    </row>
    <row r="25" customFormat="false" ht="6.75" hidden="false" customHeight="true" outlineLevel="0" collapsed="false">
      <c r="A25" s="69"/>
      <c r="B25" s="6"/>
      <c r="C25" s="60" t="n">
        <f aca="false">A25*B25*10000</f>
        <v>0</v>
      </c>
      <c r="D25" s="21"/>
      <c r="E25" s="65"/>
      <c r="F25" s="66"/>
      <c r="G25" s="67" t="n">
        <f aca="false">E25*F25*10000</f>
        <v>0</v>
      </c>
      <c r="I25" s="68"/>
    </row>
    <row r="26" customFormat="false" ht="6.75" hidden="false" customHeight="true" outlineLevel="0" collapsed="false">
      <c r="A26" s="69"/>
      <c r="B26" s="6"/>
      <c r="C26" s="60" t="n">
        <f aca="false">A26*B26*10000</f>
        <v>0</v>
      </c>
      <c r="D26" s="21"/>
      <c r="E26" s="65"/>
      <c r="F26" s="66"/>
      <c r="G26" s="67" t="n">
        <f aca="false">E26*F26*10000</f>
        <v>0</v>
      </c>
      <c r="I26" s="68"/>
    </row>
    <row r="27" customFormat="false" ht="9" hidden="false" customHeight="true" outlineLevel="0" collapsed="false">
      <c r="A27" s="69"/>
      <c r="B27" s="6"/>
      <c r="C27" s="60" t="n">
        <f aca="false">A27*B27*10000</f>
        <v>0</v>
      </c>
      <c r="D27" s="21"/>
      <c r="E27" s="65"/>
      <c r="F27" s="66"/>
      <c r="G27" s="67" t="n">
        <f aca="false">E27*F27*10000</f>
        <v>0</v>
      </c>
      <c r="I27" s="68"/>
    </row>
    <row r="28" customFormat="false" ht="9" hidden="false" customHeight="true" outlineLevel="0" collapsed="false">
      <c r="A28" s="69"/>
      <c r="B28" s="6"/>
      <c r="C28" s="60" t="n">
        <f aca="false">A28*B28*10000</f>
        <v>0</v>
      </c>
      <c r="D28" s="21"/>
      <c r="E28" s="65"/>
      <c r="F28" s="66"/>
      <c r="G28" s="67" t="n">
        <f aca="false">E28*F28*10000</f>
        <v>0</v>
      </c>
      <c r="I28" s="68"/>
    </row>
    <row r="29" customFormat="false" ht="9" hidden="false" customHeight="true" outlineLevel="0" collapsed="false">
      <c r="A29" s="69"/>
      <c r="B29" s="6"/>
      <c r="C29" s="60" t="n">
        <f aca="false">A29*B29*10000</f>
        <v>0</v>
      </c>
      <c r="D29" s="21"/>
      <c r="E29" s="69"/>
      <c r="F29" s="6"/>
      <c r="G29" s="67" t="n">
        <f aca="false">E29*F29*10000</f>
        <v>0</v>
      </c>
      <c r="I29" s="68"/>
    </row>
    <row r="30" customFormat="false" ht="9" hidden="false" customHeight="true" outlineLevel="0" collapsed="false">
      <c r="A30" s="69"/>
      <c r="B30" s="6"/>
      <c r="C30" s="60" t="n">
        <f aca="false">A30*B30*10000</f>
        <v>0</v>
      </c>
      <c r="D30" s="21"/>
      <c r="E30" s="69"/>
      <c r="F30" s="6"/>
      <c r="G30" s="67" t="n">
        <f aca="false">E30*F30*10000</f>
        <v>0</v>
      </c>
      <c r="I30" s="68"/>
    </row>
    <row r="31" customFormat="false" ht="12.75" hidden="false" customHeight="false" outlineLevel="0" collapsed="false">
      <c r="A31" s="69"/>
      <c r="B31" s="6"/>
      <c r="C31" s="60" t="n">
        <f aca="false">A31*B31*10000</f>
        <v>0</v>
      </c>
      <c r="D31" s="21"/>
      <c r="E31" s="69"/>
      <c r="F31" s="6"/>
      <c r="G31" s="67" t="n">
        <f aca="false">E31*F31*10000</f>
        <v>0</v>
      </c>
      <c r="I31" s="68"/>
    </row>
    <row r="32" customFormat="false" ht="12.75" hidden="false" customHeight="false" outlineLevel="0" collapsed="false">
      <c r="E32" s="54"/>
      <c r="G32" s="74"/>
    </row>
    <row r="33" customFormat="false" ht="12.75" hidden="false" customHeight="false" outlineLevel="0" collapsed="false">
      <c r="A33" s="69" t="n">
        <f aca="false">SUM(A1:A32)</f>
        <v>0</v>
      </c>
      <c r="B33" s="6" t="n">
        <f aca="false">IF(A33=0,0,C33/A33/10000)</f>
        <v>0</v>
      </c>
      <c r="C33" s="60" t="n">
        <f aca="false">SUM(C1:C32)</f>
        <v>0</v>
      </c>
      <c r="E33" s="69" t="n">
        <f aca="false">SUM(E1:E32)</f>
        <v>0</v>
      </c>
      <c r="F33" s="6" t="n">
        <f aca="false">IF(E33=0,0,G33/E33/10000)</f>
        <v>0</v>
      </c>
      <c r="G33" s="67" t="n">
        <f aca="false">SUM(G1:G32)</f>
        <v>0</v>
      </c>
      <c r="I33" s="75" t="n">
        <f aca="false">MIN(A33,E33)*(B33-F33)*10000</f>
        <v>0</v>
      </c>
      <c r="J33" s="76"/>
      <c r="K33" s="76" t="s">
        <v>532</v>
      </c>
      <c r="L33" s="21"/>
      <c r="M33" s="21"/>
    </row>
    <row r="34" customFormat="false" ht="12.75" hidden="false" customHeight="false" outlineLevel="0" collapsed="false">
      <c r="I34" s="75"/>
      <c r="J34" s="76"/>
      <c r="K34" s="76"/>
      <c r="L34" s="21"/>
      <c r="M34" s="21"/>
    </row>
    <row r="35" customFormat="false" ht="12.75" hidden="false" customHeight="false" outlineLevel="0" collapsed="false">
      <c r="E35" s="56" t="n">
        <f aca="false">-A33+E33</f>
        <v>0</v>
      </c>
      <c r="F35" s="0" t="n">
        <f aca="false">IF(E35&lt;0,B33,F33)</f>
        <v>0</v>
      </c>
      <c r="G35" s="57" t="n">
        <f aca="false">IF(E35&lt;0,(F35-B38)*ABS(E35)*10000,-1*(F35-B38)*ABS(E35)*10000)</f>
        <v>0</v>
      </c>
      <c r="I35" s="75" t="n">
        <f aca="false">G35</f>
        <v>0</v>
      </c>
      <c r="J35" s="76"/>
      <c r="K35" s="76" t="s">
        <v>533</v>
      </c>
      <c r="L35" s="21"/>
      <c r="M35" s="21" t="s">
        <v>534</v>
      </c>
    </row>
    <row r="36" customFormat="false" ht="12.75" hidden="false" customHeight="false" outlineLevel="0" collapsed="false">
      <c r="L36" s="21"/>
      <c r="M36" s="21"/>
    </row>
    <row r="37" customFormat="false" ht="12.75" hidden="false" customHeight="false" outlineLevel="0" collapsed="false">
      <c r="E37" s="56" t="n">
        <f aca="false">-A33+E33</f>
        <v>0</v>
      </c>
      <c r="F37" s="0" t="n">
        <f aca="false">IF(E37&lt;0,(B33+(I33/(ABS(E37)*10000))),IF(E37=0,0,(F33-(I33/(ABS(E37)*10000)))))</f>
        <v>0</v>
      </c>
      <c r="G37" s="57" t="n">
        <f aca="false">IF(E37&lt;0,(F37-B38)*ABS(E37)*10000,IF(E37=0,0,-1*(F37-B38)*ABS(E37)*10000))</f>
        <v>0</v>
      </c>
      <c r="I37" s="77" t="n">
        <f aca="false">G37</f>
        <v>0</v>
      </c>
      <c r="J37" s="78"/>
      <c r="K37" s="78" t="s">
        <v>535</v>
      </c>
      <c r="L37" s="21"/>
      <c r="M37" s="21" t="s">
        <v>536</v>
      </c>
    </row>
    <row r="38" customFormat="false" ht="12.75" hidden="false" customHeight="false" outlineLevel="0" collapsed="false">
      <c r="B38" s="0" t="n">
        <f aca="false">IF(ISBLANK(B39),'[1]Nymex Prices'!B10,B39)</f>
        <v>3.922</v>
      </c>
      <c r="C38" s="55" t="s">
        <v>537</v>
      </c>
      <c r="L38" s="21"/>
      <c r="M38" s="21"/>
    </row>
    <row r="39" customFormat="false" ht="12.75" hidden="false" customHeight="false" outlineLevel="0" collapsed="false">
      <c r="B39" s="0" t="n">
        <f aca="false">Summary!B5</f>
        <v>3.922</v>
      </c>
      <c r="C39" s="55" t="s">
        <v>538</v>
      </c>
      <c r="I39" s="79" t="n">
        <f aca="false">I33+I35</f>
        <v>0</v>
      </c>
      <c r="J39" s="80"/>
      <c r="K39" s="80" t="s">
        <v>539</v>
      </c>
      <c r="L39" s="21"/>
      <c r="M39" s="21"/>
    </row>
    <row r="46" customFormat="false" ht="12.75" hidden="false" customHeight="false" outlineLevel="0" collapsed="false">
      <c r="A46" s="56"/>
    </row>
    <row r="49" customFormat="false" ht="12.75" hidden="false" customHeight="false" outlineLevel="0" collapsed="false">
      <c r="A49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4" width="9.14"/>
    <col collapsed="false" customWidth="true" hidden="false" outlineLevel="0" max="2" min="2" style="0" width="9.41"/>
    <col collapsed="false" customWidth="true" hidden="false" outlineLevel="0" max="3" min="3" style="55" width="17.14"/>
    <col collapsed="false" customWidth="true" hidden="false" outlineLevel="0" max="4" min="4" style="0" width="3.14"/>
    <col collapsed="false" customWidth="true" hidden="false" outlineLevel="0" max="5" min="5" style="56" width="10.13"/>
    <col collapsed="false" customWidth="true" hidden="false" outlineLevel="0" max="6" min="6" style="0" width="9.41"/>
    <col collapsed="false" customWidth="true" hidden="false" outlineLevel="0" max="7" min="7" style="57" width="15.28"/>
    <col collapsed="false" customWidth="true" hidden="false" outlineLevel="0" max="8" min="8" style="0" width="2.84"/>
    <col collapsed="false" customWidth="true" hidden="false" outlineLevel="0" max="9" min="9" style="58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9" t="s">
        <v>529</v>
      </c>
      <c r="B1" s="6"/>
      <c r="C1" s="60"/>
      <c r="D1" s="21"/>
      <c r="E1" s="59" t="s">
        <v>530</v>
      </c>
      <c r="F1" s="6"/>
      <c r="G1" s="61"/>
      <c r="I1" s="62"/>
      <c r="K1" s="63"/>
    </row>
    <row r="2" customFormat="false" ht="12.75" hidden="false" customHeight="false" outlineLevel="0" collapsed="false">
      <c r="A2" s="64" t="n">
        <v>31</v>
      </c>
      <c r="B2" s="6" t="n">
        <v>4.0475</v>
      </c>
      <c r="C2" s="60" t="n">
        <f aca="false">A2*B2*10000</f>
        <v>1254725</v>
      </c>
      <c r="D2" s="21"/>
      <c r="E2" s="65" t="n">
        <v>31</v>
      </c>
      <c r="F2" s="66" t="n">
        <v>3.8975</v>
      </c>
      <c r="G2" s="67" t="n">
        <f aca="false">E2*F2*10000</f>
        <v>1208225</v>
      </c>
      <c r="I2" s="68"/>
    </row>
    <row r="3" customFormat="false" ht="12.75" hidden="false" customHeight="false" outlineLevel="0" collapsed="false">
      <c r="A3" s="64" t="n">
        <v>15.5</v>
      </c>
      <c r="B3" s="6" t="n">
        <v>4.0525</v>
      </c>
      <c r="C3" s="60" t="n">
        <f aca="false">A3*B3*10000</f>
        <v>628137.5</v>
      </c>
      <c r="D3" s="21"/>
      <c r="E3" s="69"/>
      <c r="F3" s="6"/>
      <c r="G3" s="67" t="n">
        <f aca="false">E3*F3*10000</f>
        <v>0</v>
      </c>
      <c r="I3" s="70"/>
      <c r="K3" s="71"/>
    </row>
    <row r="4" customFormat="false" ht="12.75" hidden="false" customHeight="false" outlineLevel="0" collapsed="false">
      <c r="A4" s="72" t="n">
        <v>31</v>
      </c>
      <c r="B4" s="66" t="n">
        <v>4</v>
      </c>
      <c r="C4" s="60" t="n">
        <f aca="false">A4*B4*10000</f>
        <v>1240000</v>
      </c>
      <c r="D4" s="21"/>
      <c r="E4" s="69"/>
      <c r="F4" s="6"/>
      <c r="G4" s="67" t="n">
        <f aca="false">E4*F4*10000</f>
        <v>0</v>
      </c>
      <c r="J4" s="68"/>
      <c r="K4" s="21"/>
    </row>
    <row r="5" customFormat="false" ht="12.75" hidden="false" customHeight="false" outlineLevel="0" collapsed="false">
      <c r="A5" s="72"/>
      <c r="B5" s="66"/>
      <c r="C5" s="60" t="n">
        <f aca="false">A5*B5*10000</f>
        <v>0</v>
      </c>
      <c r="D5" s="21"/>
      <c r="E5" s="65"/>
      <c r="F5" s="66"/>
      <c r="G5" s="67" t="n">
        <f aca="false">E5*F5*10000</f>
        <v>0</v>
      </c>
      <c r="I5" s="68"/>
      <c r="J5" s="40"/>
      <c r="K5" s="21"/>
    </row>
    <row r="6" customFormat="false" ht="12.75" hidden="false" customHeight="false" outlineLevel="0" collapsed="false">
      <c r="A6" s="73"/>
      <c r="B6" s="6"/>
      <c r="C6" s="60" t="n">
        <f aca="false">A6*B6*10000</f>
        <v>0</v>
      </c>
      <c r="D6" s="21"/>
      <c r="E6" s="69"/>
      <c r="F6" s="6"/>
      <c r="G6" s="67" t="n">
        <f aca="false">E6*F6*10000</f>
        <v>0</v>
      </c>
      <c r="I6" s="68"/>
      <c r="J6" s="40"/>
      <c r="K6" s="21"/>
    </row>
    <row r="7" customFormat="false" ht="12.75" hidden="false" customHeight="false" outlineLevel="0" collapsed="false">
      <c r="A7" s="69"/>
      <c r="B7" s="6"/>
      <c r="C7" s="60" t="n">
        <f aca="false">A7*B7*10000</f>
        <v>0</v>
      </c>
      <c r="D7" s="21"/>
      <c r="E7" s="81"/>
      <c r="F7" s="82"/>
      <c r="G7" s="83" t="n">
        <f aca="false">E7*F7*10000</f>
        <v>0</v>
      </c>
      <c r="I7" s="68" t="s">
        <v>541</v>
      </c>
    </row>
    <row r="8" customFormat="false" ht="12.75" hidden="false" customHeight="false" outlineLevel="0" collapsed="false">
      <c r="A8" s="69"/>
      <c r="B8" s="6"/>
      <c r="C8" s="60" t="n">
        <f aca="false">A8*B8*10000</f>
        <v>0</v>
      </c>
      <c r="D8" s="21"/>
      <c r="E8" s="69"/>
      <c r="F8" s="6"/>
      <c r="G8" s="67" t="n">
        <f aca="false">E8*F8*10000</f>
        <v>0</v>
      </c>
      <c r="I8" s="68"/>
      <c r="K8" s="21"/>
    </row>
    <row r="9" customFormat="false" ht="12.75" hidden="false" customHeight="false" outlineLevel="0" collapsed="false">
      <c r="A9" s="69"/>
      <c r="B9" s="6"/>
      <c r="C9" s="60" t="n">
        <f aca="false">A9*B9*10000</f>
        <v>0</v>
      </c>
      <c r="D9" s="21"/>
      <c r="E9" s="69"/>
      <c r="F9" s="6"/>
      <c r="G9" s="67" t="n">
        <f aca="false">E9*F9*10000</f>
        <v>0</v>
      </c>
      <c r="I9" s="68"/>
    </row>
    <row r="10" customFormat="false" ht="12.75" hidden="false" customHeight="false" outlineLevel="0" collapsed="false">
      <c r="A10" s="69"/>
      <c r="B10" s="6"/>
      <c r="C10" s="60" t="n">
        <f aca="false">A10*B10*10000</f>
        <v>0</v>
      </c>
      <c r="D10" s="21"/>
      <c r="E10" s="69"/>
      <c r="F10" s="6"/>
      <c r="G10" s="67" t="n">
        <f aca="false">E10*F10*10000</f>
        <v>0</v>
      </c>
      <c r="I10" s="68"/>
    </row>
    <row r="11" customFormat="false" ht="12.75" hidden="false" customHeight="false" outlineLevel="0" collapsed="false">
      <c r="A11" s="69"/>
      <c r="B11" s="6"/>
      <c r="C11" s="60" t="n">
        <f aca="false">A11*B11*10000</f>
        <v>0</v>
      </c>
      <c r="D11" s="21"/>
      <c r="E11" s="69"/>
      <c r="F11" s="6"/>
      <c r="G11" s="67" t="n">
        <f aca="false">E11*F11*10000</f>
        <v>0</v>
      </c>
      <c r="I11" s="68"/>
    </row>
    <row r="12" customFormat="false" ht="12.75" hidden="false" customHeight="false" outlineLevel="0" collapsed="false">
      <c r="A12" s="69"/>
      <c r="B12" s="6"/>
      <c r="C12" s="60" t="n">
        <f aca="false">A12*B12*10000</f>
        <v>0</v>
      </c>
      <c r="D12" s="21"/>
      <c r="E12" s="69"/>
      <c r="F12" s="6"/>
      <c r="G12" s="67" t="n">
        <f aca="false">E12*F12*10000</f>
        <v>0</v>
      </c>
      <c r="I12" s="68"/>
    </row>
    <row r="13" customFormat="false" ht="12.75" hidden="false" customHeight="false" outlineLevel="0" collapsed="false">
      <c r="A13" s="69"/>
      <c r="B13" s="6"/>
      <c r="C13" s="60" t="n">
        <f aca="false">A13*B13*10000</f>
        <v>0</v>
      </c>
      <c r="D13" s="21"/>
      <c r="E13" s="69"/>
      <c r="F13" s="6"/>
      <c r="G13" s="67" t="n">
        <f aca="false">E13*F13*10000</f>
        <v>0</v>
      </c>
      <c r="I13" s="68"/>
    </row>
    <row r="14" customFormat="false" ht="12.75" hidden="false" customHeight="false" outlineLevel="0" collapsed="false">
      <c r="A14" s="69"/>
      <c r="B14" s="6"/>
      <c r="C14" s="60" t="n">
        <f aca="false">A14*B14*10000</f>
        <v>0</v>
      </c>
      <c r="D14" s="21"/>
      <c r="E14" s="65"/>
      <c r="F14" s="66"/>
      <c r="G14" s="67" t="n">
        <f aca="false">E14*F14*10000</f>
        <v>0</v>
      </c>
      <c r="I14" s="68"/>
      <c r="L14" s="0" t="n">
        <f aca="false">2500*31</f>
        <v>77500</v>
      </c>
    </row>
    <row r="15" customFormat="false" ht="12.75" hidden="false" customHeight="false" outlineLevel="0" collapsed="false">
      <c r="A15" s="69"/>
      <c r="B15" s="6"/>
      <c r="C15" s="60" t="n">
        <f aca="false">A15*B15*10000</f>
        <v>0</v>
      </c>
      <c r="D15" s="21"/>
      <c r="E15" s="65"/>
      <c r="F15" s="66"/>
      <c r="G15" s="67" t="n">
        <f aca="false">E15*F15*10000</f>
        <v>0</v>
      </c>
      <c r="I15" s="68"/>
      <c r="L15" s="0" t="n">
        <f aca="false">5000*31</f>
        <v>155000</v>
      </c>
    </row>
    <row r="16" customFormat="false" ht="12.75" hidden="false" customHeight="false" outlineLevel="0" collapsed="false">
      <c r="A16" s="69"/>
      <c r="B16" s="6"/>
      <c r="C16" s="60" t="n">
        <f aca="false">A16*B16*10000</f>
        <v>0</v>
      </c>
      <c r="D16" s="21"/>
      <c r="E16" s="65"/>
      <c r="F16" s="66"/>
      <c r="G16" s="67" t="n">
        <f aca="false">E16*F16*10000</f>
        <v>0</v>
      </c>
      <c r="I16" s="68"/>
      <c r="L16" s="0" t="n">
        <f aca="false">7500*31</f>
        <v>232500</v>
      </c>
    </row>
    <row r="17" customFormat="false" ht="12.75" hidden="false" customHeight="false" outlineLevel="0" collapsed="false">
      <c r="A17" s="69"/>
      <c r="B17" s="6"/>
      <c r="C17" s="60" t="n">
        <f aca="false">A17*B17*10000</f>
        <v>0</v>
      </c>
      <c r="D17" s="21"/>
      <c r="E17" s="65"/>
      <c r="F17" s="66"/>
      <c r="G17" s="67" t="n">
        <f aca="false">E17*F17*10000</f>
        <v>0</v>
      </c>
      <c r="I17" s="68"/>
      <c r="L17" s="0" t="n">
        <f aca="false">10000*31</f>
        <v>310000</v>
      </c>
    </row>
    <row r="18" customFormat="false" ht="12.75" hidden="false" customHeight="false" outlineLevel="0" collapsed="false">
      <c r="A18" s="69"/>
      <c r="B18" s="6"/>
      <c r="C18" s="60" t="n">
        <f aca="false">A18*B18*10000</f>
        <v>0</v>
      </c>
      <c r="D18" s="21"/>
      <c r="E18" s="65"/>
      <c r="F18" s="66"/>
      <c r="G18" s="67" t="n">
        <f aca="false">E18*F18*10000</f>
        <v>0</v>
      </c>
      <c r="I18" s="68"/>
      <c r="L18" s="0" t="n">
        <f aca="false">12500*31</f>
        <v>387500</v>
      </c>
    </row>
    <row r="19" customFormat="false" ht="12.75" hidden="false" customHeight="false" outlineLevel="0" collapsed="false">
      <c r="A19" s="69"/>
      <c r="B19" s="6"/>
      <c r="C19" s="60" t="n">
        <f aca="false">A19*B19*10000</f>
        <v>0</v>
      </c>
      <c r="D19" s="21"/>
      <c r="E19" s="65"/>
      <c r="F19" s="66"/>
      <c r="G19" s="67" t="n">
        <f aca="false">E19*F19*10000</f>
        <v>0</v>
      </c>
      <c r="I19" s="68"/>
      <c r="L19" s="0" t="n">
        <f aca="false">15000*31</f>
        <v>465000</v>
      </c>
    </row>
    <row r="20" customFormat="false" ht="12.75" hidden="false" customHeight="false" outlineLevel="0" collapsed="false">
      <c r="A20" s="69"/>
      <c r="B20" s="6"/>
      <c r="C20" s="60" t="n">
        <f aca="false">A20*B20*10000</f>
        <v>0</v>
      </c>
      <c r="D20" s="21"/>
      <c r="E20" s="65"/>
      <c r="F20" s="66"/>
      <c r="G20" s="67" t="n">
        <f aca="false">E20*F20*10000</f>
        <v>0</v>
      </c>
      <c r="I20" s="68"/>
    </row>
    <row r="21" customFormat="false" ht="12.75" hidden="false" customHeight="false" outlineLevel="0" collapsed="false">
      <c r="A21" s="69"/>
      <c r="B21" s="6"/>
      <c r="C21" s="60" t="n">
        <f aca="false">A21*B21*10000</f>
        <v>0</v>
      </c>
      <c r="D21" s="21"/>
      <c r="E21" s="65"/>
      <c r="F21" s="66"/>
      <c r="G21" s="67" t="n">
        <f aca="false">E21*F21*10000</f>
        <v>0</v>
      </c>
      <c r="I21" s="68"/>
    </row>
    <row r="22" customFormat="false" ht="12.75" hidden="false" customHeight="false" outlineLevel="0" collapsed="false">
      <c r="A22" s="69"/>
      <c r="B22" s="6"/>
      <c r="C22" s="60" t="n">
        <f aca="false">A22*B22*10000</f>
        <v>0</v>
      </c>
      <c r="D22" s="21"/>
      <c r="E22" s="65"/>
      <c r="F22" s="66"/>
      <c r="G22" s="67" t="n">
        <f aca="false">E22*F22*10000</f>
        <v>0</v>
      </c>
      <c r="I22" s="68"/>
    </row>
    <row r="23" customFormat="false" ht="12.75" hidden="false" customHeight="false" outlineLevel="0" collapsed="false">
      <c r="A23" s="69"/>
      <c r="B23" s="6"/>
      <c r="C23" s="60" t="n">
        <f aca="false">A23*B23*10000</f>
        <v>0</v>
      </c>
      <c r="D23" s="21"/>
      <c r="E23" s="65"/>
      <c r="F23" s="66"/>
      <c r="G23" s="67" t="n">
        <f aca="false">E23*F23*10000</f>
        <v>0</v>
      </c>
      <c r="I23" s="68"/>
    </row>
    <row r="24" customFormat="false" ht="12.75" hidden="false" customHeight="false" outlineLevel="0" collapsed="false">
      <c r="A24" s="69"/>
      <c r="B24" s="6"/>
      <c r="C24" s="60" t="n">
        <f aca="false">A24*B24*10000</f>
        <v>0</v>
      </c>
      <c r="D24" s="21"/>
      <c r="E24" s="65"/>
      <c r="F24" s="66"/>
      <c r="G24" s="67" t="n">
        <f aca="false">E24*F24*10000</f>
        <v>0</v>
      </c>
      <c r="I24" s="68"/>
    </row>
    <row r="25" customFormat="false" ht="9" hidden="false" customHeight="true" outlineLevel="0" collapsed="false">
      <c r="A25" s="69"/>
      <c r="B25" s="6"/>
      <c r="C25" s="60" t="n">
        <f aca="false">A25*B25*10000</f>
        <v>0</v>
      </c>
      <c r="D25" s="21"/>
      <c r="E25" s="65"/>
      <c r="F25" s="66"/>
      <c r="G25" s="67" t="n">
        <f aca="false">E25*F25*10000</f>
        <v>0</v>
      </c>
      <c r="I25" s="68"/>
    </row>
    <row r="26" customFormat="false" ht="9" hidden="false" customHeight="true" outlineLevel="0" collapsed="false">
      <c r="A26" s="69"/>
      <c r="B26" s="6"/>
      <c r="C26" s="60" t="n">
        <f aca="false">A26*B26*10000</f>
        <v>0</v>
      </c>
      <c r="D26" s="21"/>
      <c r="E26" s="65"/>
      <c r="F26" s="66"/>
      <c r="G26" s="67" t="n">
        <f aca="false">E26*F26*10000</f>
        <v>0</v>
      </c>
      <c r="I26" s="68"/>
    </row>
    <row r="27" customFormat="false" ht="9" hidden="false" customHeight="true" outlineLevel="0" collapsed="false">
      <c r="A27" s="69"/>
      <c r="B27" s="6"/>
      <c r="C27" s="60" t="n">
        <f aca="false">A27*B27*10000</f>
        <v>0</v>
      </c>
      <c r="D27" s="21"/>
      <c r="E27" s="65"/>
      <c r="F27" s="66"/>
      <c r="G27" s="67" t="n">
        <f aca="false">E27*F27*10000</f>
        <v>0</v>
      </c>
      <c r="I27" s="68"/>
    </row>
    <row r="28" customFormat="false" ht="9" hidden="false" customHeight="true" outlineLevel="0" collapsed="false">
      <c r="A28" s="69"/>
      <c r="B28" s="6"/>
      <c r="C28" s="60" t="n">
        <f aca="false">A28*B28*10000</f>
        <v>0</v>
      </c>
      <c r="D28" s="21"/>
      <c r="E28" s="65"/>
      <c r="F28" s="66"/>
      <c r="G28" s="67" t="n">
        <f aca="false">E28*F28*10000</f>
        <v>0</v>
      </c>
      <c r="I28" s="68"/>
    </row>
    <row r="29" customFormat="false" ht="9" hidden="false" customHeight="true" outlineLevel="0" collapsed="false">
      <c r="A29" s="69"/>
      <c r="B29" s="6"/>
      <c r="C29" s="60" t="n">
        <f aca="false">A29*B29*10000</f>
        <v>0</v>
      </c>
      <c r="D29" s="21"/>
      <c r="E29" s="69"/>
      <c r="F29" s="6"/>
      <c r="G29" s="67" t="n">
        <f aca="false">E29*F29*10000</f>
        <v>0</v>
      </c>
      <c r="I29" s="68"/>
    </row>
    <row r="30" customFormat="false" ht="9" hidden="false" customHeight="true" outlineLevel="0" collapsed="false">
      <c r="A30" s="69"/>
      <c r="B30" s="6"/>
      <c r="C30" s="60" t="n">
        <f aca="false">A30*B30*10000</f>
        <v>0</v>
      </c>
      <c r="D30" s="21"/>
      <c r="E30" s="69"/>
      <c r="F30" s="6"/>
      <c r="G30" s="67" t="n">
        <f aca="false">E30*F30*10000</f>
        <v>0</v>
      </c>
      <c r="I30" s="68"/>
    </row>
    <row r="31" customFormat="false" ht="9" hidden="false" customHeight="true" outlineLevel="0" collapsed="false">
      <c r="A31" s="69"/>
      <c r="B31" s="6"/>
      <c r="C31" s="60" t="n">
        <f aca="false">A31*B31*10000</f>
        <v>0</v>
      </c>
      <c r="D31" s="21"/>
      <c r="E31" s="69"/>
      <c r="F31" s="6"/>
      <c r="G31" s="67" t="n">
        <f aca="false">E31*F31*10000</f>
        <v>0</v>
      </c>
      <c r="I31" s="68"/>
    </row>
    <row r="32" customFormat="false" ht="9" hidden="false" customHeight="true" outlineLevel="0" collapsed="false">
      <c r="A32" s="69"/>
      <c r="B32" s="6"/>
      <c r="C32" s="60" t="n">
        <f aca="false">A32*B32*10000</f>
        <v>0</v>
      </c>
      <c r="D32" s="21"/>
      <c r="E32" s="69"/>
      <c r="F32" s="6"/>
      <c r="G32" s="67" t="n">
        <f aca="false">E32*F32*10000</f>
        <v>0</v>
      </c>
      <c r="I32" s="68"/>
    </row>
    <row r="33" customFormat="false" ht="9" hidden="false" customHeight="true" outlineLevel="0" collapsed="false">
      <c r="A33" s="69"/>
      <c r="B33" s="6"/>
      <c r="C33" s="60" t="n">
        <f aca="false">A33*B33*10000</f>
        <v>0</v>
      </c>
      <c r="D33" s="21"/>
      <c r="E33" s="69"/>
      <c r="F33" s="6"/>
      <c r="G33" s="67" t="n">
        <f aca="false">E33*F33*10000</f>
        <v>0</v>
      </c>
      <c r="I33" s="68"/>
    </row>
    <row r="34" customFormat="false" ht="9" hidden="false" customHeight="true" outlineLevel="0" collapsed="false">
      <c r="A34" s="69"/>
      <c r="B34" s="6"/>
      <c r="C34" s="60" t="n">
        <f aca="false">A34*B34*10000</f>
        <v>0</v>
      </c>
      <c r="D34" s="21"/>
      <c r="E34" s="69"/>
      <c r="F34" s="6"/>
      <c r="G34" s="67" t="n">
        <f aca="false">E34*F34*10000</f>
        <v>0</v>
      </c>
      <c r="I34" s="68"/>
    </row>
    <row r="35" customFormat="false" ht="9" hidden="false" customHeight="true" outlineLevel="0" collapsed="false">
      <c r="A35" s="69"/>
      <c r="B35" s="6"/>
      <c r="C35" s="60"/>
      <c r="D35" s="21"/>
      <c r="E35" s="69"/>
      <c r="F35" s="6"/>
      <c r="G35" s="67" t="n">
        <f aca="false">E35*F35*10000</f>
        <v>0</v>
      </c>
      <c r="I35" s="68"/>
    </row>
    <row r="36" customFormat="false" ht="9" hidden="false" customHeight="true" outlineLevel="0" collapsed="false">
      <c r="A36" s="69"/>
      <c r="B36" s="6"/>
      <c r="C36" s="60"/>
      <c r="D36" s="21"/>
      <c r="E36" s="69"/>
      <c r="F36" s="6"/>
      <c r="G36" s="67" t="n">
        <f aca="false">E36*F36*10000</f>
        <v>0</v>
      </c>
      <c r="I36" s="68"/>
    </row>
    <row r="37" customFormat="false" ht="12.75" hidden="false" customHeight="false" outlineLevel="0" collapsed="false">
      <c r="A37" s="69"/>
      <c r="B37" s="6"/>
      <c r="C37" s="60" t="n">
        <f aca="false">A37*B37*10000</f>
        <v>0</v>
      </c>
      <c r="D37" s="21"/>
      <c r="E37" s="69"/>
      <c r="F37" s="6"/>
      <c r="G37" s="67" t="n">
        <f aca="false">E37*F37*10000</f>
        <v>0</v>
      </c>
      <c r="I37" s="68"/>
    </row>
    <row r="38" customFormat="false" ht="12.75" hidden="false" customHeight="false" outlineLevel="0" collapsed="false">
      <c r="E38" s="54"/>
      <c r="G38" s="74"/>
    </row>
    <row r="39" customFormat="false" ht="12.75" hidden="false" customHeight="false" outlineLevel="0" collapsed="false">
      <c r="A39" s="69" t="n">
        <f aca="false">SUM(A1:A38)</f>
        <v>77.5</v>
      </c>
      <c r="B39" s="6" t="n">
        <f aca="false">IF(A39=0,0,C39/A39/10000)</f>
        <v>4.0295</v>
      </c>
      <c r="C39" s="60" t="n">
        <f aca="false">SUM(C1:C38)</f>
        <v>3122862.5</v>
      </c>
      <c r="E39" s="69" t="n">
        <f aca="false">SUM(E1:E38)</f>
        <v>31</v>
      </c>
      <c r="F39" s="6" t="n">
        <f aca="false">IF(E39=0,0,G39/E39/10000)</f>
        <v>3.8975</v>
      </c>
      <c r="G39" s="67" t="n">
        <f aca="false">SUM(G1:G38)</f>
        <v>1208225</v>
      </c>
      <c r="I39" s="75" t="n">
        <f aca="false">MIN(A39,E39)*(B39-F39)*10000</f>
        <v>40919.9999999999</v>
      </c>
      <c r="J39" s="76"/>
      <c r="K39" s="76" t="s">
        <v>532</v>
      </c>
      <c r="L39" s="21"/>
      <c r="M39" s="21"/>
    </row>
    <row r="40" customFormat="false" ht="12.75" hidden="false" customHeight="false" outlineLevel="0" collapsed="false">
      <c r="I40" s="75"/>
      <c r="J40" s="76"/>
      <c r="K40" s="76"/>
      <c r="L40" s="21"/>
      <c r="M40" s="21"/>
    </row>
    <row r="41" customFormat="false" ht="12.75" hidden="false" customHeight="false" outlineLevel="0" collapsed="false">
      <c r="E41" s="56" t="n">
        <f aca="false">-A39+E39</f>
        <v>-46.5</v>
      </c>
      <c r="F41" s="0" t="n">
        <f aca="false">IF(E41&lt;0,B39,F39)</f>
        <v>4.0295</v>
      </c>
      <c r="G41" s="57" t="n">
        <f aca="false">IF(E41&lt;0,(F41-B44)*ABS(E41)*10000,-1*(F41-B44)*ABS(E41)*10000)</f>
        <v>5347.49999999993</v>
      </c>
      <c r="I41" s="75" t="n">
        <f aca="false">G41</f>
        <v>5347.49999999993</v>
      </c>
      <c r="J41" s="76"/>
      <c r="K41" s="76" t="s">
        <v>533</v>
      </c>
      <c r="L41" s="21"/>
      <c r="M41" s="21" t="s">
        <v>534</v>
      </c>
    </row>
    <row r="42" customFormat="false" ht="12.75" hidden="false" customHeight="false" outlineLevel="0" collapsed="false">
      <c r="L42" s="21"/>
      <c r="M42" s="21"/>
    </row>
    <row r="43" customFormat="false" ht="12.75" hidden="false" customHeight="false" outlineLevel="0" collapsed="false">
      <c r="E43" s="42" t="n">
        <f aca="false">-A39+E39</f>
        <v>-46.5</v>
      </c>
      <c r="F43" s="0" t="n">
        <f aca="false">IF(E43&lt;0,(B39+(I39/(ABS(E43)*10000))),IF(E43=0,0,(F39-(I39/(ABS(E43)*10000)))))</f>
        <v>4.1175</v>
      </c>
      <c r="G43" s="57" t="n">
        <f aca="false">IF(E43&lt;0,(F43-B44)*ABS(E43)*10000,IF(E43=0,0,-1*(F43-B44)*ABS(E43)*10000))</f>
        <v>46267.5</v>
      </c>
      <c r="I43" s="77" t="n">
        <f aca="false">G43</f>
        <v>46267.5</v>
      </c>
      <c r="J43" s="78"/>
      <c r="K43" s="78" t="s">
        <v>535</v>
      </c>
      <c r="L43" s="21"/>
      <c r="M43" s="21" t="s">
        <v>536</v>
      </c>
    </row>
    <row r="44" customFormat="false" ht="12.75" hidden="false" customHeight="false" outlineLevel="0" collapsed="false">
      <c r="B44" s="0" t="n">
        <f aca="false">IF(ISBLANK(B45),'[1]Nymex Prices'!B10,B45)</f>
        <v>4.018</v>
      </c>
      <c r="C44" s="55" t="s">
        <v>537</v>
      </c>
      <c r="L44" s="21"/>
      <c r="M44" s="21"/>
    </row>
    <row r="45" customFormat="false" ht="12.75" hidden="false" customHeight="false" outlineLevel="0" collapsed="false">
      <c r="B45" s="0" t="n">
        <f aca="false">Summary!B6</f>
        <v>4.018</v>
      </c>
      <c r="C45" s="55" t="s">
        <v>538</v>
      </c>
      <c r="I45" s="79" t="n">
        <f aca="false">I39+I41</f>
        <v>46267.4999999998</v>
      </c>
      <c r="J45" s="80"/>
      <c r="K45" s="80" t="s">
        <v>539</v>
      </c>
      <c r="L45" s="21"/>
      <c r="M45" s="21"/>
    </row>
    <row r="52" customFormat="false" ht="12.75" hidden="false" customHeight="false" outlineLevel="0" collapsed="false">
      <c r="A52" s="56"/>
    </row>
    <row r="55" customFormat="false" ht="12.75" hidden="false" customHeight="false" outlineLevel="0" collapsed="false">
      <c r="A55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5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2" ySplit="3" topLeftCell="S7" activePane="bottomRight" state="frozen"/>
      <selection pane="topLeft" activeCell="A1" activeCellId="0" sqref="A1"/>
      <selection pane="topRight" activeCell="S1" activeCellId="0" sqref="S1"/>
      <selection pane="bottomLeft" activeCell="A7" activeCellId="0" sqref="A7"/>
      <selection pane="bottomRight" activeCell="AF15" activeCellId="0" sqref="A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false" hidden="true" outlineLevel="0" max="2" min="2" style="0" width="9.06"/>
    <col collapsed="false" customWidth="true" hidden="false" outlineLevel="0" max="5" min="5" style="0" width="5.99"/>
    <col collapsed="false" customWidth="true" hidden="false" outlineLevel="0" max="7" min="7" style="0" width="5.99"/>
    <col collapsed="false" customWidth="true" hidden="false" outlineLevel="0" max="9" min="9" style="0" width="5.99"/>
    <col collapsed="false" customWidth="true" hidden="false" outlineLevel="0" max="11" min="11" style="0" width="5.99"/>
    <col collapsed="false" customWidth="true" hidden="false" outlineLevel="0" max="13" min="13" style="0" width="5.99"/>
    <col collapsed="false" customWidth="true" hidden="false" outlineLevel="0" max="15" min="15" style="0" width="6.28"/>
    <col collapsed="false" customWidth="true" hidden="false" outlineLevel="0" max="17" min="17" style="0" width="5.99"/>
    <col collapsed="false" customWidth="true" hidden="false" outlineLevel="0" max="19" min="19" style="0" width="5.99"/>
    <col collapsed="false" customWidth="true" hidden="false" outlineLevel="0" max="21" min="21" style="0" width="5.99"/>
    <col collapsed="false" customWidth="true" hidden="false" outlineLevel="0" max="23" min="23" style="0" width="5.99"/>
    <col collapsed="false" customWidth="true" hidden="false" outlineLevel="0" max="25" min="25" style="0" width="5.99"/>
    <col collapsed="false" customWidth="true" hidden="false" outlineLevel="0" max="27" min="27" style="0" width="5.99"/>
    <col collapsed="false" customWidth="true" hidden="false" outlineLevel="0" max="29" min="29" style="0" width="5.99"/>
    <col collapsed="false" customWidth="true" hidden="false" outlineLevel="0" max="31" min="31" style="0" width="5.99"/>
    <col collapsed="false" customWidth="true" hidden="false" outlineLevel="0" max="33" min="33" style="0" width="5.99"/>
    <col collapsed="false" customWidth="true" hidden="false" outlineLevel="0" max="35" min="35" style="0" width="5.99"/>
    <col collapsed="false" customWidth="true" hidden="false" outlineLevel="0" max="36" min="36" style="0" width="9.99"/>
    <col collapsed="false" customWidth="true" hidden="false" outlineLevel="0" max="37" min="37" style="0" width="5.99"/>
    <col collapsed="false" customWidth="true" hidden="false" outlineLevel="0" max="39" min="39" style="0" width="5.99"/>
    <col collapsed="false" customWidth="true" hidden="false" outlineLevel="0" max="41" min="41" style="0" width="5.99"/>
    <col collapsed="false" customWidth="true" hidden="false" outlineLevel="0" max="43" min="43" style="0" width="5.99"/>
    <col collapsed="false" customWidth="true" hidden="false" outlineLevel="0" max="45" min="45" style="0" width="5.99"/>
    <col collapsed="false" customWidth="true" hidden="false" outlineLevel="0" max="47" min="47" style="0" width="5.99"/>
  </cols>
  <sheetData>
    <row r="1" customFormat="false" ht="12.75" hidden="false" customHeight="false" outlineLevel="0" collapsed="false">
      <c r="A1" s="84" t="n">
        <v>36770</v>
      </c>
      <c r="B1" s="85"/>
      <c r="C1" s="86" t="s">
        <v>503</v>
      </c>
      <c r="D1" s="86" t="s">
        <v>542</v>
      </c>
      <c r="E1" s="87"/>
      <c r="F1" s="86" t="s">
        <v>543</v>
      </c>
      <c r="G1" s="87"/>
      <c r="H1" s="86" t="s">
        <v>544</v>
      </c>
      <c r="I1" s="87"/>
      <c r="J1" s="86" t="s">
        <v>545</v>
      </c>
      <c r="K1" s="87"/>
      <c r="L1" s="86" t="s">
        <v>546</v>
      </c>
      <c r="M1" s="87"/>
      <c r="N1" s="88" t="s">
        <v>547</v>
      </c>
      <c r="O1" s="87"/>
      <c r="P1" s="86" t="s">
        <v>548</v>
      </c>
      <c r="Q1" s="87"/>
      <c r="R1" s="86" t="s">
        <v>505</v>
      </c>
      <c r="S1" s="87"/>
      <c r="T1" s="86" t="s">
        <v>549</v>
      </c>
      <c r="U1" s="87"/>
      <c r="V1" s="86" t="s">
        <v>509</v>
      </c>
      <c r="W1" s="87"/>
      <c r="X1" s="86" t="s">
        <v>550</v>
      </c>
      <c r="Y1" s="87"/>
      <c r="Z1" s="86" t="s">
        <v>551</v>
      </c>
      <c r="AA1" s="87"/>
      <c r="AB1" s="86" t="n">
        <v>500</v>
      </c>
      <c r="AC1" s="87"/>
      <c r="AD1" s="86" t="n">
        <v>800</v>
      </c>
      <c r="AE1" s="87"/>
      <c r="AF1" s="89" t="s">
        <v>507</v>
      </c>
      <c r="AG1" s="87"/>
      <c r="AH1" s="86" t="s">
        <v>512</v>
      </c>
      <c r="AI1" s="87"/>
      <c r="AJ1" s="86" t="s">
        <v>552</v>
      </c>
      <c r="AK1" s="87"/>
      <c r="AL1" s="86" t="s">
        <v>553</v>
      </c>
      <c r="AM1" s="87"/>
      <c r="AN1" s="86" t="s">
        <v>554</v>
      </c>
      <c r="AO1" s="87"/>
      <c r="AP1" s="86" t="s">
        <v>555</v>
      </c>
      <c r="AQ1" s="87"/>
      <c r="AR1" s="86" t="s">
        <v>556</v>
      </c>
      <c r="AS1" s="87"/>
      <c r="AT1" s="86" t="s">
        <v>557</v>
      </c>
      <c r="AU1" s="87"/>
    </row>
    <row r="2" customFormat="false" ht="12.75" hidden="false" customHeight="false" outlineLevel="0" collapsed="false">
      <c r="A2" s="90"/>
      <c r="B2" s="91"/>
      <c r="C2" s="92"/>
      <c r="D2" s="92" t="s">
        <v>558</v>
      </c>
      <c r="E2" s="93"/>
      <c r="F2" s="92" t="s">
        <v>558</v>
      </c>
      <c r="G2" s="93"/>
      <c r="H2" s="92" t="s">
        <v>559</v>
      </c>
      <c r="I2" s="93"/>
      <c r="J2" s="92" t="s">
        <v>560</v>
      </c>
      <c r="K2" s="93"/>
      <c r="L2" s="92" t="s">
        <v>558</v>
      </c>
      <c r="M2" s="93"/>
      <c r="N2" s="92" t="s">
        <v>558</v>
      </c>
      <c r="O2" s="93"/>
      <c r="P2" s="92" t="s">
        <v>561</v>
      </c>
      <c r="Q2" s="93"/>
      <c r="R2" s="94"/>
      <c r="S2" s="93"/>
      <c r="T2" s="92"/>
      <c r="U2" s="93"/>
      <c r="V2" s="92"/>
      <c r="W2" s="93"/>
      <c r="X2" s="92"/>
      <c r="Y2" s="93"/>
      <c r="Z2" s="92"/>
      <c r="AA2" s="93"/>
      <c r="AB2" s="92"/>
      <c r="AC2" s="93"/>
      <c r="AD2" s="92"/>
      <c r="AE2" s="93"/>
      <c r="AF2" s="92"/>
      <c r="AG2" s="93"/>
      <c r="AH2" s="92"/>
      <c r="AI2" s="93"/>
      <c r="AJ2" s="92"/>
      <c r="AK2" s="93"/>
      <c r="AL2" s="92"/>
      <c r="AM2" s="93"/>
      <c r="AN2" s="92"/>
      <c r="AO2" s="93"/>
      <c r="AP2" s="92"/>
      <c r="AQ2" s="93"/>
      <c r="AR2" s="92"/>
      <c r="AS2" s="93"/>
      <c r="AT2" s="92"/>
      <c r="AU2" s="93"/>
    </row>
    <row r="3" customFormat="false" ht="12.75" hidden="false" customHeight="false" outlineLevel="0" collapsed="false">
      <c r="A3" s="90" t="s">
        <v>562</v>
      </c>
      <c r="B3" s="91" t="s">
        <v>563</v>
      </c>
      <c r="C3" s="92" t="n">
        <v>3.74</v>
      </c>
      <c r="D3" s="92"/>
      <c r="E3" s="93" t="n">
        <f aca="false">IF(D3-$C3&lt;&gt;0,D3-$C3,"")</f>
        <v>-3.74</v>
      </c>
      <c r="F3" s="92"/>
      <c r="G3" s="93" t="n">
        <f aca="false">IF(F3-$C3&lt;&gt;0,F3-$C3,"")</f>
        <v>-3.74</v>
      </c>
      <c r="H3" s="92"/>
      <c r="I3" s="93" t="n">
        <f aca="false">IF(H3-$C3&lt;&gt;0,H3-$C3,"")</f>
        <v>-3.74</v>
      </c>
      <c r="J3" s="92"/>
      <c r="K3" s="93" t="n">
        <f aca="false">IF(J3-$C3&lt;&gt;0,J3-$C3,"")</f>
        <v>-3.74</v>
      </c>
      <c r="L3" s="92"/>
      <c r="M3" s="93" t="n">
        <f aca="false">IF(L3-$C3&lt;&gt;0,L3-$C3,"")</f>
        <v>-3.74</v>
      </c>
      <c r="N3" s="92"/>
      <c r="O3" s="93" t="n">
        <f aca="false">IF(N3-$C3&lt;&gt;0,N3-$C3,"")</f>
        <v>-3.74</v>
      </c>
      <c r="P3" s="92"/>
      <c r="Q3" s="93" t="n">
        <f aca="false">IF(P3-$C3&lt;&gt;0,P3-$C3,"")</f>
        <v>-3.74</v>
      </c>
      <c r="R3" s="95" t="n">
        <f aca="false">C3+0</f>
        <v>3.74</v>
      </c>
      <c r="S3" s="93" t="str">
        <f aca="false">IF(R3-$C3&lt;&gt;0,R3-$C3,"")</f>
        <v/>
      </c>
      <c r="T3" s="92"/>
      <c r="U3" s="93" t="n">
        <f aca="false">IF(T3-$C3&lt;&gt;0,T3-$C3,"")</f>
        <v>-3.74</v>
      </c>
      <c r="V3" s="92" t="n">
        <f aca="false">C3+0.03</f>
        <v>3.77</v>
      </c>
      <c r="W3" s="93" t="n">
        <f aca="false">IF(V3-$C3&lt;&gt;0,V3-$C3,"")</f>
        <v>0.0299999999999998</v>
      </c>
      <c r="X3" s="92"/>
      <c r="Y3" s="93" t="n">
        <f aca="false">IF(X3-$C3&lt;&gt;0,X3-$C3,"")</f>
        <v>-3.74</v>
      </c>
      <c r="Z3" s="92"/>
      <c r="AA3" s="93" t="n">
        <f aca="false">IF(Z3-$C3&lt;&gt;0,Z3-$C3,"")</f>
        <v>-3.74</v>
      </c>
      <c r="AB3" s="92"/>
      <c r="AC3" s="93" t="n">
        <f aca="false">IF(AB3-$C3&lt;&gt;0,AB3-$C3,"")</f>
        <v>-3.74</v>
      </c>
      <c r="AD3" s="92"/>
      <c r="AE3" s="93" t="n">
        <f aca="false">IF(AD3-$C3&lt;&gt;0,AD3-$C3,"")</f>
        <v>-3.74</v>
      </c>
      <c r="AF3" s="92" t="n">
        <f aca="false">C3+0.03</f>
        <v>3.77</v>
      </c>
      <c r="AG3" s="93" t="n">
        <f aca="false">IF(AF3-$C3&lt;&gt;0,AF3-$C3,"")</f>
        <v>0.0299999999999998</v>
      </c>
      <c r="AH3" s="92"/>
      <c r="AI3" s="93" t="n">
        <f aca="false">IF(AH3-$C3&lt;&gt;0,AH3-$C3,"")</f>
        <v>-3.74</v>
      </c>
      <c r="AJ3" s="92"/>
      <c r="AK3" s="93" t="n">
        <f aca="false">IF(AJ3-$C3&lt;&gt;0,AJ3-$C3,"")</f>
        <v>-3.74</v>
      </c>
      <c r="AL3" s="92"/>
      <c r="AM3" s="93" t="n">
        <f aca="false">IF(AL3-$C3&lt;&gt;0,AL3-$C3,"")</f>
        <v>-3.74</v>
      </c>
      <c r="AN3" s="92"/>
      <c r="AO3" s="93" t="n">
        <f aca="false">IF(AN3-$C3&lt;&gt;0,AN3-$C3,"")</f>
        <v>-3.74</v>
      </c>
      <c r="AP3" s="92"/>
      <c r="AQ3" s="93" t="n">
        <f aca="false">IF(AP3-$C3&lt;&gt;0,AP3-$C3,"")</f>
        <v>-3.74</v>
      </c>
      <c r="AR3" s="92"/>
      <c r="AS3" s="93" t="n">
        <f aca="false">IF(AR3-$C3&lt;&gt;0,AR3-$C3,"")</f>
        <v>-3.74</v>
      </c>
      <c r="AT3" s="92"/>
      <c r="AU3" s="93" t="n">
        <f aca="false">IF(AT3-$C3&lt;&gt;0,AT3-$C3,"")</f>
        <v>-3.74</v>
      </c>
    </row>
    <row r="4" customFormat="false" ht="12.75" hidden="false" customHeight="false" outlineLevel="0" collapsed="false">
      <c r="A4" s="96" t="s">
        <v>564</v>
      </c>
      <c r="B4" s="97"/>
      <c r="C4" s="98" t="n">
        <v>3.73</v>
      </c>
      <c r="D4" s="98"/>
      <c r="E4" s="99" t="n">
        <f aca="false">IF(D4-$C4&lt;&gt;0,D4-$C4,"")</f>
        <v>-3.73</v>
      </c>
      <c r="F4" s="98"/>
      <c r="G4" s="99" t="n">
        <f aca="false">IF(F4-$C4&lt;&gt;0,F4-$C4,"")</f>
        <v>-3.73</v>
      </c>
      <c r="H4" s="98"/>
      <c r="I4" s="99" t="n">
        <f aca="false">IF(H4-$C4&lt;&gt;0,H4-$C4,"")</f>
        <v>-3.73</v>
      </c>
      <c r="J4" s="98"/>
      <c r="K4" s="99" t="n">
        <f aca="false">IF(J4-$C4&lt;&gt;0,J4-$C4,"")</f>
        <v>-3.73</v>
      </c>
      <c r="L4" s="98"/>
      <c r="M4" s="99" t="n">
        <f aca="false">IF(L4-$C4&lt;&gt;0,L4-$C4,"")</f>
        <v>-3.73</v>
      </c>
      <c r="N4" s="98"/>
      <c r="O4" s="99" t="n">
        <f aca="false">IF(N4-$C4&lt;&gt;0,N4-$C4,"")</f>
        <v>-3.73</v>
      </c>
      <c r="P4" s="98"/>
      <c r="Q4" s="99" t="n">
        <f aca="false">IF(P4-$C4&lt;&gt;0,P4-$C4,"")</f>
        <v>-3.73</v>
      </c>
      <c r="R4" s="100" t="n">
        <v>3.83</v>
      </c>
      <c r="S4" s="99" t="n">
        <f aca="false">IF(R4-$C4&lt;&gt;0,R4-$C4,"")</f>
        <v>0.1</v>
      </c>
      <c r="T4" s="98"/>
      <c r="U4" s="99" t="n">
        <f aca="false">IF(T4-$C4&lt;&gt;0,T4-$C4,"")</f>
        <v>-3.73</v>
      </c>
      <c r="V4" s="98" t="n">
        <v>3.63</v>
      </c>
      <c r="W4" s="99" t="n">
        <f aca="false">IF(V4-$C4&lt;&gt;0,V4-$C4,"")</f>
        <v>-0.1</v>
      </c>
      <c r="X4" s="98"/>
      <c r="Y4" s="99" t="n">
        <f aca="false">IF(X4-$C4&lt;&gt;0,X4-$C4,"")</f>
        <v>-3.73</v>
      </c>
      <c r="Z4" s="98"/>
      <c r="AA4" s="99" t="n">
        <f aca="false">IF(Z4-$C4&lt;&gt;0,Z4-$C4,"")</f>
        <v>-3.73</v>
      </c>
      <c r="AB4" s="98"/>
      <c r="AC4" s="99" t="n">
        <f aca="false">IF(AB4-$C4&lt;&gt;0,AB4-$C4,"")</f>
        <v>-3.73</v>
      </c>
      <c r="AD4" s="98"/>
      <c r="AE4" s="99" t="n">
        <f aca="false">IF(AD4-$C4&lt;&gt;0,AD4-$C4,"")</f>
        <v>-3.73</v>
      </c>
      <c r="AF4" s="92" t="n">
        <v>3.83</v>
      </c>
      <c r="AG4" s="99" t="n">
        <f aca="false">IF(AF4-$C4&lt;&gt;0,AF4-$C4,"")</f>
        <v>0.1</v>
      </c>
      <c r="AH4" s="98"/>
      <c r="AI4" s="99" t="n">
        <f aca="false">IF(AH4-$C4&lt;&gt;0,AH4-$C4,"")</f>
        <v>-3.73</v>
      </c>
      <c r="AJ4" s="98"/>
      <c r="AK4" s="99" t="n">
        <f aca="false">IF(AJ4-$C4&lt;&gt;0,AJ4-$C4,"")</f>
        <v>-3.73</v>
      </c>
      <c r="AL4" s="98"/>
      <c r="AM4" s="99" t="n">
        <f aca="false">IF(AL4-$C4&lt;&gt;0,AL4-$C4,"")</f>
        <v>-3.73</v>
      </c>
      <c r="AN4" s="98"/>
      <c r="AO4" s="99" t="n">
        <f aca="false">IF(AN4-$C4&lt;&gt;0,AN4-$C4,"")</f>
        <v>-3.73</v>
      </c>
      <c r="AP4" s="98"/>
      <c r="AQ4" s="99" t="n">
        <f aca="false">IF(AP4-$C4&lt;&gt;0,AP4-$C4,"")</f>
        <v>-3.73</v>
      </c>
      <c r="AR4" s="98"/>
      <c r="AS4" s="99" t="n">
        <f aca="false">IF(AR4-$C4&lt;&gt;0,AR4-$C4,"")</f>
        <v>-3.73</v>
      </c>
      <c r="AT4" s="98"/>
      <c r="AU4" s="99" t="n">
        <f aca="false">IF(AT4-$C4&lt;&gt;0,AT4-$C4,"")</f>
        <v>-3.73</v>
      </c>
    </row>
    <row r="5" customFormat="false" ht="12.75" hidden="false" customHeight="false" outlineLevel="0" collapsed="false">
      <c r="A5" s="96" t="n">
        <v>2</v>
      </c>
      <c r="B5" s="97" t="s">
        <v>565</v>
      </c>
      <c r="C5" s="98" t="n">
        <v>3.705</v>
      </c>
      <c r="D5" s="98" t="n">
        <v>3.55</v>
      </c>
      <c r="E5" s="99" t="n">
        <f aca="false">IF(D5-$C5&lt;&gt;0,D5-$C5,"")</f>
        <v>-0.155</v>
      </c>
      <c r="F5" s="98" t="n">
        <v>3.65</v>
      </c>
      <c r="G5" s="99" t="n">
        <f aca="false">IF(F5-$C5&lt;&gt;0,F5-$C5,"")</f>
        <v>-0.0550000000000002</v>
      </c>
      <c r="H5" s="98" t="n">
        <v>3.64</v>
      </c>
      <c r="I5" s="99" t="n">
        <f aca="false">IF(H5-$C5&lt;&gt;0,H5-$C5,"")</f>
        <v>-0.065</v>
      </c>
      <c r="J5" s="98" t="n">
        <v>3.625</v>
      </c>
      <c r="K5" s="99" t="n">
        <f aca="false">IF(J5-$C5&lt;&gt;0,J5-$C5,"")</f>
        <v>-0.0800000000000001</v>
      </c>
      <c r="L5" s="98" t="n">
        <v>3.59</v>
      </c>
      <c r="M5" s="99" t="n">
        <f aca="false">IF(L5-$C5&lt;&gt;0,L5-$C5,"")</f>
        <v>-0.115</v>
      </c>
      <c r="N5" s="98" t="n">
        <v>3.565</v>
      </c>
      <c r="O5" s="99" t="n">
        <f aca="false">IF(N5-$C5&lt;&gt;0,N5-$C5,"")</f>
        <v>-0.14</v>
      </c>
      <c r="P5" s="98" t="n">
        <v>3.585</v>
      </c>
      <c r="Q5" s="99" t="n">
        <f aca="false">IF(P5-$C5&lt;&gt;0,P5-$C5,"")</f>
        <v>-0.12</v>
      </c>
      <c r="R5" s="100" t="n">
        <v>3.725</v>
      </c>
      <c r="S5" s="99" t="n">
        <f aca="false">IF(R5-$C5&lt;&gt;0,R5-$C5,"")</f>
        <v>0.02</v>
      </c>
      <c r="T5" s="98" t="n">
        <v>3.655</v>
      </c>
      <c r="U5" s="99" t="n">
        <f aca="false">IF(T5-$C5&lt;&gt;0,T5-$C5,"")</f>
        <v>-0.0500000000000003</v>
      </c>
      <c r="V5" s="98" t="n">
        <v>3.55</v>
      </c>
      <c r="W5" s="99" t="n">
        <f aca="false">IF(V5-$C5&lt;&gt;0,V5-$C5,"")</f>
        <v>-0.155</v>
      </c>
      <c r="X5" s="98" t="n">
        <v>3.51</v>
      </c>
      <c r="Y5" s="99" t="n">
        <f aca="false">IF(X5-$C5&lt;&gt;0,X5-$C5,"")</f>
        <v>-0.195</v>
      </c>
      <c r="Z5" s="98" t="n">
        <v>3.66</v>
      </c>
      <c r="AA5" s="99" t="n">
        <f aca="false">IF(Z5-$C5&lt;&gt;0,Z5-$C5,"")</f>
        <v>-0.0449999999999999</v>
      </c>
      <c r="AB5" s="98" t="n">
        <v>3.63</v>
      </c>
      <c r="AC5" s="99" t="n">
        <f aca="false">IF(AB5-$C5&lt;&gt;0,AB5-$C5,"")</f>
        <v>-0.0750000000000002</v>
      </c>
      <c r="AD5" s="98" t="n">
        <v>3.61</v>
      </c>
      <c r="AE5" s="99" t="n">
        <f aca="false">IF(AD5-$C5&lt;&gt;0,AD5-$C5,"")</f>
        <v>-0.0950000000000002</v>
      </c>
      <c r="AF5" s="98" t="n">
        <v>3.77</v>
      </c>
      <c r="AG5" s="99" t="n">
        <f aca="false">IF(AF5-$C5&lt;&gt;0,AF5-$C5,"")</f>
        <v>0.065</v>
      </c>
      <c r="AH5" s="98" t="n">
        <v>3.75</v>
      </c>
      <c r="AI5" s="99" t="n">
        <f aca="false">IF(AH5-$C5&lt;&gt;0,AH5-$C5,"")</f>
        <v>0.0449999999999999</v>
      </c>
      <c r="AJ5" s="98" t="n">
        <v>3.89</v>
      </c>
      <c r="AK5" s="99" t="n">
        <f aca="false">IF(AJ5-$C5&lt;&gt;0,AJ5-$C5,"")</f>
        <v>0.185</v>
      </c>
      <c r="AL5" s="98" t="n">
        <v>3.93</v>
      </c>
      <c r="AM5" s="99" t="n">
        <f aca="false">IF(AL5-$C5&lt;&gt;0,AL5-$C5,"")</f>
        <v>0.225</v>
      </c>
      <c r="AN5" s="98" t="n">
        <v>3.875</v>
      </c>
      <c r="AO5" s="99" t="n">
        <f aca="false">IF(AN5-$C5&lt;&gt;0,AN5-$C5,"")</f>
        <v>0.17</v>
      </c>
      <c r="AP5" s="98" t="n">
        <v>3.93</v>
      </c>
      <c r="AQ5" s="99" t="n">
        <f aca="false">IF(AP5-$C5&lt;&gt;0,AP5-$C5,"")</f>
        <v>0.225</v>
      </c>
      <c r="AR5" s="98" t="n">
        <v>3.94</v>
      </c>
      <c r="AS5" s="99" t="n">
        <f aca="false">IF(AR5-$C5&lt;&gt;0,AR5-$C5,"")</f>
        <v>0.235</v>
      </c>
      <c r="AT5" s="98" t="n">
        <v>3.705</v>
      </c>
      <c r="AU5" s="99" t="str">
        <f aca="false">IF(AT5-$C5&lt;&gt;0,AT5-$C5,"")</f>
        <v/>
      </c>
    </row>
    <row r="6" customFormat="false" ht="12.75" hidden="false" customHeight="false" outlineLevel="0" collapsed="false">
      <c r="A6" s="96" t="n">
        <v>3</v>
      </c>
      <c r="B6" s="97" t="s">
        <v>565</v>
      </c>
      <c r="C6" s="98" t="n">
        <v>3.705</v>
      </c>
      <c r="D6" s="98" t="n">
        <v>3.55</v>
      </c>
      <c r="E6" s="99" t="n">
        <f aca="false">IF(D6-$C6&lt;&gt;0,D6-$C6,"")</f>
        <v>-0.155</v>
      </c>
      <c r="F6" s="98" t="n">
        <v>3.65</v>
      </c>
      <c r="G6" s="99" t="n">
        <f aca="false">IF(F6-$C6&lt;&gt;0,F6-$C6,"")</f>
        <v>-0.0550000000000002</v>
      </c>
      <c r="H6" s="98" t="n">
        <v>3.64</v>
      </c>
      <c r="I6" s="99" t="n">
        <f aca="false">IF(H6-$C6&lt;&gt;0,H6-$C6,"")</f>
        <v>-0.065</v>
      </c>
      <c r="J6" s="98" t="n">
        <v>3.625</v>
      </c>
      <c r="K6" s="99" t="n">
        <f aca="false">IF(J6-$C6&lt;&gt;0,J6-$C6,"")</f>
        <v>-0.0800000000000001</v>
      </c>
      <c r="L6" s="98" t="n">
        <v>3.59</v>
      </c>
      <c r="M6" s="99" t="n">
        <f aca="false">IF(L6-$C6&lt;&gt;0,L6-$C6,"")</f>
        <v>-0.115</v>
      </c>
      <c r="N6" s="98" t="n">
        <v>3.565</v>
      </c>
      <c r="O6" s="99" t="n">
        <f aca="false">IF(N6-$C6&lt;&gt;0,N6-$C6,"")</f>
        <v>-0.14</v>
      </c>
      <c r="P6" s="98" t="n">
        <v>3.585</v>
      </c>
      <c r="Q6" s="99" t="n">
        <f aca="false">IF(P6-$C6&lt;&gt;0,P6-$C6,"")</f>
        <v>-0.12</v>
      </c>
      <c r="R6" s="100" t="n">
        <v>3.725</v>
      </c>
      <c r="S6" s="99" t="n">
        <f aca="false">IF(R6-$C6&lt;&gt;0,R6-$C6,"")</f>
        <v>0.02</v>
      </c>
      <c r="T6" s="98" t="n">
        <v>3.655</v>
      </c>
      <c r="U6" s="99" t="n">
        <f aca="false">IF(T6-$C6&lt;&gt;0,T6-$C6,"")</f>
        <v>-0.0500000000000003</v>
      </c>
      <c r="V6" s="98" t="n">
        <v>3.55</v>
      </c>
      <c r="W6" s="99" t="n">
        <f aca="false">IF(V6-$C6&lt;&gt;0,V6-$C6,"")</f>
        <v>-0.155</v>
      </c>
      <c r="X6" s="98" t="n">
        <v>3.51</v>
      </c>
      <c r="Y6" s="99" t="n">
        <f aca="false">IF(X6-$C6&lt;&gt;0,X6-$C6,"")</f>
        <v>-0.195</v>
      </c>
      <c r="Z6" s="98" t="n">
        <v>3.66</v>
      </c>
      <c r="AA6" s="99" t="n">
        <f aca="false">IF(Z6-$C6&lt;&gt;0,Z6-$C6,"")</f>
        <v>-0.0449999999999999</v>
      </c>
      <c r="AB6" s="98" t="n">
        <v>3.63</v>
      </c>
      <c r="AC6" s="99" t="n">
        <f aca="false">IF(AB6-$C6&lt;&gt;0,AB6-$C6,"")</f>
        <v>-0.0750000000000002</v>
      </c>
      <c r="AD6" s="98" t="n">
        <v>3.61</v>
      </c>
      <c r="AE6" s="99" t="n">
        <f aca="false">IF(AD6-$C6&lt;&gt;0,AD6-$C6,"")</f>
        <v>-0.0950000000000002</v>
      </c>
      <c r="AF6" s="98" t="n">
        <v>3.77</v>
      </c>
      <c r="AG6" s="99" t="n">
        <f aca="false">IF(AF6-$C6&lt;&gt;0,AF6-$C6,"")</f>
        <v>0.065</v>
      </c>
      <c r="AH6" s="98" t="n">
        <v>3.75</v>
      </c>
      <c r="AI6" s="99" t="n">
        <f aca="false">IF(AH6-$C6&lt;&gt;0,AH6-$C6,"")</f>
        <v>0.0449999999999999</v>
      </c>
      <c r="AJ6" s="98" t="n">
        <v>3.89</v>
      </c>
      <c r="AK6" s="99" t="n">
        <f aca="false">IF(AJ6-$C6&lt;&gt;0,AJ6-$C6,"")</f>
        <v>0.185</v>
      </c>
      <c r="AL6" s="98" t="n">
        <v>3.93</v>
      </c>
      <c r="AM6" s="99" t="n">
        <f aca="false">IF(AL6-$C6&lt;&gt;0,AL6-$C6,"")</f>
        <v>0.225</v>
      </c>
      <c r="AN6" s="98" t="n">
        <v>3.875</v>
      </c>
      <c r="AO6" s="99" t="n">
        <f aca="false">IF(AN6-$C6&lt;&gt;0,AN6-$C6,"")</f>
        <v>0.17</v>
      </c>
      <c r="AP6" s="98" t="n">
        <v>3.93</v>
      </c>
      <c r="AQ6" s="99" t="n">
        <f aca="false">IF(AP6-$C6&lt;&gt;0,AP6-$C6,"")</f>
        <v>0.225</v>
      </c>
      <c r="AR6" s="98" t="n">
        <v>3.94</v>
      </c>
      <c r="AS6" s="99" t="n">
        <f aca="false">IF(AR6-$C6&lt;&gt;0,AR6-$C6,"")</f>
        <v>0.235</v>
      </c>
      <c r="AT6" s="98" t="n">
        <v>3.705</v>
      </c>
      <c r="AU6" s="99" t="str">
        <f aca="false">IF(AT6-$C6&lt;&gt;0,AT6-$C6,"")</f>
        <v/>
      </c>
    </row>
    <row r="7" customFormat="false" ht="12.75" hidden="false" customHeight="false" outlineLevel="0" collapsed="false">
      <c r="A7" s="96" t="n">
        <v>4</v>
      </c>
      <c r="B7" s="97" t="s">
        <v>565</v>
      </c>
      <c r="C7" s="98" t="n">
        <v>3.705</v>
      </c>
      <c r="D7" s="98" t="n">
        <v>3.55</v>
      </c>
      <c r="E7" s="99" t="n">
        <f aca="false">IF(D7-$C7&lt;&gt;0,D7-$C7,"")</f>
        <v>-0.155</v>
      </c>
      <c r="F7" s="98" t="n">
        <v>3.65</v>
      </c>
      <c r="G7" s="99" t="n">
        <f aca="false">IF(F7-$C7&lt;&gt;0,F7-$C7,"")</f>
        <v>-0.0550000000000002</v>
      </c>
      <c r="H7" s="98" t="n">
        <v>3.64</v>
      </c>
      <c r="I7" s="99" t="n">
        <f aca="false">IF(H7-$C7&lt;&gt;0,H7-$C7,"")</f>
        <v>-0.065</v>
      </c>
      <c r="J7" s="98" t="n">
        <v>3.625</v>
      </c>
      <c r="K7" s="99" t="n">
        <f aca="false">IF(J7-$C7&lt;&gt;0,J7-$C7,"")</f>
        <v>-0.0800000000000001</v>
      </c>
      <c r="L7" s="98" t="n">
        <v>3.59</v>
      </c>
      <c r="M7" s="99" t="n">
        <f aca="false">IF(L7-$C7&lt;&gt;0,L7-$C7,"")</f>
        <v>-0.115</v>
      </c>
      <c r="N7" s="98" t="n">
        <v>3.565</v>
      </c>
      <c r="O7" s="99" t="n">
        <f aca="false">IF(N7-$C7&lt;&gt;0,N7-$C7,"")</f>
        <v>-0.14</v>
      </c>
      <c r="P7" s="98" t="n">
        <v>3.585</v>
      </c>
      <c r="Q7" s="99" t="n">
        <f aca="false">IF(P7-$C7&lt;&gt;0,P7-$C7,"")</f>
        <v>-0.12</v>
      </c>
      <c r="R7" s="100" t="n">
        <v>3.725</v>
      </c>
      <c r="S7" s="99" t="n">
        <f aca="false">IF(R7-$C7&lt;&gt;0,R7-$C7,"")</f>
        <v>0.02</v>
      </c>
      <c r="T7" s="98" t="n">
        <v>3.655</v>
      </c>
      <c r="U7" s="99" t="n">
        <f aca="false">IF(T7-$C7&lt;&gt;0,T7-$C7,"")</f>
        <v>-0.0500000000000003</v>
      </c>
      <c r="V7" s="98" t="n">
        <v>3.55</v>
      </c>
      <c r="W7" s="99" t="n">
        <f aca="false">IF(V7-$C7&lt;&gt;0,V7-$C7,"")</f>
        <v>-0.155</v>
      </c>
      <c r="X7" s="98" t="n">
        <v>3.51</v>
      </c>
      <c r="Y7" s="99" t="n">
        <f aca="false">IF(X7-$C7&lt;&gt;0,X7-$C7,"")</f>
        <v>-0.195</v>
      </c>
      <c r="Z7" s="98" t="n">
        <v>3.66</v>
      </c>
      <c r="AA7" s="99" t="n">
        <f aca="false">IF(Z7-$C7&lt;&gt;0,Z7-$C7,"")</f>
        <v>-0.0449999999999999</v>
      </c>
      <c r="AB7" s="98" t="n">
        <v>3.63</v>
      </c>
      <c r="AC7" s="99" t="n">
        <f aca="false">IF(AB7-$C7&lt;&gt;0,AB7-$C7,"")</f>
        <v>-0.0750000000000002</v>
      </c>
      <c r="AD7" s="98" t="n">
        <v>3.61</v>
      </c>
      <c r="AE7" s="99" t="n">
        <f aca="false">IF(AD7-$C7&lt;&gt;0,AD7-$C7,"")</f>
        <v>-0.0950000000000002</v>
      </c>
      <c r="AF7" s="98" t="n">
        <v>3.77</v>
      </c>
      <c r="AG7" s="99" t="n">
        <f aca="false">IF(AF7-$C7&lt;&gt;0,AF7-$C7,"")</f>
        <v>0.065</v>
      </c>
      <c r="AH7" s="98" t="n">
        <v>3.75</v>
      </c>
      <c r="AI7" s="99" t="n">
        <f aca="false">IF(AH7-$C7&lt;&gt;0,AH7-$C7,"")</f>
        <v>0.0449999999999999</v>
      </c>
      <c r="AJ7" s="98" t="n">
        <v>3.89</v>
      </c>
      <c r="AK7" s="99" t="n">
        <f aca="false">IF(AJ7-$C7&lt;&gt;0,AJ7-$C7,"")</f>
        <v>0.185</v>
      </c>
      <c r="AL7" s="98" t="n">
        <v>3.93</v>
      </c>
      <c r="AM7" s="99" t="n">
        <f aca="false">IF(AL7-$C7&lt;&gt;0,AL7-$C7,"")</f>
        <v>0.225</v>
      </c>
      <c r="AN7" s="98" t="n">
        <v>3.875</v>
      </c>
      <c r="AO7" s="99" t="n">
        <f aca="false">IF(AN7-$C7&lt;&gt;0,AN7-$C7,"")</f>
        <v>0.17</v>
      </c>
      <c r="AP7" s="98" t="n">
        <v>3.93</v>
      </c>
      <c r="AQ7" s="99" t="n">
        <f aca="false">IF(AP7-$C7&lt;&gt;0,AP7-$C7,"")</f>
        <v>0.225</v>
      </c>
      <c r="AR7" s="98" t="n">
        <v>3.94</v>
      </c>
      <c r="AS7" s="99" t="n">
        <f aca="false">IF(AR7-$C7&lt;&gt;0,AR7-$C7,"")</f>
        <v>0.235</v>
      </c>
      <c r="AT7" s="98" t="n">
        <v>3.75</v>
      </c>
      <c r="AU7" s="99" t="n">
        <f aca="false">IF(AT7-$C7&lt;&gt;0,AT7-$C7,"")</f>
        <v>0.0449999999999999</v>
      </c>
    </row>
    <row r="8" customFormat="false" ht="12.75" hidden="false" customHeight="false" outlineLevel="0" collapsed="false">
      <c r="A8" s="96" t="n">
        <v>5</v>
      </c>
      <c r="B8" s="97" t="s">
        <v>565</v>
      </c>
      <c r="C8" s="98" t="n">
        <v>3.945</v>
      </c>
      <c r="D8" s="98" t="n">
        <v>3.825</v>
      </c>
      <c r="E8" s="99" t="n">
        <f aca="false">IF(D8-$C8&lt;&gt;0,D8-$C8,"")</f>
        <v>-0.12</v>
      </c>
      <c r="F8" s="98" t="n">
        <v>3.91</v>
      </c>
      <c r="G8" s="99" t="n">
        <f aca="false">IF(F8-$C8&lt;&gt;0,F8-$C8,"")</f>
        <v>-0.0349999999999997</v>
      </c>
      <c r="H8" s="98" t="n">
        <v>3.89</v>
      </c>
      <c r="I8" s="99" t="n">
        <f aca="false">IF(H8-$C8&lt;&gt;0,H8-$C8,"")</f>
        <v>-0.0549999999999997</v>
      </c>
      <c r="J8" s="98" t="n">
        <v>3.89</v>
      </c>
      <c r="K8" s="99" t="n">
        <f aca="false">IF(J8-$C8&lt;&gt;0,J8-$C8,"")</f>
        <v>-0.0549999999999997</v>
      </c>
      <c r="L8" s="98" t="n">
        <v>3.855</v>
      </c>
      <c r="M8" s="99" t="n">
        <f aca="false">IF(L8-$C8&lt;&gt;0,L8-$C8,"")</f>
        <v>-0.0899999999999999</v>
      </c>
      <c r="N8" s="98" t="n">
        <v>3.82</v>
      </c>
      <c r="O8" s="99" t="n">
        <f aca="false">IF(N8-$C8&lt;&gt;0,N8-$C8,"")</f>
        <v>-0.125</v>
      </c>
      <c r="P8" s="98" t="n">
        <v>3.83</v>
      </c>
      <c r="Q8" s="99" t="n">
        <f aca="false">IF(P8-$C8&lt;&gt;0,P8-$C8,"")</f>
        <v>-0.115</v>
      </c>
      <c r="R8" s="100" t="n">
        <v>3.965</v>
      </c>
      <c r="S8" s="99" t="n">
        <f aca="false">IF(R8-$C8&lt;&gt;0,R8-$C8,"")</f>
        <v>0.02</v>
      </c>
      <c r="T8" s="98" t="n">
        <v>3.9</v>
      </c>
      <c r="U8" s="99" t="n">
        <f aca="false">IF(T8-$C8&lt;&gt;0,T8-$C8,"")</f>
        <v>-0.0449999999999999</v>
      </c>
      <c r="V8" s="98" t="n">
        <v>3.88</v>
      </c>
      <c r="W8" s="99" t="n">
        <f aca="false">IF(V8-$C8&lt;&gt;0,V8-$C8,"")</f>
        <v>-0.065</v>
      </c>
      <c r="X8" s="98" t="n">
        <v>4.005</v>
      </c>
      <c r="Y8" s="99" t="n">
        <f aca="false">IF(X8-$C8&lt;&gt;0,X8-$C8,"")</f>
        <v>0.0600000000000001</v>
      </c>
      <c r="Z8" s="98" t="n">
        <v>3.9</v>
      </c>
      <c r="AA8" s="99" t="n">
        <f aca="false">IF(Z8-$C8&lt;&gt;0,Z8-$C8,"")</f>
        <v>-0.0449999999999999</v>
      </c>
      <c r="AB8" s="98" t="n">
        <v>3.835</v>
      </c>
      <c r="AC8" s="99" t="n">
        <f aca="false">IF(AB8-$C8&lt;&gt;0,AB8-$C8,"")</f>
        <v>-0.11</v>
      </c>
      <c r="AD8" s="98" t="n">
        <v>3.83</v>
      </c>
      <c r="AE8" s="99" t="n">
        <f aca="false">IF(AD8-$C8&lt;&gt;0,AD8-$C8,"")</f>
        <v>-0.115</v>
      </c>
      <c r="AF8" s="98" t="n">
        <v>3.995</v>
      </c>
      <c r="AG8" s="99" t="n">
        <f aca="false">IF(AF8-$C8&lt;&gt;0,AF8-$C8,"")</f>
        <v>0.0500000000000003</v>
      </c>
      <c r="AH8" s="98" t="n">
        <v>4</v>
      </c>
      <c r="AI8" s="99" t="n">
        <f aca="false">IF(AH8-$C8&lt;&gt;0,AH8-$C8,"")</f>
        <v>0.0550000000000002</v>
      </c>
      <c r="AJ8" s="98" t="n">
        <v>4.095</v>
      </c>
      <c r="AK8" s="99" t="n">
        <f aca="false">IF(AJ8-$C8&lt;&gt;0,AJ8-$C8,"")</f>
        <v>0.15</v>
      </c>
      <c r="AL8" s="98" t="n">
        <v>4.14</v>
      </c>
      <c r="AM8" s="99" t="n">
        <f aca="false">IF(AL8-$C8&lt;&gt;0,AL8-$C8,"")</f>
        <v>0.195</v>
      </c>
      <c r="AN8" s="98" t="n">
        <v>4.095</v>
      </c>
      <c r="AO8" s="99" t="n">
        <f aca="false">IF(AN8-$C8&lt;&gt;0,AN8-$C8,"")</f>
        <v>0.15</v>
      </c>
      <c r="AP8" s="98" t="n">
        <v>4.155</v>
      </c>
      <c r="AQ8" s="99" t="n">
        <f aca="false">IF(AP8-$C8&lt;&gt;0,AP8-$C8,"")</f>
        <v>0.21</v>
      </c>
      <c r="AR8" s="98" t="n">
        <v>4.16</v>
      </c>
      <c r="AS8" s="99" t="n">
        <f aca="false">IF(AR8-$C8&lt;&gt;0,AR8-$C8,"")</f>
        <v>0.215</v>
      </c>
      <c r="AT8" s="98" t="n">
        <v>3.955</v>
      </c>
      <c r="AU8" s="99" t="n">
        <f aca="false">IF(AT8-$C8&lt;&gt;0,AT8-$C8,"")</f>
        <v>0.0100000000000002</v>
      </c>
    </row>
    <row r="9" customFormat="false" ht="12.75" hidden="false" customHeight="false" outlineLevel="0" collapsed="false">
      <c r="A9" s="96" t="n">
        <v>6</v>
      </c>
      <c r="B9" s="97" t="s">
        <v>565</v>
      </c>
      <c r="C9" s="98" t="n">
        <v>3.985</v>
      </c>
      <c r="D9" s="98" t="n">
        <v>3.89</v>
      </c>
      <c r="E9" s="99" t="n">
        <f aca="false">IF(D9-$C9&lt;&gt;0,D9-$C9,"")</f>
        <v>-0.0949999999999998</v>
      </c>
      <c r="F9" s="98" t="n">
        <v>3.97</v>
      </c>
      <c r="G9" s="99" t="n">
        <f aca="false">IF(F9-$C9&lt;&gt;0,F9-$C9,"")</f>
        <v>-0.0149999999999997</v>
      </c>
      <c r="H9" s="98" t="n">
        <v>3.91</v>
      </c>
      <c r="I9" s="99" t="n">
        <f aca="false">IF(H9-$C9&lt;&gt;0,H9-$C9,"")</f>
        <v>-0.0749999999999997</v>
      </c>
      <c r="J9" s="98" t="n">
        <v>3.97</v>
      </c>
      <c r="K9" s="99" t="n">
        <f aca="false">IF(J9-$C9&lt;&gt;0,J9-$C9,"")</f>
        <v>-0.0149999999999997</v>
      </c>
      <c r="L9" s="98" t="n">
        <v>3.935</v>
      </c>
      <c r="M9" s="99" t="n">
        <f aca="false">IF(L9-$C9&lt;&gt;0,L9-$C9,"")</f>
        <v>-0.0499999999999998</v>
      </c>
      <c r="N9" s="98" t="n">
        <v>3.865</v>
      </c>
      <c r="O9" s="99" t="n">
        <f aca="false">IF(N9-$C9&lt;&gt;0,N9-$C9,"")</f>
        <v>-0.12</v>
      </c>
      <c r="P9" s="98" t="n">
        <v>3.9</v>
      </c>
      <c r="Q9" s="99" t="n">
        <f aca="false">IF(P9-$C9&lt;&gt;0,P9-$C9,"")</f>
        <v>-0.085</v>
      </c>
      <c r="R9" s="100" t="n">
        <v>4.035</v>
      </c>
      <c r="S9" s="99" t="n">
        <f aca="false">IF(R9-$C9&lt;&gt;0,R9-$C9,"")</f>
        <v>0.0500000000000003</v>
      </c>
      <c r="T9" s="98" t="n">
        <v>3.92</v>
      </c>
      <c r="U9" s="99" t="n">
        <f aca="false">IF(T9-$C9&lt;&gt;0,T9-$C9,"")</f>
        <v>-0.065</v>
      </c>
      <c r="V9" s="98" t="n">
        <v>3.99</v>
      </c>
      <c r="W9" s="99" t="n">
        <f aca="false">IF(V9-$C9&lt;&gt;0,V9-$C9,"")</f>
        <v>0.00500000000000034</v>
      </c>
      <c r="X9" s="98" t="n">
        <v>4.025</v>
      </c>
      <c r="Y9" s="99" t="n">
        <f aca="false">IF(X9-$C9&lt;&gt;0,X9-$C9,"")</f>
        <v>0.0400000000000005</v>
      </c>
      <c r="Z9" s="98" t="n">
        <v>3.935</v>
      </c>
      <c r="AA9" s="99" t="n">
        <f aca="false">IF(Z9-$C9&lt;&gt;0,Z9-$C9,"")</f>
        <v>-0.0499999999999998</v>
      </c>
      <c r="AB9" s="98" t="n">
        <v>3.86</v>
      </c>
      <c r="AC9" s="99" t="n">
        <f aca="false">IF(AB9-$C9&lt;&gt;0,AB9-$C9,"")</f>
        <v>-0.125</v>
      </c>
      <c r="AD9" s="98" t="n">
        <v>3.855</v>
      </c>
      <c r="AE9" s="99" t="n">
        <f aca="false">IF(AD9-$C9&lt;&gt;0,AD9-$C9,"")</f>
        <v>-0.13</v>
      </c>
      <c r="AF9" s="98" t="n">
        <v>4.075</v>
      </c>
      <c r="AG9" s="99" t="n">
        <f aca="false">IF(AF9-$C9&lt;&gt;0,AF9-$C9,"")</f>
        <v>0.0900000000000003</v>
      </c>
      <c r="AH9" s="98" t="n">
        <v>4.08</v>
      </c>
      <c r="AI9" s="99" t="n">
        <f aca="false">IF(AH9-$C9&lt;&gt;0,AH9-$C9,"")</f>
        <v>0.0950000000000002</v>
      </c>
      <c r="AJ9" s="98" t="n">
        <v>4.145</v>
      </c>
      <c r="AK9" s="99" t="n">
        <f aca="false">IF(AJ9-$C9&lt;&gt;0,AJ9-$C9,"")</f>
        <v>0.16</v>
      </c>
      <c r="AL9" s="98" t="n">
        <v>4.19</v>
      </c>
      <c r="AM9" s="99" t="n">
        <f aca="false">IF(AL9-$C9&lt;&gt;0,AL9-$C9,"")</f>
        <v>0.205000000000001</v>
      </c>
      <c r="AN9" s="98" t="n">
        <v>4.125</v>
      </c>
      <c r="AO9" s="99" t="n">
        <f aca="false">IF(AN9-$C9&lt;&gt;0,AN9-$C9,"")</f>
        <v>0.14</v>
      </c>
      <c r="AP9" s="98" t="n">
        <v>4.175</v>
      </c>
      <c r="AQ9" s="99" t="n">
        <f aca="false">IF(AP9-$C9&lt;&gt;0,AP9-$C9,"")</f>
        <v>0.19</v>
      </c>
      <c r="AR9" s="98" t="n">
        <v>4.19</v>
      </c>
      <c r="AS9" s="99" t="n">
        <f aca="false">IF(AR9-$C9&lt;&gt;0,AR9-$C9,"")</f>
        <v>0.205000000000001</v>
      </c>
      <c r="AT9" s="98" t="n">
        <v>4.015</v>
      </c>
      <c r="AU9" s="99" t="n">
        <f aca="false">IF(AT9-$C9&lt;&gt;0,AT9-$C9,"")</f>
        <v>0.0299999999999998</v>
      </c>
    </row>
    <row r="10" customFormat="false" ht="12.75" hidden="false" customHeight="false" outlineLevel="0" collapsed="false">
      <c r="A10" s="96" t="n">
        <v>7</v>
      </c>
      <c r="B10" s="97" t="s">
        <v>565</v>
      </c>
      <c r="C10" s="98" t="n">
        <v>3.75</v>
      </c>
      <c r="D10" s="98" t="n">
        <v>3.67</v>
      </c>
      <c r="E10" s="99" t="n">
        <f aca="false">IF(D10-$C10&lt;&gt;0,D10-$C10,"")</f>
        <v>-0.0800000000000001</v>
      </c>
      <c r="F10" s="98" t="n">
        <v>3.72</v>
      </c>
      <c r="G10" s="99" t="n">
        <f aca="false">IF(F10-$C10&lt;&gt;0,F10-$C10,"")</f>
        <v>-0.0299999999999998</v>
      </c>
      <c r="H10" s="98" t="n">
        <v>3.7</v>
      </c>
      <c r="I10" s="99" t="n">
        <f aca="false">IF(H10-$C10&lt;&gt;0,H10-$C10,"")</f>
        <v>-0.0499999999999998</v>
      </c>
      <c r="J10" s="98" t="n">
        <v>3.7</v>
      </c>
      <c r="K10" s="99" t="n">
        <f aca="false">IF(J10-$C10&lt;&gt;0,J10-$C10,"")</f>
        <v>-0.0499999999999998</v>
      </c>
      <c r="L10" s="98" t="n">
        <v>3.67</v>
      </c>
      <c r="M10" s="99" t="n">
        <f aca="false">IF(L10-$C10&lt;&gt;0,L10-$C10,"")</f>
        <v>-0.0800000000000001</v>
      </c>
      <c r="N10" s="98" t="n">
        <v>3.645</v>
      </c>
      <c r="O10" s="99" t="n">
        <f aca="false">IF(N10-$C10&lt;&gt;0,N10-$C10,"")</f>
        <v>-0.105</v>
      </c>
      <c r="P10" s="98" t="n">
        <v>3.645</v>
      </c>
      <c r="Q10" s="99" t="n">
        <f aca="false">IF(P10-$C10&lt;&gt;0,P10-$C10,"")</f>
        <v>-0.105</v>
      </c>
      <c r="R10" s="100" t="n">
        <v>3.76</v>
      </c>
      <c r="S10" s="99" t="n">
        <f aca="false">IF(R10-$C10&lt;&gt;0,R10-$C10,"")</f>
        <v>0.00999999999999979</v>
      </c>
      <c r="T10" s="98" t="n">
        <v>3.695</v>
      </c>
      <c r="U10" s="99" t="n">
        <f aca="false">IF(T10-$C10&lt;&gt;0,T10-$C10,"")</f>
        <v>-0.0550000000000002</v>
      </c>
      <c r="V10" s="98" t="n">
        <v>3.665</v>
      </c>
      <c r="W10" s="99" t="n">
        <f aca="false">IF(V10-$C10&lt;&gt;0,V10-$C10,"")</f>
        <v>-0.085</v>
      </c>
      <c r="X10" s="98" t="n">
        <v>3.635</v>
      </c>
      <c r="Y10" s="99" t="n">
        <f aca="false">IF(X10-$C10&lt;&gt;0,X10-$C10,"")</f>
        <v>-0.115</v>
      </c>
      <c r="Z10" s="98" t="n">
        <v>3.71</v>
      </c>
      <c r="AA10" s="99" t="n">
        <f aca="false">IF(Z10-$C10&lt;&gt;0,Z10-$C10,"")</f>
        <v>-0.04</v>
      </c>
      <c r="AB10" s="98" t="n">
        <v>3.66</v>
      </c>
      <c r="AC10" s="99" t="n">
        <f aca="false">IF(AB10-$C10&lt;&gt;0,AB10-$C10,"")</f>
        <v>-0.0899999999999999</v>
      </c>
      <c r="AD10" s="98" t="n">
        <v>3.66</v>
      </c>
      <c r="AE10" s="99" t="n">
        <f aca="false">IF(AD10-$C10&lt;&gt;0,AD10-$C10,"")</f>
        <v>-0.0899999999999999</v>
      </c>
      <c r="AF10" s="98" t="n">
        <v>3.795</v>
      </c>
      <c r="AG10" s="99" t="n">
        <f aca="false">IF(AF10-$C10&lt;&gt;0,AF10-$C10,"")</f>
        <v>0.0449999999999999</v>
      </c>
      <c r="AH10" s="98" t="n">
        <v>3.84</v>
      </c>
      <c r="AI10" s="99" t="n">
        <f aca="false">IF(AH10-$C10&lt;&gt;0,AH10-$C10,"")</f>
        <v>0.0899999999999999</v>
      </c>
      <c r="AJ10" s="98" t="n">
        <v>3.88</v>
      </c>
      <c r="AK10" s="99" t="n">
        <f aca="false">IF(AJ10-$C10&lt;&gt;0,AJ10-$C10,"")</f>
        <v>0.13</v>
      </c>
      <c r="AL10" s="98" t="n">
        <v>3.905</v>
      </c>
      <c r="AM10" s="99" t="n">
        <f aca="false">IF(AL10-$C10&lt;&gt;0,AL10-$C10,"")</f>
        <v>0.155</v>
      </c>
      <c r="AN10" s="98" t="n">
        <v>3.875</v>
      </c>
      <c r="AO10" s="99" t="n">
        <f aca="false">IF(AN10-$C10&lt;&gt;0,AN10-$C10,"")</f>
        <v>0.125</v>
      </c>
      <c r="AP10" s="98" t="n">
        <v>3.96</v>
      </c>
      <c r="AQ10" s="99" t="n">
        <f aca="false">IF(AP10-$C10&lt;&gt;0,AP10-$C10,"")</f>
        <v>0.21</v>
      </c>
      <c r="AR10" s="98" t="n">
        <v>3.955</v>
      </c>
      <c r="AS10" s="99" t="n">
        <f aca="false">IF(AR10-$C10&lt;&gt;0,AR10-$C10,"")</f>
        <v>0.205</v>
      </c>
      <c r="AT10" s="98" t="n">
        <v>3.785</v>
      </c>
      <c r="AU10" s="99" t="n">
        <f aca="false">IF(AT10-$C10&lt;&gt;0,AT10-$C10,"")</f>
        <v>0.0350000000000001</v>
      </c>
    </row>
    <row r="11" customFormat="false" ht="12.75" hidden="false" customHeight="false" outlineLevel="0" collapsed="false">
      <c r="A11" s="90" t="n">
        <v>8</v>
      </c>
      <c r="B11" s="91" t="s">
        <v>565</v>
      </c>
      <c r="C11" s="92" t="n">
        <v>3.68</v>
      </c>
      <c r="D11" s="92"/>
      <c r="E11" s="93" t="n">
        <f aca="false">IF(D11-$C11&lt;&gt;0,D11-$C11,"")</f>
        <v>-3.68</v>
      </c>
      <c r="F11" s="92"/>
      <c r="G11" s="93" t="n">
        <f aca="false">IF(F11-$C11&lt;&gt;0,F11-$C11,"")</f>
        <v>-3.68</v>
      </c>
      <c r="H11" s="92"/>
      <c r="I11" s="93" t="n">
        <f aca="false">IF(H11-$C11&lt;&gt;0,H11-$C11,"")</f>
        <v>-3.68</v>
      </c>
      <c r="J11" s="92"/>
      <c r="K11" s="93" t="n">
        <f aca="false">IF(J11-$C11&lt;&gt;0,J11-$C11,"")</f>
        <v>-3.68</v>
      </c>
      <c r="L11" s="92"/>
      <c r="M11" s="93" t="n">
        <f aca="false">IF(L11-$C11&lt;&gt;0,L11-$C11,"")</f>
        <v>-3.68</v>
      </c>
      <c r="N11" s="92"/>
      <c r="O11" s="93" t="n">
        <f aca="false">IF(N11-$C11&lt;&gt;0,N11-$C11,"")</f>
        <v>-3.68</v>
      </c>
      <c r="P11" s="92"/>
      <c r="Q11" s="93" t="n">
        <f aca="false">IF(P11-$C11&lt;&gt;0,P11-$C11,"")</f>
        <v>-3.68</v>
      </c>
      <c r="R11" s="95" t="n">
        <v>3.655</v>
      </c>
      <c r="S11" s="93" t="n">
        <f aca="false">IF(R11-$C11&lt;&gt;0,R11-$C11,"")</f>
        <v>-0.0250000000000004</v>
      </c>
      <c r="T11" s="92"/>
      <c r="U11" s="93" t="n">
        <f aca="false">IF(T11-$C11&lt;&gt;0,T11-$C11,"")</f>
        <v>-3.68</v>
      </c>
      <c r="V11" s="92" t="n">
        <v>3.525</v>
      </c>
      <c r="W11" s="93" t="n">
        <f aca="false">IF(V11-$C11&lt;&gt;0,V11-$C11,"")</f>
        <v>-0.155</v>
      </c>
      <c r="X11" s="92"/>
      <c r="Y11" s="93" t="n">
        <f aca="false">IF(X11-$C11&lt;&gt;0,X11-$C11,"")</f>
        <v>-3.68</v>
      </c>
      <c r="Z11" s="92"/>
      <c r="AA11" s="93" t="n">
        <f aca="false">IF(Z11-$C11&lt;&gt;0,Z11-$C11,"")</f>
        <v>-3.68</v>
      </c>
      <c r="AB11" s="92"/>
      <c r="AC11" s="93" t="n">
        <f aca="false">IF(AB11-$C11&lt;&gt;0,AB11-$C11,"")</f>
        <v>-3.68</v>
      </c>
      <c r="AD11" s="92"/>
      <c r="AE11" s="93" t="n">
        <f aca="false">IF(AD11-$C11&lt;&gt;0,AD11-$C11,"")</f>
        <v>-3.68</v>
      </c>
      <c r="AF11" s="92" t="n">
        <v>3.685</v>
      </c>
      <c r="AG11" s="93" t="n">
        <f aca="false">IF(AF11-$C11&lt;&gt;0,AF11-$C11,"")</f>
        <v>0.00499999999999989</v>
      </c>
      <c r="AH11" s="92"/>
      <c r="AI11" s="93" t="n">
        <f aca="false">IF(AH11-$C11&lt;&gt;0,AH11-$C11,"")</f>
        <v>-3.68</v>
      </c>
      <c r="AJ11" s="92"/>
      <c r="AK11" s="93" t="n">
        <f aca="false">IF(AJ11-$C11&lt;&gt;0,AJ11-$C11,"")</f>
        <v>-3.68</v>
      </c>
      <c r="AL11" s="92"/>
      <c r="AM11" s="93" t="n">
        <f aca="false">IF(AL11-$C11&lt;&gt;0,AL11-$C11,"")</f>
        <v>-3.68</v>
      </c>
      <c r="AN11" s="92"/>
      <c r="AO11" s="93" t="n">
        <f aca="false">IF(AN11-$C11&lt;&gt;0,AN11-$C11,"")</f>
        <v>-3.68</v>
      </c>
      <c r="AP11" s="92"/>
      <c r="AQ11" s="93" t="n">
        <f aca="false">IF(AP11-$C11&lt;&gt;0,AP11-$C11,"")</f>
        <v>-3.68</v>
      </c>
      <c r="AR11" s="92"/>
      <c r="AS11" s="93" t="n">
        <f aca="false">IF(AR11-$C11&lt;&gt;0,AR11-$C11,"")</f>
        <v>-3.68</v>
      </c>
      <c r="AT11" s="92"/>
      <c r="AU11" s="93" t="n">
        <f aca="false">IF(AT11-$C11&lt;&gt;0,AT11-$C11,"")</f>
        <v>-3.68</v>
      </c>
    </row>
    <row r="12" customFormat="false" ht="12.75" hidden="false" customHeight="false" outlineLevel="0" collapsed="false">
      <c r="A12" s="90" t="n">
        <v>9</v>
      </c>
      <c r="B12" s="91" t="s">
        <v>565</v>
      </c>
      <c r="C12" s="92" t="n">
        <v>3.62</v>
      </c>
      <c r="D12" s="92"/>
      <c r="E12" s="93" t="n">
        <f aca="false">IF(D12-$C12&lt;&gt;0,D12-$C12,"")</f>
        <v>-3.62</v>
      </c>
      <c r="F12" s="92"/>
      <c r="G12" s="93" t="n">
        <f aca="false">IF(F12-$C12&lt;&gt;0,F12-$C12,"")</f>
        <v>-3.62</v>
      </c>
      <c r="H12" s="92"/>
      <c r="I12" s="93" t="n">
        <f aca="false">IF(H12-$C12&lt;&gt;0,H12-$C12,"")</f>
        <v>-3.62</v>
      </c>
      <c r="J12" s="92"/>
      <c r="K12" s="93" t="n">
        <f aca="false">IF(J12-$C12&lt;&gt;0,J12-$C12,"")</f>
        <v>-3.62</v>
      </c>
      <c r="L12" s="92"/>
      <c r="M12" s="93" t="n">
        <f aca="false">IF(L12-$C12&lt;&gt;0,L12-$C12,"")</f>
        <v>-3.62</v>
      </c>
      <c r="N12" s="92"/>
      <c r="O12" s="93" t="n">
        <f aca="false">IF(N12-$C12&lt;&gt;0,N12-$C12,"")</f>
        <v>-3.62</v>
      </c>
      <c r="P12" s="92"/>
      <c r="Q12" s="93" t="n">
        <f aca="false">IF(P12-$C12&lt;&gt;0,P12-$C12,"")</f>
        <v>-3.62</v>
      </c>
      <c r="R12" s="95" t="n">
        <v>3.6</v>
      </c>
      <c r="S12" s="93" t="n">
        <f aca="false">IF(R12-$C12&lt;&gt;0,R12-$C12,"")</f>
        <v>-0.02</v>
      </c>
      <c r="T12" s="92"/>
      <c r="U12" s="93" t="n">
        <f aca="false">IF(T12-$C12&lt;&gt;0,T12-$C12,"")</f>
        <v>-3.62</v>
      </c>
      <c r="V12" s="92" t="n">
        <v>3.35</v>
      </c>
      <c r="W12" s="93" t="n">
        <f aca="false">IF(V12-$C12&lt;&gt;0,V12-$C12,"")</f>
        <v>-0.27</v>
      </c>
      <c r="X12" s="92" t="n">
        <v>3.22</v>
      </c>
      <c r="Y12" s="93" t="n">
        <f aca="false">IF(X12-$C12&lt;&gt;0,X12-$C12,"")</f>
        <v>-0.4</v>
      </c>
      <c r="Z12" s="92"/>
      <c r="AA12" s="93" t="n">
        <f aca="false">IF(Z12-$C12&lt;&gt;0,Z12-$C12,"")</f>
        <v>-3.62</v>
      </c>
      <c r="AB12" s="92"/>
      <c r="AC12" s="93" t="n">
        <f aca="false">IF(AB12-$C12&lt;&gt;0,AB12-$C12,"")</f>
        <v>-3.62</v>
      </c>
      <c r="AD12" s="92"/>
      <c r="AE12" s="93" t="n">
        <f aca="false">IF(AD12-$C12&lt;&gt;0,AD12-$C12,"")</f>
        <v>-3.62</v>
      </c>
      <c r="AF12" s="92" t="n">
        <v>3.63</v>
      </c>
      <c r="AG12" s="93" t="n">
        <f aca="false">IF(AF12-$C12&lt;&gt;0,AF12-$C12,"")</f>
        <v>0.00999999999999979</v>
      </c>
      <c r="AH12" s="92"/>
      <c r="AI12" s="93" t="n">
        <f aca="false">IF(AH12-$C12&lt;&gt;0,AH12-$C12,"")</f>
        <v>-3.62</v>
      </c>
      <c r="AJ12" s="92"/>
      <c r="AK12" s="93" t="n">
        <f aca="false">IF(AJ12-$C12&lt;&gt;0,AJ12-$C12,"")</f>
        <v>-3.62</v>
      </c>
      <c r="AL12" s="92"/>
      <c r="AM12" s="93" t="n">
        <f aca="false">IF(AL12-$C12&lt;&gt;0,AL12-$C12,"")</f>
        <v>-3.62</v>
      </c>
      <c r="AN12" s="92"/>
      <c r="AO12" s="93" t="n">
        <f aca="false">IF(AN12-$C12&lt;&gt;0,AN12-$C12,"")</f>
        <v>-3.62</v>
      </c>
      <c r="AP12" s="92"/>
      <c r="AQ12" s="93" t="n">
        <f aca="false">IF(AP12-$C12&lt;&gt;0,AP12-$C12,"")</f>
        <v>-3.62</v>
      </c>
      <c r="AR12" s="92"/>
      <c r="AS12" s="93" t="n">
        <f aca="false">IF(AR12-$C12&lt;&gt;0,AR12-$C12,"")</f>
        <v>-3.62</v>
      </c>
      <c r="AT12" s="92"/>
      <c r="AU12" s="93" t="n">
        <f aca="false">IF(AT12-$C12&lt;&gt;0,AT12-$C12,"")</f>
        <v>-3.62</v>
      </c>
    </row>
    <row r="13" customFormat="false" ht="12.75" hidden="false" customHeight="false" outlineLevel="0" collapsed="false">
      <c r="A13" s="90" t="n">
        <v>10</v>
      </c>
      <c r="B13" s="91" t="s">
        <v>565</v>
      </c>
      <c r="C13" s="92" t="n">
        <v>3.62</v>
      </c>
      <c r="D13" s="92"/>
      <c r="E13" s="93" t="n">
        <f aca="false">IF(D13-$C13&lt;&gt;0,D13-$C13,"")</f>
        <v>-3.62</v>
      </c>
      <c r="F13" s="92"/>
      <c r="G13" s="93" t="n">
        <f aca="false">IF(F13-$C13&lt;&gt;0,F13-$C13,"")</f>
        <v>-3.62</v>
      </c>
      <c r="H13" s="92"/>
      <c r="I13" s="93" t="n">
        <f aca="false">IF(H13-$C13&lt;&gt;0,H13-$C13,"")</f>
        <v>-3.62</v>
      </c>
      <c r="J13" s="92"/>
      <c r="K13" s="93" t="n">
        <f aca="false">IF(J13-$C13&lt;&gt;0,J13-$C13,"")</f>
        <v>-3.62</v>
      </c>
      <c r="L13" s="92"/>
      <c r="M13" s="93" t="n">
        <f aca="false">IF(L13-$C13&lt;&gt;0,L13-$C13,"")</f>
        <v>-3.62</v>
      </c>
      <c r="N13" s="92"/>
      <c r="O13" s="93" t="n">
        <f aca="false">IF(N13-$C13&lt;&gt;0,N13-$C13,"")</f>
        <v>-3.62</v>
      </c>
      <c r="P13" s="92"/>
      <c r="Q13" s="93" t="n">
        <f aca="false">IF(P13-$C13&lt;&gt;0,P13-$C13,"")</f>
        <v>-3.62</v>
      </c>
      <c r="R13" s="95" t="n">
        <v>3.6</v>
      </c>
      <c r="S13" s="93" t="n">
        <f aca="false">IF(R13-$C13&lt;&gt;0,R13-$C13,"")</f>
        <v>-0.02</v>
      </c>
      <c r="T13" s="92"/>
      <c r="U13" s="93" t="n">
        <f aca="false">IF(T13-$C13&lt;&gt;0,T13-$C13,"")</f>
        <v>-3.62</v>
      </c>
      <c r="V13" s="92" t="n">
        <v>3.35</v>
      </c>
      <c r="W13" s="93" t="n">
        <f aca="false">IF(V13-$C13&lt;&gt;0,V13-$C13,"")</f>
        <v>-0.27</v>
      </c>
      <c r="X13" s="92" t="n">
        <v>3.22</v>
      </c>
      <c r="Y13" s="93" t="n">
        <f aca="false">IF(X13-$C13&lt;&gt;0,X13-$C13,"")</f>
        <v>-0.4</v>
      </c>
      <c r="Z13" s="92"/>
      <c r="AA13" s="93" t="n">
        <f aca="false">IF(Z13-$C13&lt;&gt;0,Z13-$C13,"")</f>
        <v>-3.62</v>
      </c>
      <c r="AB13" s="92"/>
      <c r="AC13" s="93" t="n">
        <f aca="false">IF(AB13-$C13&lt;&gt;0,AB13-$C13,"")</f>
        <v>-3.62</v>
      </c>
      <c r="AD13" s="92"/>
      <c r="AE13" s="93" t="n">
        <f aca="false">IF(AD13-$C13&lt;&gt;0,AD13-$C13,"")</f>
        <v>-3.62</v>
      </c>
      <c r="AF13" s="92" t="n">
        <v>3.64</v>
      </c>
      <c r="AG13" s="93" t="n">
        <f aca="false">IF(AF13-$C13&lt;&gt;0,AF13-$C13,"")</f>
        <v>0.02</v>
      </c>
      <c r="AH13" s="92"/>
      <c r="AI13" s="93" t="n">
        <f aca="false">IF(AH13-$C13&lt;&gt;0,AH13-$C13,"")</f>
        <v>-3.62</v>
      </c>
      <c r="AJ13" s="92"/>
      <c r="AK13" s="93" t="n">
        <f aca="false">IF(AJ13-$C13&lt;&gt;0,AJ13-$C13,"")</f>
        <v>-3.62</v>
      </c>
      <c r="AL13" s="92"/>
      <c r="AM13" s="93" t="n">
        <f aca="false">IF(AL13-$C13&lt;&gt;0,AL13-$C13,"")</f>
        <v>-3.62</v>
      </c>
      <c r="AN13" s="92"/>
      <c r="AO13" s="93" t="n">
        <f aca="false">IF(AN13-$C13&lt;&gt;0,AN13-$C13,"")</f>
        <v>-3.62</v>
      </c>
      <c r="AP13" s="92"/>
      <c r="AQ13" s="93" t="n">
        <f aca="false">IF(AP13-$C13&lt;&gt;0,AP13-$C13,"")</f>
        <v>-3.62</v>
      </c>
      <c r="AR13" s="92"/>
      <c r="AS13" s="93" t="n">
        <f aca="false">IF(AR13-$C13&lt;&gt;0,AR13-$C13,"")</f>
        <v>-3.62</v>
      </c>
      <c r="AT13" s="92"/>
      <c r="AU13" s="93" t="n">
        <f aca="false">IF(AT13-$C13&lt;&gt;0,AT13-$C13,"")</f>
        <v>-3.62</v>
      </c>
    </row>
    <row r="14" customFormat="false" ht="12.75" hidden="false" customHeight="false" outlineLevel="0" collapsed="false">
      <c r="A14" s="90" t="n">
        <v>11</v>
      </c>
      <c r="B14" s="91" t="s">
        <v>565</v>
      </c>
      <c r="C14" s="92" t="n">
        <v>3.62</v>
      </c>
      <c r="D14" s="92"/>
      <c r="E14" s="93" t="n">
        <f aca="false">IF(D14-$C14&lt;&gt;0,D14-$C14,"")</f>
        <v>-3.62</v>
      </c>
      <c r="F14" s="92"/>
      <c r="G14" s="93" t="n">
        <f aca="false">IF(F14-$C14&lt;&gt;0,F14-$C14,"")</f>
        <v>-3.62</v>
      </c>
      <c r="H14" s="92"/>
      <c r="I14" s="93" t="n">
        <f aca="false">IF(H14-$C14&lt;&gt;0,H14-$C14,"")</f>
        <v>-3.62</v>
      </c>
      <c r="J14" s="92"/>
      <c r="K14" s="93" t="n">
        <f aca="false">IF(J14-$C14&lt;&gt;0,J14-$C14,"")</f>
        <v>-3.62</v>
      </c>
      <c r="L14" s="92"/>
      <c r="M14" s="93" t="n">
        <f aca="false">IF(L14-$C14&lt;&gt;0,L14-$C14,"")</f>
        <v>-3.62</v>
      </c>
      <c r="N14" s="92"/>
      <c r="O14" s="93" t="n">
        <f aca="false">IF(N14-$C14&lt;&gt;0,N14-$C14,"")</f>
        <v>-3.62</v>
      </c>
      <c r="P14" s="92"/>
      <c r="Q14" s="93" t="n">
        <f aca="false">IF(P14-$C14&lt;&gt;0,P14-$C14,"")</f>
        <v>-3.62</v>
      </c>
      <c r="R14" s="95" t="n">
        <v>3.6</v>
      </c>
      <c r="S14" s="93" t="n">
        <f aca="false">IF(R14-$C14&lt;&gt;0,R14-$C14,"")</f>
        <v>-0.02</v>
      </c>
      <c r="T14" s="92"/>
      <c r="U14" s="93" t="n">
        <f aca="false">IF(T14-$C14&lt;&gt;0,T14-$C14,"")</f>
        <v>-3.62</v>
      </c>
      <c r="V14" s="92" t="n">
        <v>3.35</v>
      </c>
      <c r="W14" s="93" t="n">
        <f aca="false">IF(V14-$C14&lt;&gt;0,V14-$C14,"")</f>
        <v>-0.27</v>
      </c>
      <c r="X14" s="92" t="n">
        <v>3.22</v>
      </c>
      <c r="Y14" s="93" t="n">
        <f aca="false">IF(X14-$C14&lt;&gt;0,X14-$C14,"")</f>
        <v>-0.4</v>
      </c>
      <c r="Z14" s="92"/>
      <c r="AA14" s="93" t="n">
        <f aca="false">IF(Z14-$C14&lt;&gt;0,Z14-$C14,"")</f>
        <v>-3.62</v>
      </c>
      <c r="AB14" s="92"/>
      <c r="AC14" s="93" t="n">
        <f aca="false">IF(AB14-$C14&lt;&gt;0,AB14-$C14,"")</f>
        <v>-3.62</v>
      </c>
      <c r="AD14" s="92"/>
      <c r="AE14" s="93" t="n">
        <f aca="false">IF(AD14-$C14&lt;&gt;0,AD14-$C14,"")</f>
        <v>-3.62</v>
      </c>
      <c r="AF14" s="92" t="n">
        <v>3.64</v>
      </c>
      <c r="AG14" s="93" t="n">
        <f aca="false">IF(AF14-$C14&lt;&gt;0,AF14-$C14,"")</f>
        <v>0.02</v>
      </c>
      <c r="AH14" s="92"/>
      <c r="AI14" s="93" t="n">
        <f aca="false">IF(AH14-$C14&lt;&gt;0,AH14-$C14,"")</f>
        <v>-3.62</v>
      </c>
      <c r="AJ14" s="92"/>
      <c r="AK14" s="93" t="n">
        <f aca="false">IF(AJ14-$C14&lt;&gt;0,AJ14-$C14,"")</f>
        <v>-3.62</v>
      </c>
      <c r="AL14" s="92"/>
      <c r="AM14" s="93" t="n">
        <f aca="false">IF(AL14-$C14&lt;&gt;0,AL14-$C14,"")</f>
        <v>-3.62</v>
      </c>
      <c r="AN14" s="92"/>
      <c r="AO14" s="93" t="n">
        <f aca="false">IF(AN14-$C14&lt;&gt;0,AN14-$C14,"")</f>
        <v>-3.62</v>
      </c>
      <c r="AP14" s="92"/>
      <c r="AQ14" s="93" t="n">
        <f aca="false">IF(AP14-$C14&lt;&gt;0,AP14-$C14,"")</f>
        <v>-3.62</v>
      </c>
      <c r="AR14" s="92"/>
      <c r="AS14" s="93" t="n">
        <f aca="false">IF(AR14-$C14&lt;&gt;0,AR14-$C14,"")</f>
        <v>-3.62</v>
      </c>
      <c r="AT14" s="92"/>
      <c r="AU14" s="93" t="n">
        <f aca="false">IF(AT14-$C14&lt;&gt;0,AT14-$C14,"")</f>
        <v>-3.62</v>
      </c>
    </row>
    <row r="15" customFormat="false" ht="12.75" hidden="false" customHeight="false" outlineLevel="0" collapsed="false">
      <c r="A15" s="90" t="n">
        <v>12</v>
      </c>
      <c r="B15" s="91" t="s">
        <v>565</v>
      </c>
      <c r="C15" s="92" t="n">
        <f aca="false">Summary!$D$2</f>
        <v>3.77</v>
      </c>
      <c r="D15" s="92"/>
      <c r="E15" s="93" t="n">
        <f aca="false">IF(D15-$C15&lt;&gt;0,D15-$C15,"")</f>
        <v>-3.77</v>
      </c>
      <c r="F15" s="92"/>
      <c r="G15" s="93" t="n">
        <f aca="false">IF(F15-$C15&lt;&gt;0,F15-$C15,"")</f>
        <v>-3.77</v>
      </c>
      <c r="H15" s="92"/>
      <c r="I15" s="93" t="n">
        <f aca="false">IF(H15-$C15&lt;&gt;0,H15-$C15,"")</f>
        <v>-3.77</v>
      </c>
      <c r="J15" s="92"/>
      <c r="K15" s="93" t="n">
        <f aca="false">IF(J15-$C15&lt;&gt;0,J15-$C15,"")</f>
        <v>-3.77</v>
      </c>
      <c r="L15" s="92"/>
      <c r="M15" s="93" t="n">
        <f aca="false">IF(L15-$C15&lt;&gt;0,L15-$C15,"")</f>
        <v>-3.77</v>
      </c>
      <c r="N15" s="92"/>
      <c r="O15" s="93" t="n">
        <f aca="false">IF(N15-$C15&lt;&gt;0,N15-$C15,"")</f>
        <v>-3.77</v>
      </c>
      <c r="P15" s="92"/>
      <c r="Q15" s="93" t="n">
        <f aca="false">IF(P15-$C15&lt;&gt;0,P15-$C15,"")</f>
        <v>-3.77</v>
      </c>
      <c r="R15" s="95" t="n">
        <f aca="false">C15+0.02</f>
        <v>3.79</v>
      </c>
      <c r="S15" s="93" t="n">
        <f aca="false">IF(R15-$C15&lt;&gt;0,R15-$C15,"")</f>
        <v>0.02</v>
      </c>
      <c r="T15" s="92"/>
      <c r="U15" s="93" t="n">
        <f aca="false">IF(T15-$C15&lt;&gt;0,T15-$C15,"")</f>
        <v>-3.77</v>
      </c>
      <c r="V15" s="92" t="n">
        <f aca="false">C15-0.115</f>
        <v>3.655</v>
      </c>
      <c r="W15" s="93" t="n">
        <f aca="false">IF(V15-$C15&lt;&gt;0,V15-$C15,"")</f>
        <v>-0.115</v>
      </c>
      <c r="X15" s="92" t="n">
        <f aca="false">C15-0.17</f>
        <v>3.6</v>
      </c>
      <c r="Y15" s="93" t="n">
        <f aca="false">IF(X15-$C15&lt;&gt;0,X15-$C15,"")</f>
        <v>-0.17</v>
      </c>
      <c r="Z15" s="92"/>
      <c r="AA15" s="93" t="n">
        <f aca="false">IF(Z15-$C15&lt;&gt;0,Z15-$C15,"")</f>
        <v>-3.77</v>
      </c>
      <c r="AB15" s="92"/>
      <c r="AC15" s="93" t="n">
        <f aca="false">IF(AB15-$C15&lt;&gt;0,AB15-$C15,"")</f>
        <v>-3.77</v>
      </c>
      <c r="AD15" s="92"/>
      <c r="AE15" s="93" t="n">
        <f aca="false">IF(AD15-$C15&lt;&gt;0,AD15-$C15,"")</f>
        <v>-3.77</v>
      </c>
      <c r="AF15" s="92" t="n">
        <f aca="false">C15+0.04</f>
        <v>3.81</v>
      </c>
      <c r="AG15" s="93" t="n">
        <f aca="false">IF(AF15-$C15&lt;&gt;0,AF15-$C15,"")</f>
        <v>0.04</v>
      </c>
      <c r="AH15" s="92"/>
      <c r="AI15" s="93" t="n">
        <f aca="false">IF(AH15-$C15&lt;&gt;0,AH15-$C15,"")</f>
        <v>-3.77</v>
      </c>
      <c r="AJ15" s="92"/>
      <c r="AK15" s="93" t="n">
        <f aca="false">IF(AJ15-$C15&lt;&gt;0,AJ15-$C15,"")</f>
        <v>-3.77</v>
      </c>
      <c r="AL15" s="92"/>
      <c r="AM15" s="93" t="n">
        <f aca="false">IF(AL15-$C15&lt;&gt;0,AL15-$C15,"")</f>
        <v>-3.77</v>
      </c>
      <c r="AN15" s="92"/>
      <c r="AO15" s="93" t="n">
        <f aca="false">IF(AN15-$C15&lt;&gt;0,AN15-$C15,"")</f>
        <v>-3.77</v>
      </c>
      <c r="AP15" s="92"/>
      <c r="AQ15" s="93" t="n">
        <f aca="false">IF(AP15-$C15&lt;&gt;0,AP15-$C15,"")</f>
        <v>-3.77</v>
      </c>
      <c r="AR15" s="92"/>
      <c r="AS15" s="93" t="n">
        <f aca="false">IF(AR15-$C15&lt;&gt;0,AR15-$C15,"")</f>
        <v>-3.77</v>
      </c>
      <c r="AT15" s="92"/>
      <c r="AU15" s="93" t="n">
        <f aca="false">IF(AT15-$C15&lt;&gt;0,AT15-$C15,"")</f>
        <v>-3.77</v>
      </c>
    </row>
    <row r="16" customFormat="false" ht="12.75" hidden="false" customHeight="false" outlineLevel="0" collapsed="false">
      <c r="A16" s="90" t="n">
        <v>13</v>
      </c>
      <c r="B16" s="91" t="s">
        <v>565</v>
      </c>
      <c r="C16" s="92" t="n">
        <f aca="false">Summary!$D$2</f>
        <v>3.77</v>
      </c>
      <c r="D16" s="92"/>
      <c r="E16" s="93" t="n">
        <f aca="false">IF(D16-$C16&lt;&gt;0,D16-$C16,"")</f>
        <v>-3.77</v>
      </c>
      <c r="F16" s="92"/>
      <c r="G16" s="93" t="n">
        <f aca="false">IF(F16-$C16&lt;&gt;0,F16-$C16,"")</f>
        <v>-3.77</v>
      </c>
      <c r="H16" s="92"/>
      <c r="I16" s="93" t="n">
        <f aca="false">IF(H16-$C16&lt;&gt;0,H16-$C16,"")</f>
        <v>-3.77</v>
      </c>
      <c r="J16" s="92"/>
      <c r="K16" s="93" t="n">
        <f aca="false">IF(J16-$C16&lt;&gt;0,J16-$C16,"")</f>
        <v>-3.77</v>
      </c>
      <c r="L16" s="92"/>
      <c r="M16" s="93" t="n">
        <f aca="false">IF(L16-$C16&lt;&gt;0,L16-$C16,"")</f>
        <v>-3.77</v>
      </c>
      <c r="N16" s="92"/>
      <c r="O16" s="93" t="n">
        <f aca="false">IF(N16-$C16&lt;&gt;0,N16-$C16,"")</f>
        <v>-3.77</v>
      </c>
      <c r="P16" s="92"/>
      <c r="Q16" s="93" t="n">
        <f aca="false">IF(P16-$C16&lt;&gt;0,P16-$C16,"")</f>
        <v>-3.77</v>
      </c>
      <c r="R16" s="95" t="n">
        <f aca="false">C16+0.02</f>
        <v>3.79</v>
      </c>
      <c r="S16" s="93" t="n">
        <f aca="false">IF(R16-$C16&lt;&gt;0,R16-$C16,"")</f>
        <v>0.02</v>
      </c>
      <c r="T16" s="92"/>
      <c r="U16" s="93" t="n">
        <f aca="false">IF(T16-$C16&lt;&gt;0,T16-$C16,"")</f>
        <v>-3.77</v>
      </c>
      <c r="V16" s="92" t="n">
        <f aca="false">C16-0.115</f>
        <v>3.655</v>
      </c>
      <c r="W16" s="93" t="n">
        <f aca="false">IF(V16-$C16&lt;&gt;0,V16-$C16,"")</f>
        <v>-0.115</v>
      </c>
      <c r="X16" s="92" t="n">
        <f aca="false">C16-0.17</f>
        <v>3.6</v>
      </c>
      <c r="Y16" s="93" t="n">
        <f aca="false">IF(X16-$C16&lt;&gt;0,X16-$C16,"")</f>
        <v>-0.17</v>
      </c>
      <c r="Z16" s="92"/>
      <c r="AA16" s="93" t="n">
        <f aca="false">IF(Z16-$C16&lt;&gt;0,Z16-$C16,"")</f>
        <v>-3.77</v>
      </c>
      <c r="AB16" s="92"/>
      <c r="AC16" s="93" t="n">
        <f aca="false">IF(AB16-$C16&lt;&gt;0,AB16-$C16,"")</f>
        <v>-3.77</v>
      </c>
      <c r="AD16" s="92"/>
      <c r="AE16" s="93" t="n">
        <f aca="false">IF(AD16-$C16&lt;&gt;0,AD16-$C16,"")</f>
        <v>-3.77</v>
      </c>
      <c r="AF16" s="92" t="n">
        <f aca="false">C16+0.04</f>
        <v>3.81</v>
      </c>
      <c r="AG16" s="93" t="n">
        <f aca="false">IF(AF16-$C16&lt;&gt;0,AF16-$C16,"")</f>
        <v>0.04</v>
      </c>
      <c r="AH16" s="92"/>
      <c r="AI16" s="93" t="n">
        <f aca="false">IF(AH16-$C16&lt;&gt;0,AH16-$C16,"")</f>
        <v>-3.77</v>
      </c>
      <c r="AJ16" s="92"/>
      <c r="AK16" s="93" t="n">
        <f aca="false">IF(AJ16-$C16&lt;&gt;0,AJ16-$C16,"")</f>
        <v>-3.77</v>
      </c>
      <c r="AL16" s="92"/>
      <c r="AM16" s="93" t="n">
        <f aca="false">IF(AL16-$C16&lt;&gt;0,AL16-$C16,"")</f>
        <v>-3.77</v>
      </c>
      <c r="AN16" s="92"/>
      <c r="AO16" s="93" t="n">
        <f aca="false">IF(AN16-$C16&lt;&gt;0,AN16-$C16,"")</f>
        <v>-3.77</v>
      </c>
      <c r="AP16" s="92"/>
      <c r="AQ16" s="93" t="n">
        <f aca="false">IF(AP16-$C16&lt;&gt;0,AP16-$C16,"")</f>
        <v>-3.77</v>
      </c>
      <c r="AR16" s="92"/>
      <c r="AS16" s="93" t="n">
        <f aca="false">IF(AR16-$C16&lt;&gt;0,AR16-$C16,"")</f>
        <v>-3.77</v>
      </c>
      <c r="AT16" s="92"/>
      <c r="AU16" s="93" t="n">
        <f aca="false">IF(AT16-$C16&lt;&gt;0,AT16-$C16,"")</f>
        <v>-3.77</v>
      </c>
    </row>
    <row r="17" customFormat="false" ht="12.75" hidden="false" customHeight="false" outlineLevel="0" collapsed="false">
      <c r="A17" s="90" t="n">
        <v>14</v>
      </c>
      <c r="B17" s="91" t="s">
        <v>565</v>
      </c>
      <c r="C17" s="92" t="n">
        <f aca="false">Summary!$D$2</f>
        <v>3.77</v>
      </c>
      <c r="D17" s="92"/>
      <c r="E17" s="93" t="n">
        <f aca="false">IF(D17-$C17&lt;&gt;0,D17-$C17,"")</f>
        <v>-3.77</v>
      </c>
      <c r="F17" s="92"/>
      <c r="G17" s="93" t="n">
        <f aca="false">IF(F17-$C17&lt;&gt;0,F17-$C17,"")</f>
        <v>-3.77</v>
      </c>
      <c r="H17" s="92"/>
      <c r="I17" s="93" t="n">
        <f aca="false">IF(H17-$C17&lt;&gt;0,H17-$C17,"")</f>
        <v>-3.77</v>
      </c>
      <c r="J17" s="92"/>
      <c r="K17" s="93" t="n">
        <f aca="false">IF(J17-$C17&lt;&gt;0,J17-$C17,"")</f>
        <v>-3.77</v>
      </c>
      <c r="L17" s="92"/>
      <c r="M17" s="93" t="n">
        <f aca="false">IF(L17-$C17&lt;&gt;0,L17-$C17,"")</f>
        <v>-3.77</v>
      </c>
      <c r="N17" s="92"/>
      <c r="O17" s="93" t="n">
        <f aca="false">IF(N17-$C17&lt;&gt;0,N17-$C17,"")</f>
        <v>-3.77</v>
      </c>
      <c r="P17" s="92"/>
      <c r="Q17" s="93" t="n">
        <f aca="false">IF(P17-$C17&lt;&gt;0,P17-$C17,"")</f>
        <v>-3.77</v>
      </c>
      <c r="R17" s="95" t="n">
        <f aca="false">C17+0.02</f>
        <v>3.79</v>
      </c>
      <c r="S17" s="93" t="n">
        <f aca="false">IF(R17-$C17&lt;&gt;0,R17-$C17,"")</f>
        <v>0.02</v>
      </c>
      <c r="T17" s="92"/>
      <c r="U17" s="93" t="n">
        <f aca="false">IF(T17-$C17&lt;&gt;0,T17-$C17,"")</f>
        <v>-3.77</v>
      </c>
      <c r="V17" s="92" t="n">
        <f aca="false">C17-0.115</f>
        <v>3.655</v>
      </c>
      <c r="W17" s="93" t="n">
        <f aca="false">IF(V17-$C17&lt;&gt;0,V17-$C17,"")</f>
        <v>-0.115</v>
      </c>
      <c r="X17" s="92" t="n">
        <f aca="false">C17-0.17</f>
        <v>3.6</v>
      </c>
      <c r="Y17" s="93" t="n">
        <f aca="false">IF(X17-$C17&lt;&gt;0,X17-$C17,"")</f>
        <v>-0.17</v>
      </c>
      <c r="Z17" s="92"/>
      <c r="AA17" s="93" t="n">
        <f aca="false">IF(Z17-$C17&lt;&gt;0,Z17-$C17,"")</f>
        <v>-3.77</v>
      </c>
      <c r="AB17" s="92"/>
      <c r="AC17" s="93" t="n">
        <f aca="false">IF(AB17-$C17&lt;&gt;0,AB17-$C17,"")</f>
        <v>-3.77</v>
      </c>
      <c r="AD17" s="92"/>
      <c r="AE17" s="93" t="n">
        <f aca="false">IF(AD17-$C17&lt;&gt;0,AD17-$C17,"")</f>
        <v>-3.77</v>
      </c>
      <c r="AF17" s="92" t="n">
        <f aca="false">C17+0.04</f>
        <v>3.81</v>
      </c>
      <c r="AG17" s="93" t="n">
        <f aca="false">IF(AF17-$C17&lt;&gt;0,AF17-$C17,"")</f>
        <v>0.04</v>
      </c>
      <c r="AH17" s="92"/>
      <c r="AI17" s="93" t="n">
        <f aca="false">IF(AH17-$C17&lt;&gt;0,AH17-$C17,"")</f>
        <v>-3.77</v>
      </c>
      <c r="AJ17" s="92"/>
      <c r="AK17" s="93" t="n">
        <f aca="false">IF(AJ17-$C17&lt;&gt;0,AJ17-$C17,"")</f>
        <v>-3.77</v>
      </c>
      <c r="AL17" s="92"/>
      <c r="AM17" s="93" t="n">
        <f aca="false">IF(AL17-$C17&lt;&gt;0,AL17-$C17,"")</f>
        <v>-3.77</v>
      </c>
      <c r="AN17" s="92"/>
      <c r="AO17" s="93" t="n">
        <f aca="false">IF(AN17-$C17&lt;&gt;0,AN17-$C17,"")</f>
        <v>-3.77</v>
      </c>
      <c r="AP17" s="92"/>
      <c r="AQ17" s="93" t="n">
        <f aca="false">IF(AP17-$C17&lt;&gt;0,AP17-$C17,"")</f>
        <v>-3.77</v>
      </c>
      <c r="AR17" s="92"/>
      <c r="AS17" s="93" t="n">
        <f aca="false">IF(AR17-$C17&lt;&gt;0,AR17-$C17,"")</f>
        <v>-3.77</v>
      </c>
      <c r="AT17" s="92"/>
      <c r="AU17" s="93" t="n">
        <f aca="false">IF(AT17-$C17&lt;&gt;0,AT17-$C17,"")</f>
        <v>-3.77</v>
      </c>
    </row>
    <row r="18" customFormat="false" ht="12.75" hidden="false" customHeight="false" outlineLevel="0" collapsed="false">
      <c r="A18" s="90" t="n">
        <v>15</v>
      </c>
      <c r="B18" s="91" t="s">
        <v>565</v>
      </c>
      <c r="C18" s="92" t="n">
        <f aca="false">Summary!$D$2</f>
        <v>3.77</v>
      </c>
      <c r="D18" s="92"/>
      <c r="E18" s="93" t="n">
        <f aca="false">IF(D18-$C18&lt;&gt;0,D18-$C18,"")</f>
        <v>-3.77</v>
      </c>
      <c r="F18" s="92"/>
      <c r="G18" s="93" t="n">
        <f aca="false">IF(F18-$C18&lt;&gt;0,F18-$C18,"")</f>
        <v>-3.77</v>
      </c>
      <c r="H18" s="92"/>
      <c r="I18" s="93" t="n">
        <f aca="false">IF(H18-$C18&lt;&gt;0,H18-$C18,"")</f>
        <v>-3.77</v>
      </c>
      <c r="J18" s="92"/>
      <c r="K18" s="93" t="n">
        <f aca="false">IF(J18-$C18&lt;&gt;0,J18-$C18,"")</f>
        <v>-3.77</v>
      </c>
      <c r="L18" s="92"/>
      <c r="M18" s="93" t="n">
        <f aca="false">IF(L18-$C18&lt;&gt;0,L18-$C18,"")</f>
        <v>-3.77</v>
      </c>
      <c r="N18" s="92"/>
      <c r="O18" s="93" t="n">
        <f aca="false">IF(N18-$C18&lt;&gt;0,N18-$C18,"")</f>
        <v>-3.77</v>
      </c>
      <c r="P18" s="92"/>
      <c r="Q18" s="93" t="n">
        <f aca="false">IF(P18-$C18&lt;&gt;0,P18-$C18,"")</f>
        <v>-3.77</v>
      </c>
      <c r="R18" s="95" t="n">
        <f aca="false">C18+0.02</f>
        <v>3.79</v>
      </c>
      <c r="S18" s="93" t="n">
        <f aca="false">IF(R18-$C18&lt;&gt;0,R18-$C18,"")</f>
        <v>0.02</v>
      </c>
      <c r="T18" s="92"/>
      <c r="U18" s="93" t="n">
        <f aca="false">IF(T18-$C18&lt;&gt;0,T18-$C18,"")</f>
        <v>-3.77</v>
      </c>
      <c r="V18" s="92" t="n">
        <f aca="false">C18-0.115</f>
        <v>3.655</v>
      </c>
      <c r="W18" s="93" t="n">
        <f aca="false">IF(V18-$C18&lt;&gt;0,V18-$C18,"")</f>
        <v>-0.115</v>
      </c>
      <c r="X18" s="92" t="n">
        <f aca="false">C18-0.17</f>
        <v>3.6</v>
      </c>
      <c r="Y18" s="93" t="n">
        <f aca="false">IF(X18-$C18&lt;&gt;0,X18-$C18,"")</f>
        <v>-0.17</v>
      </c>
      <c r="Z18" s="92"/>
      <c r="AA18" s="93" t="n">
        <f aca="false">IF(Z18-$C18&lt;&gt;0,Z18-$C18,"")</f>
        <v>-3.77</v>
      </c>
      <c r="AB18" s="92"/>
      <c r="AC18" s="93" t="n">
        <f aca="false">IF(AB18-$C18&lt;&gt;0,AB18-$C18,"")</f>
        <v>-3.77</v>
      </c>
      <c r="AD18" s="92"/>
      <c r="AE18" s="93" t="n">
        <f aca="false">IF(AD18-$C18&lt;&gt;0,AD18-$C18,"")</f>
        <v>-3.77</v>
      </c>
      <c r="AF18" s="92" t="n">
        <f aca="false">C18+0.04</f>
        <v>3.81</v>
      </c>
      <c r="AG18" s="93" t="n">
        <f aca="false">IF(AF18-$C18&lt;&gt;0,AF18-$C18,"")</f>
        <v>0.04</v>
      </c>
      <c r="AH18" s="92"/>
      <c r="AI18" s="93" t="n">
        <f aca="false">IF(AH18-$C18&lt;&gt;0,AH18-$C18,"")</f>
        <v>-3.77</v>
      </c>
      <c r="AJ18" s="92"/>
      <c r="AK18" s="93" t="n">
        <f aca="false">IF(AJ18-$C18&lt;&gt;0,AJ18-$C18,"")</f>
        <v>-3.77</v>
      </c>
      <c r="AL18" s="92"/>
      <c r="AM18" s="93" t="n">
        <f aca="false">IF(AL18-$C18&lt;&gt;0,AL18-$C18,"")</f>
        <v>-3.77</v>
      </c>
      <c r="AN18" s="92"/>
      <c r="AO18" s="93" t="n">
        <f aca="false">IF(AN18-$C18&lt;&gt;0,AN18-$C18,"")</f>
        <v>-3.77</v>
      </c>
      <c r="AP18" s="92"/>
      <c r="AQ18" s="93" t="n">
        <f aca="false">IF(AP18-$C18&lt;&gt;0,AP18-$C18,"")</f>
        <v>-3.77</v>
      </c>
      <c r="AR18" s="92"/>
      <c r="AS18" s="93" t="n">
        <f aca="false">IF(AR18-$C18&lt;&gt;0,AR18-$C18,"")</f>
        <v>-3.77</v>
      </c>
      <c r="AT18" s="92"/>
      <c r="AU18" s="93" t="n">
        <f aca="false">IF(AT18-$C18&lt;&gt;0,AT18-$C18,"")</f>
        <v>-3.77</v>
      </c>
    </row>
    <row r="19" customFormat="false" ht="12.75" hidden="false" customHeight="false" outlineLevel="0" collapsed="false">
      <c r="A19" s="90" t="n">
        <v>16</v>
      </c>
      <c r="B19" s="91" t="s">
        <v>565</v>
      </c>
      <c r="C19" s="92" t="n">
        <f aca="false">Summary!$D$2</f>
        <v>3.77</v>
      </c>
      <c r="D19" s="92"/>
      <c r="E19" s="93" t="n">
        <f aca="false">IF(D19-$C19&lt;&gt;0,D19-$C19,"")</f>
        <v>-3.77</v>
      </c>
      <c r="F19" s="92"/>
      <c r="G19" s="93" t="n">
        <f aca="false">IF(F19-$C19&lt;&gt;0,F19-$C19,"")</f>
        <v>-3.77</v>
      </c>
      <c r="H19" s="92"/>
      <c r="I19" s="93" t="n">
        <f aca="false">IF(H19-$C19&lt;&gt;0,H19-$C19,"")</f>
        <v>-3.77</v>
      </c>
      <c r="J19" s="92"/>
      <c r="K19" s="93" t="n">
        <f aca="false">IF(J19-$C19&lt;&gt;0,J19-$C19,"")</f>
        <v>-3.77</v>
      </c>
      <c r="L19" s="92"/>
      <c r="M19" s="93" t="n">
        <f aca="false">IF(L19-$C19&lt;&gt;0,L19-$C19,"")</f>
        <v>-3.77</v>
      </c>
      <c r="N19" s="92"/>
      <c r="O19" s="93" t="n">
        <f aca="false">IF(N19-$C19&lt;&gt;0,N19-$C19,"")</f>
        <v>-3.77</v>
      </c>
      <c r="P19" s="92"/>
      <c r="Q19" s="93" t="n">
        <f aca="false">IF(P19-$C19&lt;&gt;0,P19-$C19,"")</f>
        <v>-3.77</v>
      </c>
      <c r="R19" s="95" t="n">
        <f aca="false">C19+0.02</f>
        <v>3.79</v>
      </c>
      <c r="S19" s="93" t="n">
        <f aca="false">IF(R19-$C19&lt;&gt;0,R19-$C19,"")</f>
        <v>0.02</v>
      </c>
      <c r="T19" s="92"/>
      <c r="U19" s="93" t="n">
        <f aca="false">IF(T19-$C19&lt;&gt;0,T19-$C19,"")</f>
        <v>-3.77</v>
      </c>
      <c r="V19" s="92" t="n">
        <f aca="false">C19-0.115</f>
        <v>3.655</v>
      </c>
      <c r="W19" s="93" t="n">
        <f aca="false">IF(V19-$C19&lt;&gt;0,V19-$C19,"")</f>
        <v>-0.115</v>
      </c>
      <c r="X19" s="92" t="n">
        <f aca="false">C19-0.17</f>
        <v>3.6</v>
      </c>
      <c r="Y19" s="93" t="n">
        <f aca="false">IF(X19-$C19&lt;&gt;0,X19-$C19,"")</f>
        <v>-0.17</v>
      </c>
      <c r="Z19" s="92"/>
      <c r="AA19" s="93" t="n">
        <f aca="false">IF(Z19-$C19&lt;&gt;0,Z19-$C19,"")</f>
        <v>-3.77</v>
      </c>
      <c r="AB19" s="92"/>
      <c r="AC19" s="93" t="n">
        <f aca="false">IF(AB19-$C19&lt;&gt;0,AB19-$C19,"")</f>
        <v>-3.77</v>
      </c>
      <c r="AD19" s="92"/>
      <c r="AE19" s="93" t="n">
        <f aca="false">IF(AD19-$C19&lt;&gt;0,AD19-$C19,"")</f>
        <v>-3.77</v>
      </c>
      <c r="AF19" s="92" t="n">
        <f aca="false">C19+0.04</f>
        <v>3.81</v>
      </c>
      <c r="AG19" s="93" t="n">
        <f aca="false">IF(AF19-$C19&lt;&gt;0,AF19-$C19,"")</f>
        <v>0.04</v>
      </c>
      <c r="AH19" s="92"/>
      <c r="AI19" s="93" t="n">
        <f aca="false">IF(AH19-$C19&lt;&gt;0,AH19-$C19,"")</f>
        <v>-3.77</v>
      </c>
      <c r="AJ19" s="92"/>
      <c r="AK19" s="93" t="n">
        <f aca="false">IF(AJ19-$C19&lt;&gt;0,AJ19-$C19,"")</f>
        <v>-3.77</v>
      </c>
      <c r="AL19" s="92"/>
      <c r="AM19" s="93" t="n">
        <f aca="false">IF(AL19-$C19&lt;&gt;0,AL19-$C19,"")</f>
        <v>-3.77</v>
      </c>
      <c r="AN19" s="92"/>
      <c r="AO19" s="93" t="n">
        <f aca="false">IF(AN19-$C19&lt;&gt;0,AN19-$C19,"")</f>
        <v>-3.77</v>
      </c>
      <c r="AP19" s="92"/>
      <c r="AQ19" s="93" t="n">
        <f aca="false">IF(AP19-$C19&lt;&gt;0,AP19-$C19,"")</f>
        <v>-3.77</v>
      </c>
      <c r="AR19" s="92"/>
      <c r="AS19" s="93" t="n">
        <f aca="false">IF(AR19-$C19&lt;&gt;0,AR19-$C19,"")</f>
        <v>-3.77</v>
      </c>
      <c r="AT19" s="92"/>
      <c r="AU19" s="93" t="n">
        <f aca="false">IF(AT19-$C19&lt;&gt;0,AT19-$C19,"")</f>
        <v>-3.77</v>
      </c>
    </row>
    <row r="20" customFormat="false" ht="12.75" hidden="false" customHeight="false" outlineLevel="0" collapsed="false">
      <c r="A20" s="90" t="n">
        <v>17</v>
      </c>
      <c r="B20" s="91" t="s">
        <v>565</v>
      </c>
      <c r="C20" s="92" t="n">
        <f aca="false">Summary!$D$2</f>
        <v>3.77</v>
      </c>
      <c r="D20" s="92"/>
      <c r="E20" s="93" t="n">
        <f aca="false">IF(D20-$C20&lt;&gt;0,D20-$C20,"")</f>
        <v>-3.77</v>
      </c>
      <c r="F20" s="92"/>
      <c r="G20" s="93" t="n">
        <f aca="false">IF(F20-$C20&lt;&gt;0,F20-$C20,"")</f>
        <v>-3.77</v>
      </c>
      <c r="H20" s="92"/>
      <c r="I20" s="93" t="n">
        <f aca="false">IF(H20-$C20&lt;&gt;0,H20-$C20,"")</f>
        <v>-3.77</v>
      </c>
      <c r="J20" s="92"/>
      <c r="K20" s="93" t="n">
        <f aca="false">IF(J20-$C20&lt;&gt;0,J20-$C20,"")</f>
        <v>-3.77</v>
      </c>
      <c r="L20" s="92"/>
      <c r="M20" s="93" t="n">
        <f aca="false">IF(L20-$C20&lt;&gt;0,L20-$C20,"")</f>
        <v>-3.77</v>
      </c>
      <c r="N20" s="92"/>
      <c r="O20" s="93" t="n">
        <f aca="false">IF(N20-$C20&lt;&gt;0,N20-$C20,"")</f>
        <v>-3.77</v>
      </c>
      <c r="P20" s="92"/>
      <c r="Q20" s="93" t="n">
        <f aca="false">IF(P20-$C20&lt;&gt;0,P20-$C20,"")</f>
        <v>-3.77</v>
      </c>
      <c r="R20" s="95" t="n">
        <f aca="false">C20+0.02</f>
        <v>3.79</v>
      </c>
      <c r="S20" s="93" t="n">
        <f aca="false">IF(R20-$C20&lt;&gt;0,R20-$C20,"")</f>
        <v>0.02</v>
      </c>
      <c r="T20" s="92"/>
      <c r="U20" s="93" t="n">
        <f aca="false">IF(T20-$C20&lt;&gt;0,T20-$C20,"")</f>
        <v>-3.77</v>
      </c>
      <c r="V20" s="92" t="n">
        <f aca="false">C20-0.115</f>
        <v>3.655</v>
      </c>
      <c r="W20" s="93" t="n">
        <f aca="false">IF(V20-$C20&lt;&gt;0,V20-$C20,"")</f>
        <v>-0.115</v>
      </c>
      <c r="X20" s="92" t="n">
        <f aca="false">C20-0.17</f>
        <v>3.6</v>
      </c>
      <c r="Y20" s="93" t="n">
        <f aca="false">IF(X20-$C20&lt;&gt;0,X20-$C20,"")</f>
        <v>-0.17</v>
      </c>
      <c r="Z20" s="92"/>
      <c r="AA20" s="93" t="n">
        <f aca="false">IF(Z20-$C20&lt;&gt;0,Z20-$C20,"")</f>
        <v>-3.77</v>
      </c>
      <c r="AB20" s="92"/>
      <c r="AC20" s="93" t="n">
        <f aca="false">IF(AB20-$C20&lt;&gt;0,AB20-$C20,"")</f>
        <v>-3.77</v>
      </c>
      <c r="AD20" s="92"/>
      <c r="AE20" s="93" t="n">
        <f aca="false">IF(AD20-$C20&lt;&gt;0,AD20-$C20,"")</f>
        <v>-3.77</v>
      </c>
      <c r="AF20" s="92" t="n">
        <f aca="false">C20+0.04</f>
        <v>3.81</v>
      </c>
      <c r="AG20" s="93" t="n">
        <f aca="false">IF(AF20-$C20&lt;&gt;0,AF20-$C20,"")</f>
        <v>0.04</v>
      </c>
      <c r="AH20" s="92"/>
      <c r="AI20" s="93" t="n">
        <f aca="false">IF(AH20-$C20&lt;&gt;0,AH20-$C20,"")</f>
        <v>-3.77</v>
      </c>
      <c r="AJ20" s="92"/>
      <c r="AK20" s="93" t="n">
        <f aca="false">IF(AJ20-$C20&lt;&gt;0,AJ20-$C20,"")</f>
        <v>-3.77</v>
      </c>
      <c r="AL20" s="92"/>
      <c r="AM20" s="93" t="n">
        <f aca="false">IF(AL20-$C20&lt;&gt;0,AL20-$C20,"")</f>
        <v>-3.77</v>
      </c>
      <c r="AN20" s="92"/>
      <c r="AO20" s="93" t="n">
        <f aca="false">IF(AN20-$C20&lt;&gt;0,AN20-$C20,"")</f>
        <v>-3.77</v>
      </c>
      <c r="AP20" s="92"/>
      <c r="AQ20" s="93" t="n">
        <f aca="false">IF(AP20-$C20&lt;&gt;0,AP20-$C20,"")</f>
        <v>-3.77</v>
      </c>
      <c r="AR20" s="92"/>
      <c r="AS20" s="93" t="n">
        <f aca="false">IF(AR20-$C20&lt;&gt;0,AR20-$C20,"")</f>
        <v>-3.77</v>
      </c>
      <c r="AT20" s="92"/>
      <c r="AU20" s="93" t="n">
        <f aca="false">IF(AT20-$C20&lt;&gt;0,AT20-$C20,"")</f>
        <v>-3.77</v>
      </c>
    </row>
    <row r="21" customFormat="false" ht="12.75" hidden="false" customHeight="false" outlineLevel="0" collapsed="false">
      <c r="A21" s="90" t="n">
        <v>18</v>
      </c>
      <c r="B21" s="91" t="s">
        <v>565</v>
      </c>
      <c r="C21" s="92" t="n">
        <f aca="false">Summary!$D$2</f>
        <v>3.77</v>
      </c>
      <c r="D21" s="92"/>
      <c r="E21" s="93" t="n">
        <f aca="false">IF(D21-$C21&lt;&gt;0,D21-$C21,"")</f>
        <v>-3.77</v>
      </c>
      <c r="F21" s="92"/>
      <c r="G21" s="93" t="n">
        <f aca="false">IF(F21-$C21&lt;&gt;0,F21-$C21,"")</f>
        <v>-3.77</v>
      </c>
      <c r="H21" s="92"/>
      <c r="I21" s="93" t="n">
        <f aca="false">IF(H21-$C21&lt;&gt;0,H21-$C21,"")</f>
        <v>-3.77</v>
      </c>
      <c r="J21" s="92"/>
      <c r="K21" s="93" t="n">
        <f aca="false">IF(J21-$C21&lt;&gt;0,J21-$C21,"")</f>
        <v>-3.77</v>
      </c>
      <c r="L21" s="92"/>
      <c r="M21" s="93" t="n">
        <f aca="false">IF(L21-$C21&lt;&gt;0,L21-$C21,"")</f>
        <v>-3.77</v>
      </c>
      <c r="N21" s="92"/>
      <c r="O21" s="93" t="n">
        <f aca="false">IF(N21-$C21&lt;&gt;0,N21-$C21,"")</f>
        <v>-3.77</v>
      </c>
      <c r="P21" s="92"/>
      <c r="Q21" s="93" t="n">
        <f aca="false">IF(P21-$C21&lt;&gt;0,P21-$C21,"")</f>
        <v>-3.77</v>
      </c>
      <c r="R21" s="95" t="n">
        <f aca="false">C21+0.02</f>
        <v>3.79</v>
      </c>
      <c r="S21" s="93" t="n">
        <f aca="false">IF(R21-$C21&lt;&gt;0,R21-$C21,"")</f>
        <v>0.02</v>
      </c>
      <c r="T21" s="92"/>
      <c r="U21" s="93" t="n">
        <f aca="false">IF(T21-$C21&lt;&gt;0,T21-$C21,"")</f>
        <v>-3.77</v>
      </c>
      <c r="V21" s="92" t="n">
        <f aca="false">C21-0.115</f>
        <v>3.655</v>
      </c>
      <c r="W21" s="93" t="n">
        <f aca="false">IF(V21-$C21&lt;&gt;0,V21-$C21,"")</f>
        <v>-0.115</v>
      </c>
      <c r="X21" s="92" t="n">
        <f aca="false">C21-0.17</f>
        <v>3.6</v>
      </c>
      <c r="Y21" s="93" t="n">
        <f aca="false">IF(X21-$C21&lt;&gt;0,X21-$C21,"")</f>
        <v>-0.17</v>
      </c>
      <c r="Z21" s="92"/>
      <c r="AA21" s="93" t="n">
        <f aca="false">IF(Z21-$C21&lt;&gt;0,Z21-$C21,"")</f>
        <v>-3.77</v>
      </c>
      <c r="AB21" s="92"/>
      <c r="AC21" s="93" t="n">
        <f aca="false">IF(AB21-$C21&lt;&gt;0,AB21-$C21,"")</f>
        <v>-3.77</v>
      </c>
      <c r="AD21" s="92"/>
      <c r="AE21" s="93" t="n">
        <f aca="false">IF(AD21-$C21&lt;&gt;0,AD21-$C21,"")</f>
        <v>-3.77</v>
      </c>
      <c r="AF21" s="92" t="n">
        <f aca="false">C21+0.04</f>
        <v>3.81</v>
      </c>
      <c r="AG21" s="93" t="n">
        <f aca="false">IF(AF21-$C21&lt;&gt;0,AF21-$C21,"")</f>
        <v>0.04</v>
      </c>
      <c r="AH21" s="92"/>
      <c r="AI21" s="93" t="n">
        <f aca="false">IF(AH21-$C21&lt;&gt;0,AH21-$C21,"")</f>
        <v>-3.77</v>
      </c>
      <c r="AJ21" s="92"/>
      <c r="AK21" s="93" t="n">
        <f aca="false">IF(AJ21-$C21&lt;&gt;0,AJ21-$C21,"")</f>
        <v>-3.77</v>
      </c>
      <c r="AL21" s="92"/>
      <c r="AM21" s="93" t="n">
        <f aca="false">IF(AL21-$C21&lt;&gt;0,AL21-$C21,"")</f>
        <v>-3.77</v>
      </c>
      <c r="AN21" s="92"/>
      <c r="AO21" s="93" t="n">
        <f aca="false">IF(AN21-$C21&lt;&gt;0,AN21-$C21,"")</f>
        <v>-3.77</v>
      </c>
      <c r="AP21" s="92"/>
      <c r="AQ21" s="93" t="n">
        <f aca="false">IF(AP21-$C21&lt;&gt;0,AP21-$C21,"")</f>
        <v>-3.77</v>
      </c>
      <c r="AR21" s="92"/>
      <c r="AS21" s="93" t="n">
        <f aca="false">IF(AR21-$C21&lt;&gt;0,AR21-$C21,"")</f>
        <v>-3.77</v>
      </c>
      <c r="AT21" s="92"/>
      <c r="AU21" s="93" t="n">
        <f aca="false">IF(AT21-$C21&lt;&gt;0,AT21-$C21,"")</f>
        <v>-3.77</v>
      </c>
    </row>
    <row r="22" customFormat="false" ht="12.75" hidden="false" customHeight="false" outlineLevel="0" collapsed="false">
      <c r="A22" s="90" t="n">
        <v>19</v>
      </c>
      <c r="B22" s="91" t="s">
        <v>565</v>
      </c>
      <c r="C22" s="92" t="n">
        <f aca="false">Summary!$D$2</f>
        <v>3.77</v>
      </c>
      <c r="D22" s="92"/>
      <c r="E22" s="93" t="n">
        <f aca="false">IF(D22-$C22&lt;&gt;0,D22-$C22,"")</f>
        <v>-3.77</v>
      </c>
      <c r="F22" s="92"/>
      <c r="G22" s="93" t="n">
        <f aca="false">IF(F22-$C22&lt;&gt;0,F22-$C22,"")</f>
        <v>-3.77</v>
      </c>
      <c r="H22" s="92"/>
      <c r="I22" s="93" t="n">
        <f aca="false">IF(H22-$C22&lt;&gt;0,H22-$C22,"")</f>
        <v>-3.77</v>
      </c>
      <c r="J22" s="92"/>
      <c r="K22" s="93" t="n">
        <f aca="false">IF(J22-$C22&lt;&gt;0,J22-$C22,"")</f>
        <v>-3.77</v>
      </c>
      <c r="L22" s="92"/>
      <c r="M22" s="93" t="n">
        <f aca="false">IF(L22-$C22&lt;&gt;0,L22-$C22,"")</f>
        <v>-3.77</v>
      </c>
      <c r="N22" s="92"/>
      <c r="O22" s="93" t="n">
        <f aca="false">IF(N22-$C22&lt;&gt;0,N22-$C22,"")</f>
        <v>-3.77</v>
      </c>
      <c r="P22" s="92"/>
      <c r="Q22" s="93" t="n">
        <f aca="false">IF(P22-$C22&lt;&gt;0,P22-$C22,"")</f>
        <v>-3.77</v>
      </c>
      <c r="R22" s="95" t="n">
        <f aca="false">C22+0.02</f>
        <v>3.79</v>
      </c>
      <c r="S22" s="93" t="n">
        <f aca="false">IF(R22-$C22&lt;&gt;0,R22-$C22,"")</f>
        <v>0.02</v>
      </c>
      <c r="T22" s="92"/>
      <c r="U22" s="93" t="n">
        <f aca="false">IF(T22-$C22&lt;&gt;0,T22-$C22,"")</f>
        <v>-3.77</v>
      </c>
      <c r="V22" s="92" t="n">
        <f aca="false">C22-0.115</f>
        <v>3.655</v>
      </c>
      <c r="W22" s="93" t="n">
        <f aca="false">IF(V22-$C22&lt;&gt;0,V22-$C22,"")</f>
        <v>-0.115</v>
      </c>
      <c r="X22" s="92" t="n">
        <f aca="false">C22-0.17</f>
        <v>3.6</v>
      </c>
      <c r="Y22" s="93" t="n">
        <f aca="false">IF(X22-$C22&lt;&gt;0,X22-$C22,"")</f>
        <v>-0.17</v>
      </c>
      <c r="Z22" s="92"/>
      <c r="AA22" s="93" t="n">
        <f aca="false">IF(Z22-$C22&lt;&gt;0,Z22-$C22,"")</f>
        <v>-3.77</v>
      </c>
      <c r="AB22" s="92"/>
      <c r="AC22" s="93" t="n">
        <f aca="false">IF(AB22-$C22&lt;&gt;0,AB22-$C22,"")</f>
        <v>-3.77</v>
      </c>
      <c r="AD22" s="92"/>
      <c r="AE22" s="93" t="n">
        <f aca="false">IF(AD22-$C22&lt;&gt;0,AD22-$C22,"")</f>
        <v>-3.77</v>
      </c>
      <c r="AF22" s="92" t="n">
        <f aca="false">C22+0.04</f>
        <v>3.81</v>
      </c>
      <c r="AG22" s="93" t="n">
        <f aca="false">IF(AF22-$C22&lt;&gt;0,AF22-$C22,"")</f>
        <v>0.04</v>
      </c>
      <c r="AH22" s="92"/>
      <c r="AI22" s="93" t="n">
        <f aca="false">IF(AH22-$C22&lt;&gt;0,AH22-$C22,"")</f>
        <v>-3.77</v>
      </c>
      <c r="AJ22" s="92"/>
      <c r="AK22" s="93" t="n">
        <f aca="false">IF(AJ22-$C22&lt;&gt;0,AJ22-$C22,"")</f>
        <v>-3.77</v>
      </c>
      <c r="AL22" s="92"/>
      <c r="AM22" s="93" t="n">
        <f aca="false">IF(AL22-$C22&lt;&gt;0,AL22-$C22,"")</f>
        <v>-3.77</v>
      </c>
      <c r="AN22" s="92"/>
      <c r="AO22" s="93" t="n">
        <f aca="false">IF(AN22-$C22&lt;&gt;0,AN22-$C22,"")</f>
        <v>-3.77</v>
      </c>
      <c r="AP22" s="92"/>
      <c r="AQ22" s="93" t="n">
        <f aca="false">IF(AP22-$C22&lt;&gt;0,AP22-$C22,"")</f>
        <v>-3.77</v>
      </c>
      <c r="AR22" s="92"/>
      <c r="AS22" s="93" t="n">
        <f aca="false">IF(AR22-$C22&lt;&gt;0,AR22-$C22,"")</f>
        <v>-3.77</v>
      </c>
      <c r="AT22" s="92"/>
      <c r="AU22" s="93" t="n">
        <f aca="false">IF(AT22-$C22&lt;&gt;0,AT22-$C22,"")</f>
        <v>-3.77</v>
      </c>
    </row>
    <row r="23" customFormat="false" ht="12.75" hidden="false" customHeight="false" outlineLevel="0" collapsed="false">
      <c r="A23" s="90" t="n">
        <v>20</v>
      </c>
      <c r="B23" s="91" t="s">
        <v>565</v>
      </c>
      <c r="C23" s="92" t="n">
        <f aca="false">Summary!$D$2</f>
        <v>3.77</v>
      </c>
      <c r="D23" s="92"/>
      <c r="E23" s="93" t="n">
        <f aca="false">IF(D23-$C23&lt;&gt;0,D23-$C23,"")</f>
        <v>-3.77</v>
      </c>
      <c r="F23" s="92"/>
      <c r="G23" s="93" t="n">
        <f aca="false">IF(F23-$C23&lt;&gt;0,F23-$C23,"")</f>
        <v>-3.77</v>
      </c>
      <c r="H23" s="92"/>
      <c r="I23" s="93" t="n">
        <f aca="false">IF(H23-$C23&lt;&gt;0,H23-$C23,"")</f>
        <v>-3.77</v>
      </c>
      <c r="J23" s="92"/>
      <c r="K23" s="93" t="n">
        <f aca="false">IF(J23-$C23&lt;&gt;0,J23-$C23,"")</f>
        <v>-3.77</v>
      </c>
      <c r="L23" s="92"/>
      <c r="M23" s="93" t="n">
        <f aca="false">IF(L23-$C23&lt;&gt;0,L23-$C23,"")</f>
        <v>-3.77</v>
      </c>
      <c r="N23" s="92"/>
      <c r="O23" s="93" t="n">
        <f aca="false">IF(N23-$C23&lt;&gt;0,N23-$C23,"")</f>
        <v>-3.77</v>
      </c>
      <c r="P23" s="92"/>
      <c r="Q23" s="93" t="n">
        <f aca="false">IF(P23-$C23&lt;&gt;0,P23-$C23,"")</f>
        <v>-3.77</v>
      </c>
      <c r="R23" s="95" t="n">
        <f aca="false">C23+0.02</f>
        <v>3.79</v>
      </c>
      <c r="S23" s="93" t="n">
        <f aca="false">IF(R23-$C23&lt;&gt;0,R23-$C23,"")</f>
        <v>0.02</v>
      </c>
      <c r="T23" s="92"/>
      <c r="U23" s="93" t="n">
        <f aca="false">IF(T23-$C23&lt;&gt;0,T23-$C23,"")</f>
        <v>-3.77</v>
      </c>
      <c r="V23" s="92" t="n">
        <f aca="false">C23-0.115</f>
        <v>3.655</v>
      </c>
      <c r="W23" s="93" t="n">
        <f aca="false">IF(V23-$C23&lt;&gt;0,V23-$C23,"")</f>
        <v>-0.115</v>
      </c>
      <c r="X23" s="92" t="n">
        <f aca="false">C23-0.17</f>
        <v>3.6</v>
      </c>
      <c r="Y23" s="93" t="n">
        <f aca="false">IF(X23-$C23&lt;&gt;0,X23-$C23,"")</f>
        <v>-0.17</v>
      </c>
      <c r="Z23" s="92"/>
      <c r="AA23" s="93" t="n">
        <f aca="false">IF(Z23-$C23&lt;&gt;0,Z23-$C23,"")</f>
        <v>-3.77</v>
      </c>
      <c r="AB23" s="92"/>
      <c r="AC23" s="93" t="n">
        <f aca="false">IF(AB23-$C23&lt;&gt;0,AB23-$C23,"")</f>
        <v>-3.77</v>
      </c>
      <c r="AD23" s="92"/>
      <c r="AE23" s="93" t="n">
        <f aca="false">IF(AD23-$C23&lt;&gt;0,AD23-$C23,"")</f>
        <v>-3.77</v>
      </c>
      <c r="AF23" s="92" t="n">
        <f aca="false">C23+0.04</f>
        <v>3.81</v>
      </c>
      <c r="AG23" s="93" t="n">
        <f aca="false">IF(AF23-$C23&lt;&gt;0,AF23-$C23,"")</f>
        <v>0.04</v>
      </c>
      <c r="AH23" s="92"/>
      <c r="AI23" s="93" t="n">
        <f aca="false">IF(AH23-$C23&lt;&gt;0,AH23-$C23,"")</f>
        <v>-3.77</v>
      </c>
      <c r="AJ23" s="92"/>
      <c r="AK23" s="93" t="n">
        <f aca="false">IF(AJ23-$C23&lt;&gt;0,AJ23-$C23,"")</f>
        <v>-3.77</v>
      </c>
      <c r="AL23" s="92"/>
      <c r="AM23" s="93" t="n">
        <f aca="false">IF(AL23-$C23&lt;&gt;0,AL23-$C23,"")</f>
        <v>-3.77</v>
      </c>
      <c r="AN23" s="92"/>
      <c r="AO23" s="93" t="n">
        <f aca="false">IF(AN23-$C23&lt;&gt;0,AN23-$C23,"")</f>
        <v>-3.77</v>
      </c>
      <c r="AP23" s="92"/>
      <c r="AQ23" s="93" t="n">
        <f aca="false">IF(AP23-$C23&lt;&gt;0,AP23-$C23,"")</f>
        <v>-3.77</v>
      </c>
      <c r="AR23" s="92"/>
      <c r="AS23" s="93" t="n">
        <f aca="false">IF(AR23-$C23&lt;&gt;0,AR23-$C23,"")</f>
        <v>-3.77</v>
      </c>
      <c r="AT23" s="92"/>
      <c r="AU23" s="93" t="n">
        <f aca="false">IF(AT23-$C23&lt;&gt;0,AT23-$C23,"")</f>
        <v>-3.77</v>
      </c>
    </row>
    <row r="24" customFormat="false" ht="12.75" hidden="false" customHeight="false" outlineLevel="0" collapsed="false">
      <c r="A24" s="90" t="n">
        <v>21</v>
      </c>
      <c r="B24" s="91" t="s">
        <v>565</v>
      </c>
      <c r="C24" s="92" t="n">
        <f aca="false">Summary!$D$2</f>
        <v>3.77</v>
      </c>
      <c r="D24" s="92"/>
      <c r="E24" s="93" t="n">
        <f aca="false">IF(D24-$C24&lt;&gt;0,D24-$C24,"")</f>
        <v>-3.77</v>
      </c>
      <c r="F24" s="92"/>
      <c r="G24" s="93" t="n">
        <f aca="false">IF(F24-$C24&lt;&gt;0,F24-$C24,"")</f>
        <v>-3.77</v>
      </c>
      <c r="H24" s="92"/>
      <c r="I24" s="93" t="n">
        <f aca="false">IF(H24-$C24&lt;&gt;0,H24-$C24,"")</f>
        <v>-3.77</v>
      </c>
      <c r="J24" s="92"/>
      <c r="K24" s="93" t="n">
        <f aca="false">IF(J24-$C24&lt;&gt;0,J24-$C24,"")</f>
        <v>-3.77</v>
      </c>
      <c r="L24" s="92"/>
      <c r="M24" s="93" t="n">
        <f aca="false">IF(L24-$C24&lt;&gt;0,L24-$C24,"")</f>
        <v>-3.77</v>
      </c>
      <c r="N24" s="92"/>
      <c r="O24" s="93" t="n">
        <f aca="false">IF(N24-$C24&lt;&gt;0,N24-$C24,"")</f>
        <v>-3.77</v>
      </c>
      <c r="P24" s="92"/>
      <c r="Q24" s="93" t="n">
        <f aca="false">IF(P24-$C24&lt;&gt;0,P24-$C24,"")</f>
        <v>-3.77</v>
      </c>
      <c r="R24" s="95" t="n">
        <f aca="false">C24+0.02</f>
        <v>3.79</v>
      </c>
      <c r="S24" s="93" t="n">
        <f aca="false">IF(R24-$C24&lt;&gt;0,R24-$C24,"")</f>
        <v>0.02</v>
      </c>
      <c r="T24" s="92"/>
      <c r="U24" s="93" t="n">
        <f aca="false">IF(T24-$C24&lt;&gt;0,T24-$C24,"")</f>
        <v>-3.77</v>
      </c>
      <c r="V24" s="92" t="n">
        <f aca="false">C24-0.115</f>
        <v>3.655</v>
      </c>
      <c r="W24" s="93" t="n">
        <f aca="false">IF(V24-$C24&lt;&gt;0,V24-$C24,"")</f>
        <v>-0.115</v>
      </c>
      <c r="X24" s="92" t="n">
        <f aca="false">C24-0.17</f>
        <v>3.6</v>
      </c>
      <c r="Y24" s="93" t="n">
        <f aca="false">IF(X24-$C24&lt;&gt;0,X24-$C24,"")</f>
        <v>-0.17</v>
      </c>
      <c r="Z24" s="92"/>
      <c r="AA24" s="93" t="n">
        <f aca="false">IF(Z24-$C24&lt;&gt;0,Z24-$C24,"")</f>
        <v>-3.77</v>
      </c>
      <c r="AB24" s="92"/>
      <c r="AC24" s="93" t="n">
        <f aca="false">IF(AB24-$C24&lt;&gt;0,AB24-$C24,"")</f>
        <v>-3.77</v>
      </c>
      <c r="AD24" s="92"/>
      <c r="AE24" s="93" t="n">
        <f aca="false">IF(AD24-$C24&lt;&gt;0,AD24-$C24,"")</f>
        <v>-3.77</v>
      </c>
      <c r="AF24" s="92" t="n">
        <f aca="false">C24+0.04</f>
        <v>3.81</v>
      </c>
      <c r="AG24" s="93" t="n">
        <f aca="false">IF(AF24-$C24&lt;&gt;0,AF24-$C24,"")</f>
        <v>0.04</v>
      </c>
      <c r="AH24" s="92"/>
      <c r="AI24" s="93" t="n">
        <f aca="false">IF(AH24-$C24&lt;&gt;0,AH24-$C24,"")</f>
        <v>-3.77</v>
      </c>
      <c r="AJ24" s="92"/>
      <c r="AK24" s="93" t="n">
        <f aca="false">IF(AJ24-$C24&lt;&gt;0,AJ24-$C24,"")</f>
        <v>-3.77</v>
      </c>
      <c r="AL24" s="92"/>
      <c r="AM24" s="93" t="n">
        <f aca="false">IF(AL24-$C24&lt;&gt;0,AL24-$C24,"")</f>
        <v>-3.77</v>
      </c>
      <c r="AN24" s="92"/>
      <c r="AO24" s="93" t="n">
        <f aca="false">IF(AN24-$C24&lt;&gt;0,AN24-$C24,"")</f>
        <v>-3.77</v>
      </c>
      <c r="AP24" s="92"/>
      <c r="AQ24" s="93" t="n">
        <f aca="false">IF(AP24-$C24&lt;&gt;0,AP24-$C24,"")</f>
        <v>-3.77</v>
      </c>
      <c r="AR24" s="92"/>
      <c r="AS24" s="93" t="n">
        <f aca="false">IF(AR24-$C24&lt;&gt;0,AR24-$C24,"")</f>
        <v>-3.77</v>
      </c>
      <c r="AT24" s="92"/>
      <c r="AU24" s="93" t="n">
        <f aca="false">IF(AT24-$C24&lt;&gt;0,AT24-$C24,"")</f>
        <v>-3.77</v>
      </c>
    </row>
    <row r="25" customFormat="false" ht="12.75" hidden="false" customHeight="false" outlineLevel="0" collapsed="false">
      <c r="A25" s="90" t="n">
        <v>22</v>
      </c>
      <c r="B25" s="91" t="s">
        <v>565</v>
      </c>
      <c r="C25" s="92" t="n">
        <f aca="false">Summary!$D$2</f>
        <v>3.77</v>
      </c>
      <c r="D25" s="92"/>
      <c r="E25" s="93" t="n">
        <f aca="false">IF(D25-$C25&lt;&gt;0,D25-$C25,"")</f>
        <v>-3.77</v>
      </c>
      <c r="F25" s="92"/>
      <c r="G25" s="93" t="n">
        <f aca="false">IF(F25-$C25&lt;&gt;0,F25-$C25,"")</f>
        <v>-3.77</v>
      </c>
      <c r="H25" s="92"/>
      <c r="I25" s="93" t="n">
        <f aca="false">IF(H25-$C25&lt;&gt;0,H25-$C25,"")</f>
        <v>-3.77</v>
      </c>
      <c r="J25" s="92"/>
      <c r="K25" s="93" t="n">
        <f aca="false">IF(J25-$C25&lt;&gt;0,J25-$C25,"")</f>
        <v>-3.77</v>
      </c>
      <c r="L25" s="92"/>
      <c r="M25" s="93" t="n">
        <f aca="false">IF(L25-$C25&lt;&gt;0,L25-$C25,"")</f>
        <v>-3.77</v>
      </c>
      <c r="N25" s="92"/>
      <c r="O25" s="93" t="n">
        <f aca="false">IF(N25-$C25&lt;&gt;0,N25-$C25,"")</f>
        <v>-3.77</v>
      </c>
      <c r="P25" s="92"/>
      <c r="Q25" s="93" t="n">
        <f aca="false">IF(P25-$C25&lt;&gt;0,P25-$C25,"")</f>
        <v>-3.77</v>
      </c>
      <c r="R25" s="95" t="n">
        <f aca="false">C25+0.02</f>
        <v>3.79</v>
      </c>
      <c r="S25" s="93" t="n">
        <f aca="false">IF(R25-$C25&lt;&gt;0,R25-$C25,"")</f>
        <v>0.02</v>
      </c>
      <c r="T25" s="92"/>
      <c r="U25" s="93" t="n">
        <f aca="false">IF(T25-$C25&lt;&gt;0,T25-$C25,"")</f>
        <v>-3.77</v>
      </c>
      <c r="V25" s="92" t="n">
        <f aca="false">C25-0.115</f>
        <v>3.655</v>
      </c>
      <c r="W25" s="93" t="n">
        <f aca="false">IF(V25-$C25&lt;&gt;0,V25-$C25,"")</f>
        <v>-0.115</v>
      </c>
      <c r="X25" s="92" t="n">
        <f aca="false">C25-0.17</f>
        <v>3.6</v>
      </c>
      <c r="Y25" s="93" t="n">
        <f aca="false">IF(X25-$C25&lt;&gt;0,X25-$C25,"")</f>
        <v>-0.17</v>
      </c>
      <c r="Z25" s="92"/>
      <c r="AA25" s="93" t="n">
        <f aca="false">IF(Z25-$C25&lt;&gt;0,Z25-$C25,"")</f>
        <v>-3.77</v>
      </c>
      <c r="AB25" s="92"/>
      <c r="AC25" s="93" t="n">
        <f aca="false">IF(AB25-$C25&lt;&gt;0,AB25-$C25,"")</f>
        <v>-3.77</v>
      </c>
      <c r="AD25" s="92"/>
      <c r="AE25" s="93" t="n">
        <f aca="false">IF(AD25-$C25&lt;&gt;0,AD25-$C25,"")</f>
        <v>-3.77</v>
      </c>
      <c r="AF25" s="92" t="n">
        <f aca="false">C25+0.04</f>
        <v>3.81</v>
      </c>
      <c r="AG25" s="93" t="n">
        <f aca="false">IF(AF25-$C25&lt;&gt;0,AF25-$C25,"")</f>
        <v>0.04</v>
      </c>
      <c r="AH25" s="92"/>
      <c r="AI25" s="93" t="n">
        <f aca="false">IF(AH25-$C25&lt;&gt;0,AH25-$C25,"")</f>
        <v>-3.77</v>
      </c>
      <c r="AJ25" s="92"/>
      <c r="AK25" s="93" t="n">
        <f aca="false">IF(AJ25-$C25&lt;&gt;0,AJ25-$C25,"")</f>
        <v>-3.77</v>
      </c>
      <c r="AL25" s="92"/>
      <c r="AM25" s="93" t="n">
        <f aca="false">IF(AL25-$C25&lt;&gt;0,AL25-$C25,"")</f>
        <v>-3.77</v>
      </c>
      <c r="AN25" s="92"/>
      <c r="AO25" s="93" t="n">
        <f aca="false">IF(AN25-$C25&lt;&gt;0,AN25-$C25,"")</f>
        <v>-3.77</v>
      </c>
      <c r="AP25" s="92"/>
      <c r="AQ25" s="93" t="n">
        <f aca="false">IF(AP25-$C25&lt;&gt;0,AP25-$C25,"")</f>
        <v>-3.77</v>
      </c>
      <c r="AR25" s="92"/>
      <c r="AS25" s="93" t="n">
        <f aca="false">IF(AR25-$C25&lt;&gt;0,AR25-$C25,"")</f>
        <v>-3.77</v>
      </c>
      <c r="AT25" s="92"/>
      <c r="AU25" s="93" t="n">
        <f aca="false">IF(AT25-$C25&lt;&gt;0,AT25-$C25,"")</f>
        <v>-3.77</v>
      </c>
    </row>
    <row r="26" customFormat="false" ht="12.75" hidden="false" customHeight="false" outlineLevel="0" collapsed="false">
      <c r="A26" s="90" t="n">
        <v>23</v>
      </c>
      <c r="B26" s="91" t="s">
        <v>565</v>
      </c>
      <c r="C26" s="92" t="n">
        <f aca="false">Summary!$D$2</f>
        <v>3.77</v>
      </c>
      <c r="D26" s="92"/>
      <c r="E26" s="93" t="n">
        <f aca="false">IF(D26-$C26&lt;&gt;0,D26-$C26,"")</f>
        <v>-3.77</v>
      </c>
      <c r="F26" s="92"/>
      <c r="G26" s="93" t="n">
        <f aca="false">IF(F26-$C26&lt;&gt;0,F26-$C26,"")</f>
        <v>-3.77</v>
      </c>
      <c r="H26" s="92"/>
      <c r="I26" s="93" t="n">
        <f aca="false">IF(H26-$C26&lt;&gt;0,H26-$C26,"")</f>
        <v>-3.77</v>
      </c>
      <c r="J26" s="92"/>
      <c r="K26" s="93" t="n">
        <f aca="false">IF(J26-$C26&lt;&gt;0,J26-$C26,"")</f>
        <v>-3.77</v>
      </c>
      <c r="L26" s="92"/>
      <c r="M26" s="93" t="n">
        <f aca="false">IF(L26-$C26&lt;&gt;0,L26-$C26,"")</f>
        <v>-3.77</v>
      </c>
      <c r="N26" s="92"/>
      <c r="O26" s="93" t="n">
        <f aca="false">IF(N26-$C26&lt;&gt;0,N26-$C26,"")</f>
        <v>-3.77</v>
      </c>
      <c r="P26" s="92"/>
      <c r="Q26" s="93" t="n">
        <f aca="false">IF(P26-$C26&lt;&gt;0,P26-$C26,"")</f>
        <v>-3.77</v>
      </c>
      <c r="R26" s="95" t="n">
        <f aca="false">C26+0.02</f>
        <v>3.79</v>
      </c>
      <c r="S26" s="93" t="n">
        <f aca="false">IF(R26-$C26&lt;&gt;0,R26-$C26,"")</f>
        <v>0.02</v>
      </c>
      <c r="T26" s="92"/>
      <c r="U26" s="93" t="n">
        <f aca="false">IF(T26-$C26&lt;&gt;0,T26-$C26,"")</f>
        <v>-3.77</v>
      </c>
      <c r="V26" s="92" t="n">
        <f aca="false">C26-0.115</f>
        <v>3.655</v>
      </c>
      <c r="W26" s="93" t="n">
        <f aca="false">IF(V26-$C26&lt;&gt;0,V26-$C26,"")</f>
        <v>-0.115</v>
      </c>
      <c r="X26" s="92" t="n">
        <f aca="false">C26-0.17</f>
        <v>3.6</v>
      </c>
      <c r="Y26" s="93" t="n">
        <f aca="false">IF(X26-$C26&lt;&gt;0,X26-$C26,"")</f>
        <v>-0.17</v>
      </c>
      <c r="Z26" s="92"/>
      <c r="AA26" s="93" t="n">
        <f aca="false">IF(Z26-$C26&lt;&gt;0,Z26-$C26,"")</f>
        <v>-3.77</v>
      </c>
      <c r="AB26" s="92"/>
      <c r="AC26" s="93" t="n">
        <f aca="false">IF(AB26-$C26&lt;&gt;0,AB26-$C26,"")</f>
        <v>-3.77</v>
      </c>
      <c r="AD26" s="92"/>
      <c r="AE26" s="93" t="n">
        <f aca="false">IF(AD26-$C26&lt;&gt;0,AD26-$C26,"")</f>
        <v>-3.77</v>
      </c>
      <c r="AF26" s="92" t="n">
        <f aca="false">C26+0.04</f>
        <v>3.81</v>
      </c>
      <c r="AG26" s="93" t="n">
        <f aca="false">IF(AF26-$C26&lt;&gt;0,AF26-$C26,"")</f>
        <v>0.04</v>
      </c>
      <c r="AH26" s="92"/>
      <c r="AI26" s="93" t="n">
        <f aca="false">IF(AH26-$C26&lt;&gt;0,AH26-$C26,"")</f>
        <v>-3.77</v>
      </c>
      <c r="AJ26" s="92"/>
      <c r="AK26" s="93" t="n">
        <f aca="false">IF(AJ26-$C26&lt;&gt;0,AJ26-$C26,"")</f>
        <v>-3.77</v>
      </c>
      <c r="AL26" s="92"/>
      <c r="AM26" s="93" t="n">
        <f aca="false">IF(AL26-$C26&lt;&gt;0,AL26-$C26,"")</f>
        <v>-3.77</v>
      </c>
      <c r="AN26" s="92"/>
      <c r="AO26" s="93" t="n">
        <f aca="false">IF(AN26-$C26&lt;&gt;0,AN26-$C26,"")</f>
        <v>-3.77</v>
      </c>
      <c r="AP26" s="92"/>
      <c r="AQ26" s="93" t="n">
        <f aca="false">IF(AP26-$C26&lt;&gt;0,AP26-$C26,"")</f>
        <v>-3.77</v>
      </c>
      <c r="AR26" s="92"/>
      <c r="AS26" s="93" t="n">
        <f aca="false">IF(AR26-$C26&lt;&gt;0,AR26-$C26,"")</f>
        <v>-3.77</v>
      </c>
      <c r="AT26" s="92"/>
      <c r="AU26" s="93" t="n">
        <f aca="false">IF(AT26-$C26&lt;&gt;0,AT26-$C26,"")</f>
        <v>-3.77</v>
      </c>
    </row>
    <row r="27" customFormat="false" ht="12.75" hidden="false" customHeight="false" outlineLevel="0" collapsed="false">
      <c r="A27" s="90" t="n">
        <v>24</v>
      </c>
      <c r="B27" s="91" t="s">
        <v>565</v>
      </c>
      <c r="C27" s="92" t="n">
        <f aca="false">Summary!$D$2</f>
        <v>3.77</v>
      </c>
      <c r="D27" s="92"/>
      <c r="E27" s="93" t="n">
        <f aca="false">IF(D27-$C27&lt;&gt;0,D27-$C27,"")</f>
        <v>-3.77</v>
      </c>
      <c r="F27" s="92"/>
      <c r="G27" s="93" t="n">
        <f aca="false">IF(F27-$C27&lt;&gt;0,F27-$C27,"")</f>
        <v>-3.77</v>
      </c>
      <c r="H27" s="92"/>
      <c r="I27" s="93" t="n">
        <f aca="false">IF(H27-$C27&lt;&gt;0,H27-$C27,"")</f>
        <v>-3.77</v>
      </c>
      <c r="J27" s="92"/>
      <c r="K27" s="93" t="n">
        <f aca="false">IF(J27-$C27&lt;&gt;0,J27-$C27,"")</f>
        <v>-3.77</v>
      </c>
      <c r="L27" s="92"/>
      <c r="M27" s="93" t="n">
        <f aca="false">IF(L27-$C27&lt;&gt;0,L27-$C27,"")</f>
        <v>-3.77</v>
      </c>
      <c r="N27" s="92"/>
      <c r="O27" s="93" t="n">
        <f aca="false">IF(N27-$C27&lt;&gt;0,N27-$C27,"")</f>
        <v>-3.77</v>
      </c>
      <c r="P27" s="92"/>
      <c r="Q27" s="93" t="n">
        <f aca="false">IF(P27-$C27&lt;&gt;0,P27-$C27,"")</f>
        <v>-3.77</v>
      </c>
      <c r="R27" s="95" t="n">
        <f aca="false">C27+0.02</f>
        <v>3.79</v>
      </c>
      <c r="S27" s="93" t="n">
        <f aca="false">IF(R27-$C27&lt;&gt;0,R27-$C27,"")</f>
        <v>0.02</v>
      </c>
      <c r="T27" s="92"/>
      <c r="U27" s="93" t="n">
        <f aca="false">IF(T27-$C27&lt;&gt;0,T27-$C27,"")</f>
        <v>-3.77</v>
      </c>
      <c r="V27" s="92" t="n">
        <f aca="false">C27-0.115</f>
        <v>3.655</v>
      </c>
      <c r="W27" s="93" t="n">
        <f aca="false">IF(V27-$C27&lt;&gt;0,V27-$C27,"")</f>
        <v>-0.115</v>
      </c>
      <c r="X27" s="92" t="n">
        <f aca="false">C27-0.17</f>
        <v>3.6</v>
      </c>
      <c r="Y27" s="93" t="n">
        <f aca="false">IF(X27-$C27&lt;&gt;0,X27-$C27,"")</f>
        <v>-0.17</v>
      </c>
      <c r="Z27" s="92"/>
      <c r="AA27" s="93" t="n">
        <f aca="false">IF(Z27-$C27&lt;&gt;0,Z27-$C27,"")</f>
        <v>-3.77</v>
      </c>
      <c r="AB27" s="92"/>
      <c r="AC27" s="93" t="n">
        <f aca="false">IF(AB27-$C27&lt;&gt;0,AB27-$C27,"")</f>
        <v>-3.77</v>
      </c>
      <c r="AD27" s="92"/>
      <c r="AE27" s="93" t="n">
        <f aca="false">IF(AD27-$C27&lt;&gt;0,AD27-$C27,"")</f>
        <v>-3.77</v>
      </c>
      <c r="AF27" s="92" t="n">
        <f aca="false">C27+0.04</f>
        <v>3.81</v>
      </c>
      <c r="AG27" s="93" t="n">
        <f aca="false">IF(AF27-$C27&lt;&gt;0,AF27-$C27,"")</f>
        <v>0.04</v>
      </c>
      <c r="AH27" s="92"/>
      <c r="AI27" s="93" t="n">
        <f aca="false">IF(AH27-$C27&lt;&gt;0,AH27-$C27,"")</f>
        <v>-3.77</v>
      </c>
      <c r="AJ27" s="92"/>
      <c r="AK27" s="93" t="n">
        <f aca="false">IF(AJ27-$C27&lt;&gt;0,AJ27-$C27,"")</f>
        <v>-3.77</v>
      </c>
      <c r="AL27" s="92"/>
      <c r="AM27" s="93" t="n">
        <f aca="false">IF(AL27-$C27&lt;&gt;0,AL27-$C27,"")</f>
        <v>-3.77</v>
      </c>
      <c r="AN27" s="92"/>
      <c r="AO27" s="93" t="n">
        <f aca="false">IF(AN27-$C27&lt;&gt;0,AN27-$C27,"")</f>
        <v>-3.77</v>
      </c>
      <c r="AP27" s="92"/>
      <c r="AQ27" s="93" t="n">
        <f aca="false">IF(AP27-$C27&lt;&gt;0,AP27-$C27,"")</f>
        <v>-3.77</v>
      </c>
      <c r="AR27" s="92"/>
      <c r="AS27" s="93" t="n">
        <f aca="false">IF(AR27-$C27&lt;&gt;0,AR27-$C27,"")</f>
        <v>-3.77</v>
      </c>
      <c r="AT27" s="92"/>
      <c r="AU27" s="93" t="n">
        <f aca="false">IF(AT27-$C27&lt;&gt;0,AT27-$C27,"")</f>
        <v>-3.77</v>
      </c>
    </row>
    <row r="28" customFormat="false" ht="12.75" hidden="false" customHeight="false" outlineLevel="0" collapsed="false">
      <c r="A28" s="90" t="n">
        <v>25</v>
      </c>
      <c r="B28" s="91" t="s">
        <v>565</v>
      </c>
      <c r="C28" s="92" t="n">
        <f aca="false">Summary!$D$2</f>
        <v>3.77</v>
      </c>
      <c r="D28" s="92"/>
      <c r="E28" s="93" t="n">
        <f aca="false">IF(D28-$C28&lt;&gt;0,D28-$C28,"")</f>
        <v>-3.77</v>
      </c>
      <c r="F28" s="92"/>
      <c r="G28" s="93" t="n">
        <f aca="false">IF(F28-$C28&lt;&gt;0,F28-$C28,"")</f>
        <v>-3.77</v>
      </c>
      <c r="H28" s="92"/>
      <c r="I28" s="93" t="n">
        <f aca="false">IF(H28-$C28&lt;&gt;0,H28-$C28,"")</f>
        <v>-3.77</v>
      </c>
      <c r="J28" s="92"/>
      <c r="K28" s="93" t="n">
        <f aca="false">IF(J28-$C28&lt;&gt;0,J28-$C28,"")</f>
        <v>-3.77</v>
      </c>
      <c r="L28" s="92"/>
      <c r="M28" s="93" t="n">
        <f aca="false">IF(L28-$C28&lt;&gt;0,L28-$C28,"")</f>
        <v>-3.77</v>
      </c>
      <c r="N28" s="92"/>
      <c r="O28" s="93" t="n">
        <f aca="false">IF(N28-$C28&lt;&gt;0,N28-$C28,"")</f>
        <v>-3.77</v>
      </c>
      <c r="P28" s="92"/>
      <c r="Q28" s="93" t="n">
        <f aca="false">IF(P28-$C28&lt;&gt;0,P28-$C28,"")</f>
        <v>-3.77</v>
      </c>
      <c r="R28" s="95" t="n">
        <f aca="false">C28+0.02</f>
        <v>3.79</v>
      </c>
      <c r="S28" s="93" t="n">
        <f aca="false">IF(R28-$C28&lt;&gt;0,R28-$C28,"")</f>
        <v>0.02</v>
      </c>
      <c r="T28" s="92"/>
      <c r="U28" s="93" t="n">
        <f aca="false">IF(T28-$C28&lt;&gt;0,T28-$C28,"")</f>
        <v>-3.77</v>
      </c>
      <c r="V28" s="92" t="n">
        <f aca="false">C28-0.115</f>
        <v>3.655</v>
      </c>
      <c r="W28" s="93" t="n">
        <f aca="false">IF(V28-$C28&lt;&gt;0,V28-$C28,"")</f>
        <v>-0.115</v>
      </c>
      <c r="X28" s="92" t="n">
        <f aca="false">C28-0.17</f>
        <v>3.6</v>
      </c>
      <c r="Y28" s="93" t="n">
        <f aca="false">IF(X28-$C28&lt;&gt;0,X28-$C28,"")</f>
        <v>-0.17</v>
      </c>
      <c r="Z28" s="92"/>
      <c r="AA28" s="93" t="n">
        <f aca="false">IF(Z28-$C28&lt;&gt;0,Z28-$C28,"")</f>
        <v>-3.77</v>
      </c>
      <c r="AB28" s="92"/>
      <c r="AC28" s="93" t="n">
        <f aca="false">IF(AB28-$C28&lt;&gt;0,AB28-$C28,"")</f>
        <v>-3.77</v>
      </c>
      <c r="AD28" s="92"/>
      <c r="AE28" s="93" t="n">
        <f aca="false">IF(AD28-$C28&lt;&gt;0,AD28-$C28,"")</f>
        <v>-3.77</v>
      </c>
      <c r="AF28" s="92" t="n">
        <f aca="false">C28+0.04</f>
        <v>3.81</v>
      </c>
      <c r="AG28" s="93" t="n">
        <f aca="false">IF(AF28-$C28&lt;&gt;0,AF28-$C28,"")</f>
        <v>0.04</v>
      </c>
      <c r="AH28" s="92"/>
      <c r="AI28" s="93" t="n">
        <f aca="false">IF(AH28-$C28&lt;&gt;0,AH28-$C28,"")</f>
        <v>-3.77</v>
      </c>
      <c r="AJ28" s="92"/>
      <c r="AK28" s="93" t="n">
        <f aca="false">IF(AJ28-$C28&lt;&gt;0,AJ28-$C28,"")</f>
        <v>-3.77</v>
      </c>
      <c r="AL28" s="92"/>
      <c r="AM28" s="93" t="n">
        <f aca="false">IF(AL28-$C28&lt;&gt;0,AL28-$C28,"")</f>
        <v>-3.77</v>
      </c>
      <c r="AN28" s="92"/>
      <c r="AO28" s="93" t="n">
        <f aca="false">IF(AN28-$C28&lt;&gt;0,AN28-$C28,"")</f>
        <v>-3.77</v>
      </c>
      <c r="AP28" s="92"/>
      <c r="AQ28" s="93" t="n">
        <f aca="false">IF(AP28-$C28&lt;&gt;0,AP28-$C28,"")</f>
        <v>-3.77</v>
      </c>
      <c r="AR28" s="92"/>
      <c r="AS28" s="93" t="n">
        <f aca="false">IF(AR28-$C28&lt;&gt;0,AR28-$C28,"")</f>
        <v>-3.77</v>
      </c>
      <c r="AT28" s="92"/>
      <c r="AU28" s="93" t="n">
        <f aca="false">IF(AT28-$C28&lt;&gt;0,AT28-$C28,"")</f>
        <v>-3.77</v>
      </c>
    </row>
    <row r="29" customFormat="false" ht="12.75" hidden="false" customHeight="false" outlineLevel="0" collapsed="false">
      <c r="A29" s="90" t="n">
        <v>26</v>
      </c>
      <c r="B29" s="91" t="s">
        <v>565</v>
      </c>
      <c r="C29" s="92" t="n">
        <f aca="false">Summary!$D$2</f>
        <v>3.77</v>
      </c>
      <c r="D29" s="92"/>
      <c r="E29" s="93" t="n">
        <f aca="false">IF(D29-$C29&lt;&gt;0,D29-$C29,"")</f>
        <v>-3.77</v>
      </c>
      <c r="F29" s="92"/>
      <c r="G29" s="93" t="n">
        <f aca="false">IF(F29-$C29&lt;&gt;0,F29-$C29,"")</f>
        <v>-3.77</v>
      </c>
      <c r="H29" s="92"/>
      <c r="I29" s="93" t="n">
        <f aca="false">IF(H29-$C29&lt;&gt;0,H29-$C29,"")</f>
        <v>-3.77</v>
      </c>
      <c r="J29" s="92"/>
      <c r="K29" s="93" t="n">
        <f aca="false">IF(J29-$C29&lt;&gt;0,J29-$C29,"")</f>
        <v>-3.77</v>
      </c>
      <c r="L29" s="92"/>
      <c r="M29" s="93" t="n">
        <f aca="false">IF(L29-$C29&lt;&gt;0,L29-$C29,"")</f>
        <v>-3.77</v>
      </c>
      <c r="N29" s="92"/>
      <c r="O29" s="93" t="n">
        <f aca="false">IF(N29-$C29&lt;&gt;0,N29-$C29,"")</f>
        <v>-3.77</v>
      </c>
      <c r="P29" s="92"/>
      <c r="Q29" s="93" t="n">
        <f aca="false">IF(P29-$C29&lt;&gt;0,P29-$C29,"")</f>
        <v>-3.77</v>
      </c>
      <c r="R29" s="95" t="n">
        <f aca="false">C29+0.02</f>
        <v>3.79</v>
      </c>
      <c r="S29" s="93" t="n">
        <f aca="false">IF(R29-$C29&lt;&gt;0,R29-$C29,"")</f>
        <v>0.02</v>
      </c>
      <c r="T29" s="92"/>
      <c r="U29" s="93" t="n">
        <f aca="false">IF(T29-$C29&lt;&gt;0,T29-$C29,"")</f>
        <v>-3.77</v>
      </c>
      <c r="V29" s="92" t="n">
        <f aca="false">C29-0.115</f>
        <v>3.655</v>
      </c>
      <c r="W29" s="93" t="n">
        <f aca="false">IF(V29-$C29&lt;&gt;0,V29-$C29,"")</f>
        <v>-0.115</v>
      </c>
      <c r="X29" s="92" t="n">
        <f aca="false">C29-0.17</f>
        <v>3.6</v>
      </c>
      <c r="Y29" s="93" t="n">
        <f aca="false">IF(X29-$C29&lt;&gt;0,X29-$C29,"")</f>
        <v>-0.17</v>
      </c>
      <c r="Z29" s="92"/>
      <c r="AA29" s="93" t="n">
        <f aca="false">IF(Z29-$C29&lt;&gt;0,Z29-$C29,"")</f>
        <v>-3.77</v>
      </c>
      <c r="AB29" s="92"/>
      <c r="AC29" s="93" t="n">
        <f aca="false">IF(AB29-$C29&lt;&gt;0,AB29-$C29,"")</f>
        <v>-3.77</v>
      </c>
      <c r="AD29" s="92"/>
      <c r="AE29" s="93" t="n">
        <f aca="false">IF(AD29-$C29&lt;&gt;0,AD29-$C29,"")</f>
        <v>-3.77</v>
      </c>
      <c r="AF29" s="92" t="n">
        <f aca="false">C29+0.04</f>
        <v>3.81</v>
      </c>
      <c r="AG29" s="93" t="n">
        <f aca="false">IF(AF29-$C29&lt;&gt;0,AF29-$C29,"")</f>
        <v>0.04</v>
      </c>
      <c r="AH29" s="92"/>
      <c r="AI29" s="93" t="n">
        <f aca="false">IF(AH29-$C29&lt;&gt;0,AH29-$C29,"")</f>
        <v>-3.77</v>
      </c>
      <c r="AJ29" s="92"/>
      <c r="AK29" s="93" t="n">
        <f aca="false">IF(AJ29-$C29&lt;&gt;0,AJ29-$C29,"")</f>
        <v>-3.77</v>
      </c>
      <c r="AL29" s="92"/>
      <c r="AM29" s="93" t="n">
        <f aca="false">IF(AL29-$C29&lt;&gt;0,AL29-$C29,"")</f>
        <v>-3.77</v>
      </c>
      <c r="AN29" s="92"/>
      <c r="AO29" s="93" t="n">
        <f aca="false">IF(AN29-$C29&lt;&gt;0,AN29-$C29,"")</f>
        <v>-3.77</v>
      </c>
      <c r="AP29" s="92"/>
      <c r="AQ29" s="93" t="n">
        <f aca="false">IF(AP29-$C29&lt;&gt;0,AP29-$C29,"")</f>
        <v>-3.77</v>
      </c>
      <c r="AR29" s="92"/>
      <c r="AS29" s="93" t="n">
        <f aca="false">IF(AR29-$C29&lt;&gt;0,AR29-$C29,"")</f>
        <v>-3.77</v>
      </c>
      <c r="AT29" s="92"/>
      <c r="AU29" s="93" t="n">
        <f aca="false">IF(AT29-$C29&lt;&gt;0,AT29-$C29,"")</f>
        <v>-3.77</v>
      </c>
    </row>
    <row r="30" customFormat="false" ht="12.75" hidden="false" customHeight="false" outlineLevel="0" collapsed="false">
      <c r="A30" s="90" t="n">
        <v>27</v>
      </c>
      <c r="B30" s="91" t="s">
        <v>565</v>
      </c>
      <c r="C30" s="92" t="n">
        <f aca="false">Summary!$D$2</f>
        <v>3.77</v>
      </c>
      <c r="D30" s="92"/>
      <c r="E30" s="93" t="n">
        <f aca="false">IF(D30-$C30&lt;&gt;0,D30-$C30,"")</f>
        <v>-3.77</v>
      </c>
      <c r="F30" s="92"/>
      <c r="G30" s="93" t="n">
        <f aca="false">IF(F30-$C30&lt;&gt;0,F30-$C30,"")</f>
        <v>-3.77</v>
      </c>
      <c r="H30" s="92"/>
      <c r="I30" s="93" t="n">
        <f aca="false">IF(H30-$C30&lt;&gt;0,H30-$C30,"")</f>
        <v>-3.77</v>
      </c>
      <c r="J30" s="92"/>
      <c r="K30" s="93" t="n">
        <f aca="false">IF(J30-$C30&lt;&gt;0,J30-$C30,"")</f>
        <v>-3.77</v>
      </c>
      <c r="L30" s="92"/>
      <c r="M30" s="93" t="n">
        <f aca="false">IF(L30-$C30&lt;&gt;0,L30-$C30,"")</f>
        <v>-3.77</v>
      </c>
      <c r="N30" s="92"/>
      <c r="O30" s="93" t="n">
        <f aca="false">IF(N30-$C30&lt;&gt;0,N30-$C30,"")</f>
        <v>-3.77</v>
      </c>
      <c r="P30" s="92"/>
      <c r="Q30" s="93" t="n">
        <f aca="false">IF(P30-$C30&lt;&gt;0,P30-$C30,"")</f>
        <v>-3.77</v>
      </c>
      <c r="R30" s="95" t="n">
        <f aca="false">C30+0.02</f>
        <v>3.79</v>
      </c>
      <c r="S30" s="93" t="n">
        <f aca="false">IF(R30-$C30&lt;&gt;0,R30-$C30,"")</f>
        <v>0.02</v>
      </c>
      <c r="T30" s="92"/>
      <c r="U30" s="93" t="n">
        <f aca="false">IF(T30-$C30&lt;&gt;0,T30-$C30,"")</f>
        <v>-3.77</v>
      </c>
      <c r="V30" s="92" t="n">
        <f aca="false">C30-0.115</f>
        <v>3.655</v>
      </c>
      <c r="W30" s="93" t="n">
        <f aca="false">IF(V30-$C30&lt;&gt;0,V30-$C30,"")</f>
        <v>-0.115</v>
      </c>
      <c r="X30" s="92" t="n">
        <f aca="false">C30-0.17</f>
        <v>3.6</v>
      </c>
      <c r="Y30" s="93" t="n">
        <f aca="false">IF(X30-$C30&lt;&gt;0,X30-$C30,"")</f>
        <v>-0.17</v>
      </c>
      <c r="Z30" s="92"/>
      <c r="AA30" s="93" t="n">
        <f aca="false">IF(Z30-$C30&lt;&gt;0,Z30-$C30,"")</f>
        <v>-3.77</v>
      </c>
      <c r="AB30" s="92"/>
      <c r="AC30" s="93" t="n">
        <f aca="false">IF(AB30-$C30&lt;&gt;0,AB30-$C30,"")</f>
        <v>-3.77</v>
      </c>
      <c r="AD30" s="92"/>
      <c r="AE30" s="93" t="n">
        <f aca="false">IF(AD30-$C30&lt;&gt;0,AD30-$C30,"")</f>
        <v>-3.77</v>
      </c>
      <c r="AF30" s="92" t="n">
        <f aca="false">C30+0.04</f>
        <v>3.81</v>
      </c>
      <c r="AG30" s="93" t="n">
        <f aca="false">IF(AF30-$C30&lt;&gt;0,AF30-$C30,"")</f>
        <v>0.04</v>
      </c>
      <c r="AH30" s="92"/>
      <c r="AI30" s="93" t="n">
        <f aca="false">IF(AH30-$C30&lt;&gt;0,AH30-$C30,"")</f>
        <v>-3.77</v>
      </c>
      <c r="AJ30" s="92"/>
      <c r="AK30" s="93" t="n">
        <f aca="false">IF(AJ30-$C30&lt;&gt;0,AJ30-$C30,"")</f>
        <v>-3.77</v>
      </c>
      <c r="AL30" s="92"/>
      <c r="AM30" s="93" t="n">
        <f aca="false">IF(AL30-$C30&lt;&gt;0,AL30-$C30,"")</f>
        <v>-3.77</v>
      </c>
      <c r="AN30" s="92"/>
      <c r="AO30" s="93" t="n">
        <f aca="false">IF(AN30-$C30&lt;&gt;0,AN30-$C30,"")</f>
        <v>-3.77</v>
      </c>
      <c r="AP30" s="92"/>
      <c r="AQ30" s="93" t="n">
        <f aca="false">IF(AP30-$C30&lt;&gt;0,AP30-$C30,"")</f>
        <v>-3.77</v>
      </c>
      <c r="AR30" s="92"/>
      <c r="AS30" s="93" t="n">
        <f aca="false">IF(AR30-$C30&lt;&gt;0,AR30-$C30,"")</f>
        <v>-3.77</v>
      </c>
      <c r="AT30" s="92"/>
      <c r="AU30" s="93" t="n">
        <f aca="false">IF(AT30-$C30&lt;&gt;0,AT30-$C30,"")</f>
        <v>-3.77</v>
      </c>
    </row>
    <row r="31" customFormat="false" ht="12.75" hidden="false" customHeight="false" outlineLevel="0" collapsed="false">
      <c r="A31" s="90" t="n">
        <v>28</v>
      </c>
      <c r="B31" s="91" t="s">
        <v>566</v>
      </c>
      <c r="C31" s="92" t="n">
        <f aca="false">Summary!$D$2</f>
        <v>3.77</v>
      </c>
      <c r="D31" s="92"/>
      <c r="E31" s="93" t="n">
        <f aca="false">IF(D31-$C31&lt;&gt;0,D31-$C31,"")</f>
        <v>-3.77</v>
      </c>
      <c r="F31" s="92"/>
      <c r="G31" s="93" t="n">
        <f aca="false">IF(F31-$C31&lt;&gt;0,F31-$C31,"")</f>
        <v>-3.77</v>
      </c>
      <c r="H31" s="92"/>
      <c r="I31" s="93" t="n">
        <f aca="false">IF(H31-$C31&lt;&gt;0,H31-$C31,"")</f>
        <v>-3.77</v>
      </c>
      <c r="J31" s="92"/>
      <c r="K31" s="93" t="n">
        <f aca="false">IF(J31-$C31&lt;&gt;0,J31-$C31,"")</f>
        <v>-3.77</v>
      </c>
      <c r="L31" s="92"/>
      <c r="M31" s="93" t="n">
        <f aca="false">IF(L31-$C31&lt;&gt;0,L31-$C31,"")</f>
        <v>-3.77</v>
      </c>
      <c r="N31" s="92"/>
      <c r="O31" s="93" t="n">
        <f aca="false">IF(N31-$C31&lt;&gt;0,N31-$C31,"")</f>
        <v>-3.77</v>
      </c>
      <c r="P31" s="92"/>
      <c r="Q31" s="93" t="n">
        <f aca="false">IF(P31-$C31&lt;&gt;0,P31-$C31,"")</f>
        <v>-3.77</v>
      </c>
      <c r="R31" s="95" t="n">
        <f aca="false">C31+0.02</f>
        <v>3.79</v>
      </c>
      <c r="S31" s="93" t="n">
        <f aca="false">IF(R31-$C31&lt;&gt;0,R31-$C31,"")</f>
        <v>0.02</v>
      </c>
      <c r="T31" s="92"/>
      <c r="U31" s="93" t="n">
        <f aca="false">IF(T31-$C31&lt;&gt;0,T31-$C31,"")</f>
        <v>-3.77</v>
      </c>
      <c r="V31" s="92" t="n">
        <f aca="false">C31-0.115</f>
        <v>3.655</v>
      </c>
      <c r="W31" s="93" t="n">
        <f aca="false">IF(V31-$C31&lt;&gt;0,V31-$C31,"")</f>
        <v>-0.115</v>
      </c>
      <c r="X31" s="92" t="n">
        <f aca="false">C31-0.17</f>
        <v>3.6</v>
      </c>
      <c r="Y31" s="93" t="n">
        <f aca="false">IF(X31-$C31&lt;&gt;0,X31-$C31,"")</f>
        <v>-0.17</v>
      </c>
      <c r="Z31" s="92"/>
      <c r="AA31" s="93" t="n">
        <f aca="false">IF(Z31-$C31&lt;&gt;0,Z31-$C31,"")</f>
        <v>-3.77</v>
      </c>
      <c r="AB31" s="92"/>
      <c r="AC31" s="93" t="n">
        <f aca="false">IF(AB31-$C31&lt;&gt;0,AB31-$C31,"")</f>
        <v>-3.77</v>
      </c>
      <c r="AD31" s="92"/>
      <c r="AE31" s="93" t="n">
        <f aca="false">IF(AD31-$C31&lt;&gt;0,AD31-$C31,"")</f>
        <v>-3.77</v>
      </c>
      <c r="AF31" s="92" t="n">
        <f aca="false">C31+0.04</f>
        <v>3.81</v>
      </c>
      <c r="AG31" s="93" t="n">
        <f aca="false">IF(AF31-$C31&lt;&gt;0,AF31-$C31,"")</f>
        <v>0.04</v>
      </c>
      <c r="AH31" s="92"/>
      <c r="AI31" s="93" t="n">
        <f aca="false">IF(AH31-$C31&lt;&gt;0,AH31-$C31,"")</f>
        <v>-3.77</v>
      </c>
      <c r="AJ31" s="92"/>
      <c r="AK31" s="93" t="n">
        <f aca="false">IF(AJ31-$C31&lt;&gt;0,AJ31-$C31,"")</f>
        <v>-3.77</v>
      </c>
      <c r="AL31" s="92"/>
      <c r="AM31" s="93" t="n">
        <f aca="false">IF(AL31-$C31&lt;&gt;0,AL31-$C31,"")</f>
        <v>-3.77</v>
      </c>
      <c r="AN31" s="92"/>
      <c r="AO31" s="93" t="n">
        <f aca="false">IF(AN31-$C31&lt;&gt;0,AN31-$C31,"")</f>
        <v>-3.77</v>
      </c>
      <c r="AP31" s="92"/>
      <c r="AQ31" s="93" t="n">
        <f aca="false">IF(AP31-$C31&lt;&gt;0,AP31-$C31,"")</f>
        <v>-3.77</v>
      </c>
      <c r="AR31" s="92"/>
      <c r="AS31" s="93" t="n">
        <f aca="false">IF(AR31-$C31&lt;&gt;0,AR31-$C31,"")</f>
        <v>-3.77</v>
      </c>
      <c r="AT31" s="92"/>
      <c r="AU31" s="93" t="n">
        <f aca="false">IF(AT31-$C31&lt;&gt;0,AT31-$C31,"")</f>
        <v>-3.77</v>
      </c>
    </row>
    <row r="32" customFormat="false" ht="12.75" hidden="false" customHeight="false" outlineLevel="0" collapsed="false">
      <c r="A32" s="90" t="n">
        <v>29</v>
      </c>
      <c r="B32" s="91" t="s">
        <v>565</v>
      </c>
      <c r="C32" s="92" t="n">
        <f aca="false">Summary!$D$2</f>
        <v>3.77</v>
      </c>
      <c r="D32" s="92"/>
      <c r="E32" s="93" t="n">
        <f aca="false">IF(D32-$C32&lt;&gt;0,D32-$C32,"")</f>
        <v>-3.77</v>
      </c>
      <c r="F32" s="92"/>
      <c r="G32" s="93" t="n">
        <f aca="false">IF(F32-$C32&lt;&gt;0,F32-$C32,"")</f>
        <v>-3.77</v>
      </c>
      <c r="H32" s="92"/>
      <c r="I32" s="93" t="n">
        <f aca="false">IF(H32-$C32&lt;&gt;0,H32-$C32,"")</f>
        <v>-3.77</v>
      </c>
      <c r="J32" s="92"/>
      <c r="K32" s="93" t="n">
        <f aca="false">IF(J32-$C32&lt;&gt;0,J32-$C32,"")</f>
        <v>-3.77</v>
      </c>
      <c r="L32" s="92"/>
      <c r="M32" s="93" t="n">
        <f aca="false">IF(L32-$C32&lt;&gt;0,L32-$C32,"")</f>
        <v>-3.77</v>
      </c>
      <c r="N32" s="92"/>
      <c r="O32" s="93" t="n">
        <f aca="false">IF(N32-$C32&lt;&gt;0,N32-$C32,"")</f>
        <v>-3.77</v>
      </c>
      <c r="P32" s="92"/>
      <c r="Q32" s="93" t="n">
        <f aca="false">IF(P32-$C32&lt;&gt;0,P32-$C32,"")</f>
        <v>-3.77</v>
      </c>
      <c r="R32" s="95" t="n">
        <f aca="false">C32+0.02</f>
        <v>3.79</v>
      </c>
      <c r="S32" s="93" t="n">
        <f aca="false">IF(R32-$C32&lt;&gt;0,R32-$C32,"")</f>
        <v>0.02</v>
      </c>
      <c r="T32" s="92"/>
      <c r="U32" s="93" t="n">
        <f aca="false">IF(T32-$C32&lt;&gt;0,T32-$C32,"")</f>
        <v>-3.77</v>
      </c>
      <c r="V32" s="92" t="n">
        <f aca="false">C32-0.115</f>
        <v>3.655</v>
      </c>
      <c r="W32" s="93" t="n">
        <f aca="false">IF(V32-$C32&lt;&gt;0,V32-$C32,"")</f>
        <v>-0.115</v>
      </c>
      <c r="X32" s="92" t="n">
        <f aca="false">C32-0.17</f>
        <v>3.6</v>
      </c>
      <c r="Y32" s="93" t="n">
        <f aca="false">IF(X32-$C32&lt;&gt;0,X32-$C32,"")</f>
        <v>-0.17</v>
      </c>
      <c r="Z32" s="92"/>
      <c r="AA32" s="93" t="n">
        <f aca="false">IF(Z32-$C32&lt;&gt;0,Z32-$C32,"")</f>
        <v>-3.77</v>
      </c>
      <c r="AB32" s="92"/>
      <c r="AC32" s="93" t="n">
        <f aca="false">IF(AB32-$C32&lt;&gt;0,AB32-$C32,"")</f>
        <v>-3.77</v>
      </c>
      <c r="AD32" s="92"/>
      <c r="AE32" s="93" t="n">
        <f aca="false">IF(AD32-$C32&lt;&gt;0,AD32-$C32,"")</f>
        <v>-3.77</v>
      </c>
      <c r="AF32" s="92" t="n">
        <f aca="false">C32+0.04</f>
        <v>3.81</v>
      </c>
      <c r="AG32" s="93" t="n">
        <f aca="false">IF(AF32-$C32&lt;&gt;0,AF32-$C32,"")</f>
        <v>0.04</v>
      </c>
      <c r="AH32" s="92"/>
      <c r="AI32" s="93" t="n">
        <f aca="false">IF(AH32-$C32&lt;&gt;0,AH32-$C32,"")</f>
        <v>-3.77</v>
      </c>
      <c r="AJ32" s="92"/>
      <c r="AK32" s="93" t="n">
        <f aca="false">IF(AJ32-$C32&lt;&gt;0,AJ32-$C32,"")</f>
        <v>-3.77</v>
      </c>
      <c r="AL32" s="92"/>
      <c r="AM32" s="93" t="n">
        <f aca="false">IF(AL32-$C32&lt;&gt;0,AL32-$C32,"")</f>
        <v>-3.77</v>
      </c>
      <c r="AN32" s="92"/>
      <c r="AO32" s="93" t="n">
        <f aca="false">IF(AN32-$C32&lt;&gt;0,AN32-$C32,"")</f>
        <v>-3.77</v>
      </c>
      <c r="AP32" s="92"/>
      <c r="AQ32" s="93" t="n">
        <f aca="false">IF(AP32-$C32&lt;&gt;0,AP32-$C32,"")</f>
        <v>-3.77</v>
      </c>
      <c r="AR32" s="92"/>
      <c r="AS32" s="93" t="n">
        <f aca="false">IF(AR32-$C32&lt;&gt;0,AR32-$C32,"")</f>
        <v>-3.77</v>
      </c>
      <c r="AT32" s="92"/>
      <c r="AU32" s="93" t="n">
        <f aca="false">IF(AT32-$C32&lt;&gt;0,AT32-$C32,"")</f>
        <v>-3.77</v>
      </c>
    </row>
    <row r="33" customFormat="false" ht="12.75" hidden="false" customHeight="false" outlineLevel="0" collapsed="false">
      <c r="A33" s="90" t="n">
        <v>30</v>
      </c>
      <c r="B33" s="91" t="s">
        <v>567</v>
      </c>
      <c r="C33" s="92" t="n">
        <f aca="false">Summary!$D$2</f>
        <v>3.77</v>
      </c>
      <c r="D33" s="92"/>
      <c r="E33" s="93" t="n">
        <f aca="false">IF(D33-$C33&lt;&gt;0,D33-$C33,"")</f>
        <v>-3.77</v>
      </c>
      <c r="F33" s="92"/>
      <c r="G33" s="93" t="n">
        <f aca="false">IF(F33-$C33&lt;&gt;0,F33-$C33,"")</f>
        <v>-3.77</v>
      </c>
      <c r="H33" s="92" t="n">
        <v>0</v>
      </c>
      <c r="I33" s="93" t="n">
        <f aca="false">IF(H33-$C33&lt;&gt;0,H33-$C33,"")</f>
        <v>-3.77</v>
      </c>
      <c r="J33" s="92"/>
      <c r="K33" s="93" t="n">
        <f aca="false">IF(J33-$C33&lt;&gt;0,J33-$C33,"")</f>
        <v>-3.77</v>
      </c>
      <c r="L33" s="92"/>
      <c r="M33" s="93" t="n">
        <f aca="false">IF(L33-$C33&lt;&gt;0,L33-$C33,"")</f>
        <v>-3.77</v>
      </c>
      <c r="N33" s="92" t="n">
        <f aca="false">C33-0.15</f>
        <v>3.62</v>
      </c>
      <c r="O33" s="93" t="n">
        <f aca="false">IF(N33-$C33&lt;&gt;0,N33-$C33,"")</f>
        <v>-0.15</v>
      </c>
      <c r="P33" s="92"/>
      <c r="Q33" s="93" t="n">
        <f aca="false">IF(P33-$C33&lt;&gt;0,P33-$C33,"")</f>
        <v>-3.77</v>
      </c>
      <c r="R33" s="95" t="n">
        <f aca="false">C33+0.02</f>
        <v>3.79</v>
      </c>
      <c r="S33" s="93" t="n">
        <f aca="false">IF(R33-$C33&lt;&gt;0,R33-$C33,"")</f>
        <v>0.02</v>
      </c>
      <c r="T33" s="92"/>
      <c r="U33" s="93" t="n">
        <f aca="false">IF(T33-$C33&lt;&gt;0,T33-$C33,"")</f>
        <v>-3.77</v>
      </c>
      <c r="V33" s="92" t="n">
        <f aca="false">C33-0.115</f>
        <v>3.655</v>
      </c>
      <c r="W33" s="93" t="n">
        <f aca="false">IF(V33-$C33&lt;&gt;0,V33-$C33,"")</f>
        <v>-0.115</v>
      </c>
      <c r="X33" s="92" t="n">
        <f aca="false">C33-0.17</f>
        <v>3.6</v>
      </c>
      <c r="Y33" s="93" t="n">
        <f aca="false">IF(X33-$C33&lt;&gt;0,X33-$C33,"")</f>
        <v>-0.17</v>
      </c>
      <c r="Z33" s="92" t="n">
        <v>0</v>
      </c>
      <c r="AA33" s="93" t="n">
        <f aca="false">IF(Z33-$C33&lt;&gt;0,Z33-$C33,"")</f>
        <v>-3.77</v>
      </c>
      <c r="AB33" s="92"/>
      <c r="AC33" s="93" t="n">
        <f aca="false">IF(AB33-$C33&lt;&gt;0,AB33-$C33,"")</f>
        <v>-3.77</v>
      </c>
      <c r="AD33" s="92"/>
      <c r="AE33" s="93" t="n">
        <f aca="false">IF(AD33-$C33&lt;&gt;0,AD33-$C33,"")</f>
        <v>-3.77</v>
      </c>
      <c r="AF33" s="92" t="n">
        <f aca="false">C33+0.04</f>
        <v>3.81</v>
      </c>
      <c r="AG33" s="93" t="n">
        <f aca="false">IF(AF33-$C33&lt;&gt;0,AF33-$C33,"")</f>
        <v>0.04</v>
      </c>
      <c r="AH33" s="92"/>
      <c r="AI33" s="93" t="n">
        <f aca="false">IF(AH33-$C33&lt;&gt;0,AH33-$C33,"")</f>
        <v>-3.77</v>
      </c>
      <c r="AJ33" s="92"/>
      <c r="AK33" s="93" t="n">
        <f aca="false">IF(AJ33-$C33&lt;&gt;0,AJ33-$C33,"")</f>
        <v>-3.77</v>
      </c>
      <c r="AL33" s="92" t="n">
        <v>0</v>
      </c>
      <c r="AM33" s="93" t="n">
        <f aca="false">IF(AL33-$C33&lt;&gt;0,AL33-$C33,"")</f>
        <v>-3.77</v>
      </c>
      <c r="AN33" s="92"/>
      <c r="AO33" s="93" t="n">
        <f aca="false">IF(AN33-$C33&lt;&gt;0,AN33-$C33,"")</f>
        <v>-3.77</v>
      </c>
      <c r="AP33" s="92"/>
      <c r="AQ33" s="93" t="n">
        <f aca="false">IF(AP33-$C33&lt;&gt;0,AP33-$C33,"")</f>
        <v>-3.77</v>
      </c>
      <c r="AR33" s="92"/>
      <c r="AS33" s="93" t="n">
        <f aca="false">IF(AR33-$C33&lt;&gt;0,AR33-$C33,"")</f>
        <v>-3.77</v>
      </c>
      <c r="AT33" s="92"/>
      <c r="AU33" s="93" t="n">
        <f aca="false">IF(AT33-$C33&lt;&gt;0,AT33-$C33,"")</f>
        <v>-3.77</v>
      </c>
    </row>
    <row r="34" customFormat="false" ht="12.75" hidden="false" customHeight="false" outlineLevel="0" collapsed="false">
      <c r="A34" s="90" t="n">
        <v>31</v>
      </c>
      <c r="B34" s="101" t="s">
        <v>568</v>
      </c>
      <c r="C34" s="92"/>
      <c r="D34" s="92"/>
      <c r="E34" s="93" t="str">
        <f aca="false">IF(D34-$C34&lt;&gt;0,D34-$C34,"")</f>
        <v/>
      </c>
      <c r="F34" s="92"/>
      <c r="G34" s="93" t="str">
        <f aca="false">IF(F34-$C34&lt;&gt;0,F34-$C34,"")</f>
        <v/>
      </c>
      <c r="H34" s="92" t="n">
        <v>0</v>
      </c>
      <c r="I34" s="93" t="str">
        <f aca="false">IF(H34-$C34&lt;&gt;0,H34-$C34,"")</f>
        <v/>
      </c>
      <c r="J34" s="92" t="n">
        <f aca="false">C34-0.06</f>
        <v>-0.06</v>
      </c>
      <c r="K34" s="93" t="n">
        <f aca="false">IF(J34-$C34&lt;&gt;0,J34-$C34,"")</f>
        <v>-0.06</v>
      </c>
      <c r="L34" s="92" t="n">
        <v>0</v>
      </c>
      <c r="M34" s="93" t="str">
        <f aca="false">IF(L34-$C34&lt;&gt;0,L34-$C34,"")</f>
        <v/>
      </c>
      <c r="N34" s="92" t="n">
        <f aca="false">C34-0.06</f>
        <v>-0.06</v>
      </c>
      <c r="O34" s="93" t="n">
        <f aca="false">IF(N34-$C34&lt;&gt;0,N34-$C34,"")</f>
        <v>-0.06</v>
      </c>
      <c r="P34" s="92"/>
      <c r="Q34" s="93" t="str">
        <f aca="false">IF(P34-$C34&lt;&gt;0,P34-$C34,"")</f>
        <v/>
      </c>
      <c r="R34" s="95" t="n">
        <f aca="false">C34+0.02</f>
        <v>0.02</v>
      </c>
      <c r="S34" s="93" t="n">
        <f aca="false">IF(R34-$C34&lt;&gt;0,R34-$C34,"")</f>
        <v>0.02</v>
      </c>
      <c r="T34" s="92" t="n">
        <v>0</v>
      </c>
      <c r="U34" s="93" t="str">
        <f aca="false">IF(T34-$C34&lt;&gt;0,T34-$C34,"")</f>
        <v/>
      </c>
      <c r="V34" s="92" t="n">
        <f aca="false">C34-0.115</f>
        <v>-0.115</v>
      </c>
      <c r="W34" s="93" t="n">
        <f aca="false">IF(V34-$C34&lt;&gt;0,V34-$C34,"")</f>
        <v>-0.115</v>
      </c>
      <c r="X34" s="92" t="n">
        <f aca="false">C34-0.2</f>
        <v>-0.2</v>
      </c>
      <c r="Y34" s="93" t="n">
        <f aca="false">IF(X34-$C34&lt;&gt;0,X34-$C34,"")</f>
        <v>-0.2</v>
      </c>
      <c r="Z34" s="92" t="n">
        <v>0</v>
      </c>
      <c r="AA34" s="93" t="str">
        <f aca="false">IF(Z34-$C34&lt;&gt;0,Z34-$C34,"")</f>
        <v/>
      </c>
      <c r="AB34" s="92" t="n">
        <v>0</v>
      </c>
      <c r="AC34" s="93" t="str">
        <f aca="false">IF(AB34-$C34&lt;&gt;0,AB34-$C34,"")</f>
        <v/>
      </c>
      <c r="AD34" s="92" t="n">
        <v>0</v>
      </c>
      <c r="AE34" s="93" t="str">
        <f aca="false">IF(AD34-$C34&lt;&gt;0,AD34-$C34,"")</f>
        <v/>
      </c>
      <c r="AF34" s="92" t="n">
        <f aca="false">C34+0.04</f>
        <v>0.04</v>
      </c>
      <c r="AG34" s="93" t="n">
        <f aca="false">IF(AF34-$C34&lt;&gt;0,AF34-$C34,"")</f>
        <v>0.04</v>
      </c>
      <c r="AH34" s="92" t="n">
        <v>0</v>
      </c>
      <c r="AI34" s="93" t="str">
        <f aca="false">IF(AH34-$C34&lt;&gt;0,AH34-$C34,"")</f>
        <v/>
      </c>
      <c r="AJ34" s="92" t="n">
        <v>0</v>
      </c>
      <c r="AK34" s="93" t="str">
        <f aca="false">IF(AJ34-$C34&lt;&gt;0,AJ34-$C34,"")</f>
        <v/>
      </c>
      <c r="AL34" s="92" t="n">
        <v>0</v>
      </c>
      <c r="AM34" s="93" t="str">
        <f aca="false">IF(AL34-$C34&lt;&gt;0,AL34-$C34,"")</f>
        <v/>
      </c>
      <c r="AN34" s="92"/>
      <c r="AO34" s="93" t="str">
        <f aca="false">IF(AN34-$C34&lt;&gt;0,AN34-$C34,"")</f>
        <v/>
      </c>
      <c r="AP34" s="92"/>
      <c r="AQ34" s="93" t="str">
        <f aca="false">IF(AP34-$C34&lt;&gt;0,AP34-$C34,"")</f>
        <v/>
      </c>
      <c r="AR34" s="92"/>
      <c r="AS34" s="93" t="str">
        <f aca="false">IF(AR34-$C34&lt;&gt;0,AR34-$C34,"")</f>
        <v/>
      </c>
      <c r="AT34" s="92" t="n">
        <v>0</v>
      </c>
      <c r="AU34" s="93" t="str">
        <f aca="false">IF(AT34-$C34&lt;&gt;0,AT34-$C34,"")</f>
        <v/>
      </c>
    </row>
    <row r="35" customFormat="false" ht="12.75" hidden="false" customHeight="false" outlineLevel="0" collapsed="false">
      <c r="D35" s="102"/>
      <c r="E35" s="103"/>
      <c r="F35" s="104"/>
      <c r="G35" s="103"/>
      <c r="H35" s="102"/>
      <c r="I35" s="103"/>
      <c r="J35" s="102"/>
      <c r="K35" s="103"/>
      <c r="L35" s="102"/>
      <c r="M35" s="103"/>
      <c r="N35" s="102"/>
      <c r="O35" s="103"/>
      <c r="P35" s="105"/>
      <c r="Q35" s="103"/>
      <c r="R35" s="105"/>
      <c r="S35" s="103"/>
      <c r="T35" s="106"/>
      <c r="U35" s="103"/>
      <c r="V35" s="106"/>
      <c r="W35" s="103"/>
      <c r="X35" s="102"/>
      <c r="Y35" s="103"/>
      <c r="Z35" s="102"/>
      <c r="AA35" s="103"/>
      <c r="AB35" s="102"/>
      <c r="AC35" s="103"/>
      <c r="AD35" s="102"/>
      <c r="AE35" s="103"/>
      <c r="AF35" s="102"/>
      <c r="AG35" s="103"/>
      <c r="AH35" s="102"/>
      <c r="AI35" s="103"/>
      <c r="AJ35" s="102"/>
      <c r="AK35" s="103"/>
      <c r="AL35" s="102"/>
      <c r="AM35" s="103"/>
      <c r="AN35" s="102"/>
      <c r="AO35" s="103"/>
      <c r="AP35" s="102"/>
      <c r="AQ35" s="103"/>
      <c r="AR35" s="102"/>
      <c r="AS35" s="103"/>
      <c r="AT35" s="102"/>
      <c r="AU35" s="103"/>
    </row>
    <row r="36" customFormat="false" ht="12.75" hidden="false" customHeight="false" outlineLevel="0" collapsed="false">
      <c r="A36" s="107" t="s">
        <v>569</v>
      </c>
      <c r="C36" s="108" t="n">
        <f aca="false">AVERAGE(C4:C34)</f>
        <v>3.7565</v>
      </c>
      <c r="D36" s="108" t="n">
        <f aca="false">AVERAGE(D4:D34)</f>
        <v>3.6725</v>
      </c>
      <c r="E36" s="109"/>
      <c r="F36" s="108" t="n">
        <f aca="false">AVERAGE(F4:F34)</f>
        <v>3.75833333333333</v>
      </c>
      <c r="G36" s="109"/>
      <c r="H36" s="108" t="n">
        <f aca="false">AVERAGE(H4:H34)</f>
        <v>2.8025</v>
      </c>
      <c r="I36" s="109"/>
      <c r="J36" s="108" t="n">
        <f aca="false">AVERAGE(J4:J34)</f>
        <v>3.19642857142857</v>
      </c>
      <c r="K36" s="109"/>
      <c r="L36" s="108" t="n">
        <f aca="false">AVERAGE(L4:L34)</f>
        <v>3.17571428571429</v>
      </c>
      <c r="M36" s="109"/>
      <c r="N36" s="108" t="n">
        <f aca="false">AVERAGE(N4:N34)</f>
        <v>3.198125</v>
      </c>
      <c r="O36" s="109"/>
      <c r="P36" s="108" t="n">
        <f aca="false">AVERAGE(P4:P34)</f>
        <v>3.68833333333333</v>
      </c>
      <c r="Q36" s="109"/>
      <c r="R36" s="108" t="n">
        <f aca="false">AVERAGE(R4:R34)</f>
        <v>3.65322580645161</v>
      </c>
      <c r="S36" s="109"/>
      <c r="T36" s="108" t="n">
        <f aca="false">AVERAGE(T4:T34)</f>
        <v>3.21142857142857</v>
      </c>
      <c r="U36" s="109"/>
      <c r="V36" s="108" t="n">
        <f aca="false">AVERAGE(V4:V34)</f>
        <v>3.50709677419355</v>
      </c>
      <c r="W36" s="109"/>
      <c r="X36" s="108" t="n">
        <f aca="false">AVERAGE(X4:X34)</f>
        <v>3.4501724137931</v>
      </c>
      <c r="Y36" s="109"/>
      <c r="Z36" s="108" t="n">
        <f aca="false">AVERAGE(Z4:Z34)</f>
        <v>2.815625</v>
      </c>
      <c r="AA36" s="109"/>
      <c r="AB36" s="108" t="n">
        <f aca="false">AVERAGE(AB4:AB34)</f>
        <v>3.17785714285714</v>
      </c>
      <c r="AC36" s="109"/>
      <c r="AD36" s="108" t="n">
        <f aca="false">AVERAGE(AD4:AD34)</f>
        <v>3.16785714285714</v>
      </c>
      <c r="AE36" s="109"/>
      <c r="AF36" s="108" t="n">
        <f aca="false">AVERAGE(AF4:AF34)</f>
        <v>3.67838709677419</v>
      </c>
      <c r="AG36" s="109"/>
      <c r="AH36" s="108" t="n">
        <f aca="false">AVERAGE(AH4:AH34)</f>
        <v>3.31</v>
      </c>
      <c r="AI36" s="109"/>
      <c r="AJ36" s="108" t="n">
        <f aca="false">AVERAGE(AJ4:AJ34)</f>
        <v>3.39857142857143</v>
      </c>
      <c r="AK36" s="109"/>
      <c r="AL36" s="108" t="n">
        <f aca="false">AVERAGE(AL4:AL34)</f>
        <v>3.003125</v>
      </c>
      <c r="AM36" s="109"/>
      <c r="AN36" s="108" t="n">
        <f aca="false">AVERAGE(AN4:AN34)</f>
        <v>3.95333333333333</v>
      </c>
      <c r="AO36" s="109"/>
      <c r="AP36" s="108" t="n">
        <f aca="false">AVERAGE(AP4:AP34)</f>
        <v>4.01333333333333</v>
      </c>
      <c r="AQ36" s="109"/>
      <c r="AR36" s="108" t="n">
        <f aca="false">AVERAGE(AR4:AR34)</f>
        <v>4.02083333333333</v>
      </c>
      <c r="AS36" s="109"/>
      <c r="AT36" s="108" t="n">
        <f aca="false">AVERAGE(AT4:AT34)</f>
        <v>3.27357142857143</v>
      </c>
      <c r="AU36" s="109"/>
    </row>
    <row r="37" customFormat="false" ht="12.75" hidden="false" customHeight="false" outlineLevel="0" collapsed="false">
      <c r="A37" s="110" t="s">
        <v>570</v>
      </c>
      <c r="C37" s="108" t="n">
        <f aca="false">+C36-(+$C$36)</f>
        <v>0</v>
      </c>
      <c r="D37" s="108" t="n">
        <f aca="false">+D36-(+$C$36)</f>
        <v>-0.0840000000000005</v>
      </c>
      <c r="E37" s="109"/>
      <c r="F37" s="108" t="n">
        <f aca="false">+F36-(+$C$36)</f>
        <v>0.00183333333333291</v>
      </c>
      <c r="G37" s="109"/>
      <c r="H37" s="108" t="n">
        <f aca="false">+H36-(+$C$36)</f>
        <v>-0.954</v>
      </c>
      <c r="I37" s="109"/>
      <c r="J37" s="108" t="n">
        <f aca="false">+J36-(+$C$36)</f>
        <v>-0.560071428571429</v>
      </c>
      <c r="K37" s="109"/>
      <c r="L37" s="108" t="n">
        <f aca="false">+L36-(+$C$36)</f>
        <v>-0.580785714285715</v>
      </c>
      <c r="M37" s="109"/>
      <c r="N37" s="108" t="n">
        <f aca="false">+N36-(+$C$36)</f>
        <v>-0.558375</v>
      </c>
      <c r="O37" s="109"/>
      <c r="P37" s="108" t="n">
        <f aca="false">+P36-(+$C$36)</f>
        <v>-0.0681666666666674</v>
      </c>
      <c r="Q37" s="109"/>
      <c r="R37" s="108" t="n">
        <f aca="false">+R36-(+$C$36)</f>
        <v>-0.103274193548387</v>
      </c>
      <c r="S37" s="109"/>
      <c r="T37" s="108" t="n">
        <f aca="false">+T36-(+$C$36)</f>
        <v>-0.545071428571429</v>
      </c>
      <c r="U37" s="109"/>
      <c r="V37" s="108" t="n">
        <f aca="false">+V36-(+$C$36)</f>
        <v>-0.249403225806452</v>
      </c>
      <c r="W37" s="109"/>
      <c r="X37" s="108" t="n">
        <f aca="false">+X36-(+$C$36)</f>
        <v>-0.306327586206897</v>
      </c>
      <c r="Y37" s="109"/>
      <c r="Z37" s="108" t="n">
        <f aca="false">+Z36-(+$C$36)</f>
        <v>-0.940875000000001</v>
      </c>
      <c r="AA37" s="109"/>
      <c r="AB37" s="108" t="n">
        <f aca="false">+AB36-(+$C$36)</f>
        <v>-0.578642857142858</v>
      </c>
      <c r="AC37" s="109"/>
      <c r="AD37" s="108" t="n">
        <f aca="false">+AD36-(+$C$36)</f>
        <v>-0.588642857142857</v>
      </c>
      <c r="AE37" s="109"/>
      <c r="AF37" s="108" t="n">
        <f aca="false">+AF36-(+$C$36)</f>
        <v>-0.078112903225807</v>
      </c>
      <c r="AG37" s="109"/>
      <c r="AH37" s="108" t="n">
        <f aca="false">+AH36-(+$C$36)</f>
        <v>-0.4465</v>
      </c>
      <c r="AI37" s="109"/>
      <c r="AJ37" s="108" t="n">
        <f aca="false">+AJ36-(+$C$36)</f>
        <v>-0.357928571428572</v>
      </c>
      <c r="AK37" s="109"/>
      <c r="AL37" s="108" t="n">
        <f aca="false">+AL36-(+$C$36)</f>
        <v>-0.753375000000001</v>
      </c>
      <c r="AM37" s="109"/>
      <c r="AN37" s="108" t="n">
        <f aca="false">+AN36-(+$C$36)</f>
        <v>0.196833333333333</v>
      </c>
      <c r="AO37" s="109"/>
      <c r="AP37" s="108" t="n">
        <f aca="false">+AP36-(+$C$36)</f>
        <v>0.256833333333333</v>
      </c>
      <c r="AQ37" s="109"/>
      <c r="AR37" s="108" t="n">
        <f aca="false">+AR36-(+$C$36)</f>
        <v>0.264333333333333</v>
      </c>
      <c r="AS37" s="109"/>
      <c r="AT37" s="108" t="n">
        <f aca="false">+AT36-(+$C$36)</f>
        <v>-0.482928571428572</v>
      </c>
      <c r="AU37" s="109"/>
    </row>
    <row r="38" customFormat="false" ht="12.75" hidden="false" customHeight="false" outlineLevel="0" collapsed="false">
      <c r="A38" s="110" t="s">
        <v>571</v>
      </c>
      <c r="C38" s="108" t="n">
        <f aca="false">-C4+C36</f>
        <v>0.0265000000000004</v>
      </c>
      <c r="D38" s="108" t="n">
        <f aca="false">-D4+D36</f>
        <v>3.6725</v>
      </c>
      <c r="E38" s="109"/>
      <c r="F38" s="108" t="n">
        <f aca="false">-F4+F36</f>
        <v>3.75833333333333</v>
      </c>
      <c r="G38" s="109"/>
      <c r="H38" s="108" t="n">
        <f aca="false">-H4+H36</f>
        <v>2.8025</v>
      </c>
      <c r="I38" s="109"/>
      <c r="J38" s="108" t="n">
        <f aca="false">-J4+J36</f>
        <v>3.19642857142857</v>
      </c>
      <c r="K38" s="109"/>
      <c r="L38" s="108" t="n">
        <f aca="false">-L4+L36</f>
        <v>3.17571428571429</v>
      </c>
      <c r="M38" s="109"/>
      <c r="N38" s="108" t="n">
        <f aca="false">-N4+N36</f>
        <v>3.198125</v>
      </c>
      <c r="O38" s="109"/>
      <c r="P38" s="108" t="n">
        <f aca="false">-P4+P36</f>
        <v>3.68833333333333</v>
      </c>
      <c r="Q38" s="109"/>
      <c r="R38" s="108" t="n">
        <f aca="false">-R4+R36</f>
        <v>-0.176774193548387</v>
      </c>
      <c r="S38" s="109"/>
      <c r="T38" s="108" t="n">
        <f aca="false">-T4+T36</f>
        <v>3.21142857142857</v>
      </c>
      <c r="U38" s="109"/>
      <c r="V38" s="108" t="n">
        <f aca="false">-V4+V36</f>
        <v>-0.122903225806452</v>
      </c>
      <c r="W38" s="109"/>
      <c r="X38" s="108" t="n">
        <f aca="false">-X4+X36</f>
        <v>3.4501724137931</v>
      </c>
      <c r="Y38" s="109"/>
      <c r="Z38" s="108" t="n">
        <f aca="false">-Z4+Z36</f>
        <v>2.815625</v>
      </c>
      <c r="AA38" s="109"/>
      <c r="AB38" s="108" t="n">
        <f aca="false">-AB4+AB36</f>
        <v>3.17785714285714</v>
      </c>
      <c r="AC38" s="109"/>
      <c r="AD38" s="108" t="n">
        <f aca="false">-AD4+AD36</f>
        <v>3.16785714285714</v>
      </c>
      <c r="AE38" s="109"/>
      <c r="AF38" s="108" t="n">
        <f aca="false">-AF4+AF36</f>
        <v>-0.151612903225807</v>
      </c>
      <c r="AG38" s="109"/>
      <c r="AH38" s="108" t="n">
        <f aca="false">-AH4+AH36</f>
        <v>3.31</v>
      </c>
      <c r="AI38" s="109"/>
      <c r="AJ38" s="108" t="n">
        <f aca="false">-AJ4+AJ36</f>
        <v>3.39857142857143</v>
      </c>
      <c r="AK38" s="109"/>
      <c r="AL38" s="108" t="n">
        <f aca="false">-AL4+AL36</f>
        <v>3.003125</v>
      </c>
      <c r="AM38" s="109"/>
      <c r="AN38" s="108" t="n">
        <f aca="false">-AN4+AN36</f>
        <v>3.95333333333333</v>
      </c>
      <c r="AO38" s="109"/>
      <c r="AP38" s="108" t="n">
        <f aca="false">-AP4+AP36</f>
        <v>4.01333333333333</v>
      </c>
      <c r="AQ38" s="109"/>
      <c r="AR38" s="108" t="n">
        <f aca="false">-AR4+AR36</f>
        <v>4.02083333333333</v>
      </c>
      <c r="AS38" s="109"/>
      <c r="AT38" s="108" t="n">
        <f aca="false">-AT4+AT36</f>
        <v>3.27357142857143</v>
      </c>
      <c r="AU38" s="109"/>
    </row>
    <row r="39" customFormat="false" ht="12.75" hidden="false" customHeight="false" outlineLevel="0" collapsed="false">
      <c r="A39" s="111" t="s">
        <v>572</v>
      </c>
      <c r="C39" s="112" t="n">
        <f aca="true">((INDIRECT(C$56&amp;ROW(C$4)-1+COUNTA(C$4:C$34)))+(INDIRECT(C$56&amp;ROW(C$4)-2+COUNTA(C$4:C$34)))+(INDIRECT(C$56&amp;ROW(C$4)-3+COUNTA(C$4:C$34))))/3</f>
        <v>3.77</v>
      </c>
      <c r="D39" s="112" t="n">
        <f aca="true">((INDIRECT(D$56&amp;ROW(D$4)-1+COUNTA(D$4:D$34)))+(INDIRECT(D$56&amp;ROW(D$4)-2+COUNTA(D$4:D$34)))+(INDIRECT(D$56&amp;ROW(D$4)-3+COUNTA(D$4:D$34))))/3</f>
        <v>3.755</v>
      </c>
      <c r="E39" s="109"/>
      <c r="F39" s="112" t="n">
        <f aca="true">((INDIRECT(F$56&amp;ROW(F$4)-1+COUNTA(F$4:F$34)))+(INDIRECT(F$56&amp;ROW(F$4)-2+COUNTA(F$4:F$34)))+(INDIRECT(F$56&amp;ROW(F$4)-3+COUNTA(F$4:F$34))))/3</f>
        <v>3.84333333333333</v>
      </c>
      <c r="G39" s="109"/>
      <c r="H39" s="112" t="n">
        <f aca="true">((INDIRECT(F$56&amp;ROW(H$4)-1+COUNTA(H$4:H$34)))+(INDIRECT(F$56&amp;ROW(H$4)-2+COUNTA(H$4:H$34)))+(INDIRECT(F$56&amp;ROW(H$4)-3+COUNTA(H$4:H$34))))/3</f>
        <v>2.56333333333333</v>
      </c>
      <c r="I39" s="109"/>
      <c r="J39" s="112" t="n">
        <f aca="true">((INDIRECT(J$56&amp;ROW(J$4)-1+COUNTA(J$4:J$34)))+(INDIRECT(J$56&amp;ROW(J$4)-2+COUNTA(J$4:J$34)))+(INDIRECT(J$56&amp;ROW(J$4)-3+COUNTA(J$4:J$34))))/3</f>
        <v>3.83333333333333</v>
      </c>
      <c r="K39" s="109"/>
      <c r="L39" s="112" t="n">
        <f aca="true">((INDIRECT(J$56&amp;ROW(N$4)-1+COUNTA(L$4:L$34)))+(INDIRECT(J$56&amp;ROW(N$4)-2+COUNTA(L$4:L$34)))+(INDIRECT(J$56&amp;ROW(N$4)-3+COUNTA(L$4:L$34))))/3</f>
        <v>3.83333333333333</v>
      </c>
      <c r="M39" s="109"/>
      <c r="N39" s="112" t="n">
        <f aca="true">((INDIRECT(J$56&amp;ROW(N$4)-1+COUNTA(N$4:N$34)))+(INDIRECT(J$56&amp;ROW(N$4)-2+COUNTA(N$4:N$34)))+(INDIRECT(J$56&amp;ROW(N$4)-3+COUNTA(N$4:N$34))))/3</f>
        <v>2.53666666666667</v>
      </c>
      <c r="O39" s="109"/>
      <c r="P39" s="112" t="n">
        <f aca="true">((INDIRECT(N$56&amp;ROW(R$4)-1+COUNTA(P$4:P$34)))+(INDIRECT(N$56&amp;ROW(R$4)-2+COUNTA(P$4:P$34)))+(INDIRECT(N$56&amp;ROW(R$4)-3+COUNTA(P$4:P$34))))/3</f>
        <v>3.82833333333333</v>
      </c>
      <c r="Q39" s="109"/>
      <c r="R39" s="112" t="n">
        <f aca="true">((INDIRECT(R$56&amp;ROW(R$4)-1+COUNTA(R$4:R$34)))+(INDIRECT(R$56&amp;ROW(R$4)-2+COUNTA(R$4:R$34)))+(INDIRECT(R$56&amp;ROW(R$4)-3+COUNTA(R$4:R$34))))/3</f>
        <v>0</v>
      </c>
      <c r="S39" s="109"/>
      <c r="T39" s="112" t="n">
        <f aca="true">((INDIRECT(R$56&amp;ROW(V$4)-1+COUNTA(T$4:T$34)))+(INDIRECT(R$56&amp;ROW(V$4)-2+COUNTA(T$4:T$34)))+(INDIRECT(R$56&amp;ROW(V$4)-3+COUNTA(T$4:T$34))))/3</f>
        <v>3.82</v>
      </c>
      <c r="U39" s="109"/>
      <c r="V39" s="112" t="n">
        <f aca="true">((INDIRECT(V$56&amp;ROW(V$4)-1+COUNTA(V$4:V$34)))+(INDIRECT(V$56&amp;ROW(V$4)-2+COUNTA(V$4:V$34)))+(INDIRECT(V$56&amp;ROW(V$4)-3+COUNTA(V$4:V$34))))/3</f>
        <v>1.18666666666667</v>
      </c>
      <c r="W39" s="109"/>
      <c r="X39" s="112" t="n">
        <f aca="true">((INDIRECT(V$56&amp;ROW(Z$4)-1+COUNTA(X$4:X$34)))+(INDIRECT(V$56&amp;ROW(Z$4)-2+COUNTA(X$4:X$34)))+(INDIRECT(V$56&amp;ROW(Z$4)-3+COUNTA(X$4:X$34))))/3</f>
        <v>0</v>
      </c>
      <c r="Y39" s="109"/>
      <c r="Z39" s="112" t="n">
        <f aca="true">((INDIRECT(Z$56&amp;ROW(Z$4)-1+COUNTA(Z$4:Z$34)))+(INDIRECT(Z$56&amp;ROW(Z$4)-2+COUNTA(Z$4:Z$34)))+(INDIRECT(Z$56&amp;ROW(Z$4)-3+COUNTA(Z$4:Z$34))))/3</f>
        <v>2.515</v>
      </c>
      <c r="AA39" s="109"/>
      <c r="AB39" s="112" t="n">
        <f aca="true">((INDIRECT(Z$56&amp;ROW(AD$4)-1+COUNTA(AB$4:AB$34)))+(INDIRECT(Z$56&amp;ROW(AD$4)-2+COUNTA(AB$4:AB$34)))+(INDIRECT(Z$56&amp;ROW(AD$4)-3+COUNTA(AB$4:AB$34))))/3</f>
        <v>3.79166666666667</v>
      </c>
      <c r="AC39" s="109"/>
      <c r="AD39" s="112" t="n">
        <f aca="true">((INDIRECT(AD$56&amp;ROW(AD$4)-1+COUNTA(AD$4:AD$34)))+(INDIRECT(AD$56&amp;ROW(AD$4)-2+COUNTA(AD$4:AD$34)))+(INDIRECT(AD$56&amp;ROW(AD$4)-3+COUNTA(AD$4:AD$34))))/3</f>
        <v>3.92</v>
      </c>
      <c r="AE39" s="109"/>
      <c r="AF39" s="112" t="n">
        <f aca="true">((INDIRECT(AD$56&amp;ROW(AH$4)-1+COUNTA(AF$4:AF$34)))+(INDIRECT(AD$56&amp;ROW(AH$4)-2+COUNTA(AF$4:AF$34)))+(INDIRECT(AD$56&amp;ROW(AH$4)-3+COUNTA(AF$4:AF$34))))/3</f>
        <v>2.53333333333333</v>
      </c>
      <c r="AG39" s="109"/>
      <c r="AH39" s="112" t="n">
        <f aca="true">((INDIRECT(AH$56&amp;ROW(AH$4)-1+COUNTA(AH$4:AH$34)))+(INDIRECT(AH$56&amp;ROW(AH$4)-2+COUNTA(AH$4:AH$34)))+(INDIRECT(AH$56&amp;ROW(AH$4)-3+COUNTA(AH$4:AH$34))))/3</f>
        <v>3.83833333333333</v>
      </c>
      <c r="AI39" s="109"/>
      <c r="AJ39" s="112" t="n">
        <f aca="true">((INDIRECT(AH$56&amp;ROW(AL$4)-1+COUNTA(AJ$4:AJ$34)))+(INDIRECT(AH$56&amp;ROW(AL$4)-2+COUNTA(AJ$4:AJ$34)))+(INDIRECT(AH$56&amp;ROW(AL$4)-3+COUNTA(AJ$4:AJ$34))))/3</f>
        <v>3.83833333333333</v>
      </c>
      <c r="AK39" s="109"/>
      <c r="AL39" s="112" t="n">
        <f aca="true">((INDIRECT(AL$56&amp;ROW(AL$4)-1+COUNTA(AL$4:AL$34)))+(INDIRECT(AL$56&amp;ROW(AL$4)-2+COUNTA(AL$4:AL$34)))+(INDIRECT(AL$56&amp;ROW(AL$4)-3+COUNTA(AL$4:AL$34))))/3</f>
        <v>3.72666666666667</v>
      </c>
      <c r="AM39" s="109"/>
      <c r="AN39" s="112" t="n">
        <f aca="true">((INDIRECT(AN$56&amp;ROW(AN$4)-1+COUNTA(AN$4:AN$34)))+(INDIRECT(AN$56&amp;ROW(AN$4)-2+COUNTA(AN$4:AN$34)))+(INDIRECT(AN$56&amp;ROW(AN$4)-3+COUNTA(AN$4:AN$34))))/3</f>
        <v>3.80666666666667</v>
      </c>
      <c r="AO39" s="109"/>
      <c r="AP39" s="112" t="n">
        <f aca="true">((INDIRECT(AP$56&amp;ROW(AP$4)-1+COUNTA(AP$4:AP$34)))+(INDIRECT(AP$56&amp;ROW(AP$4)-2+COUNTA(AP$4:AP$34)))+(INDIRECT(AP$56&amp;ROW(AP$4)-3+COUNTA(AP$4:AP$34))))/3</f>
        <v>3.80666666666667</v>
      </c>
      <c r="AQ39" s="109"/>
      <c r="AR39" s="112" t="n">
        <f aca="true">((INDIRECT(AR$56&amp;ROW(AR$4)-1+COUNTA(AR$4:AR$34)))+(INDIRECT(AR$56&amp;ROW(AR$4)-2+COUNTA(AR$4:AR$34)))+(INDIRECT(AR$56&amp;ROW(AR$4)-3+COUNTA(AR$4:AR$34))))/3</f>
        <v>3.80666666666667</v>
      </c>
      <c r="AS39" s="109"/>
      <c r="AT39" s="112" t="n">
        <f aca="true">((INDIRECT(AT$56&amp;ROW(AT$4)-1+COUNTA(AT$4:AT$34)))+(INDIRECT(AT$56&amp;ROW(AT$4)-2+COUNTA(AT$4:AT$34)))+(INDIRECT(AT$56&amp;ROW(AT$4)-3+COUNTA(AT$4:AT$34))))/3</f>
        <v>3.845</v>
      </c>
      <c r="AU39" s="109"/>
    </row>
    <row r="40" customFormat="false" ht="12.75" hidden="false" customHeight="false" outlineLevel="0" collapsed="false">
      <c r="A40" s="111" t="s">
        <v>573</v>
      </c>
      <c r="C40" s="112" t="n">
        <f aca="true">((INDIRECT(C$56&amp;ROW(C$4)-1+COUNTA(C$4:C$34)))+(INDIRECT(C$56&amp;ROW(C$4)-2+COUNTA(C$4:C$34)))+(INDIRECT(C$56&amp;ROW(C$4)-3+COUNTA(C$4:C$34)))+(INDIRECT(C$56&amp;ROW(C$4)-4+COUNTA(C$4:C$34)))+(INDIRECT(C$56&amp;ROW(C$4)-5+COUNTA(C$4:C$34))))/5</f>
        <v>3.77</v>
      </c>
      <c r="D40" s="112" t="n">
        <f aca="true">((INDIRECT(D$56&amp;ROW(D$4)-1+COUNTA(D$4:D$34)))+(INDIRECT(D$56&amp;ROW(D$4)-2+COUNTA(D$4:D$34)))+(INDIRECT(D$56&amp;ROW(D$4)-3+COUNTA(D$4:D$34)))+(INDIRECT(D$56&amp;ROW(D$4)-4+COUNTA(D$4:D$34)))+(INDIRECT(D$56&amp;ROW(D$4)-5+COUNTA(D$4:D$34))))/5</f>
        <v>3.673</v>
      </c>
      <c r="E40" s="109"/>
      <c r="F40" s="112" t="n">
        <f aca="true">((INDIRECT(F$56&amp;ROW(F$4)-1+COUNTA(F$4:F$34)))+(INDIRECT(F$56&amp;ROW(F$4)-2+COUNTA(F$4:F$34)))+(INDIRECT(F$56&amp;ROW(F$4)-3+COUNTA(F$4:F$34)))+(INDIRECT(F$56&amp;ROW(F$4)-4+COUNTA(F$4:F$34)))+(INDIRECT(F$56&amp;ROW(F$4)-5+COUNTA(F$4:F$34))))/5</f>
        <v>3.766</v>
      </c>
      <c r="G40" s="109"/>
      <c r="H40" s="112" t="n">
        <f aca="true">((INDIRECT(F$56&amp;ROW(H$4)-1+COUNTA(H$4:H$34)))+(INDIRECT(F$56&amp;ROW(H$4)-2+COUNTA(H$4:H$34)))+(INDIRECT(F$56&amp;ROW(H$4)-3+COUNTA(H$4:H$34)))+(INDIRECT(F$56&amp;ROW(H$4)-4+COUNTA(H$4:H$34)))+(INDIRECT(F$56&amp;ROW(H$4)-5+COUNTA(H$4:H$34))))/5</f>
        <v>3.05</v>
      </c>
      <c r="I40" s="109"/>
      <c r="J40" s="112" t="n">
        <f aca="true">((INDIRECT(J$56&amp;ROW(J$4)-1+COUNTA(J$4:J$34)))+(INDIRECT(J$56&amp;ROW(J$4)-2+COUNTA(J$4:J$34)))+(INDIRECT(J$56&amp;ROW(J$4)-3+COUNTA(J$4:J$34)))+(INDIRECT(J$56&amp;ROW(J$4)-4+COUNTA(J$4:J$34)))+(INDIRECT(J$56&amp;ROW(J$4)-5+COUNTA(J$4:J$34))))/5</f>
        <v>3.756</v>
      </c>
      <c r="K40" s="109"/>
      <c r="L40" s="112" t="n">
        <f aca="true">((INDIRECT(J$56&amp;ROW(N$4)-1+COUNTA(L$4:L$34)))+(INDIRECT(J$56&amp;ROW(N$4)-2+COUNTA(L$4:L$34)))+(INDIRECT(J$56&amp;ROW(N$4)-3+COUNTA(L$4:L$34)))+(INDIRECT(J$56&amp;ROW(N$4)-4+COUNTA(L$4:L$34)))+(INDIRECT(J$56&amp;ROW(N$4)-5+COUNTA(L$4:L$34))))/5</f>
        <v>3.756</v>
      </c>
      <c r="M40" s="109"/>
      <c r="N40" s="112" t="n">
        <f aca="true">((INDIRECT(J$56&amp;ROW(N$4)-1+COUNTA(N$4:N$34)))+(INDIRECT(J$56&amp;ROW(N$4)-2+COUNTA(N$4:N$34)))+(INDIRECT(J$56&amp;ROW(N$4)-3+COUNTA(N$4:N$34)))+(INDIRECT(J$56&amp;ROW(N$4)-4+COUNTA(N$4:N$34)))+(INDIRECT(J$56&amp;ROW(N$4)-5+COUNTA(N$4:N$34))))/5</f>
        <v>3.028</v>
      </c>
      <c r="O40" s="109"/>
      <c r="P40" s="112" t="n">
        <f aca="true">((INDIRECT(N$56&amp;ROW(R$4)-1+COUNTA(P$4:P$34)))+(INDIRECT(N$56&amp;ROW(R$4)-2+COUNTA(P$4:P$34)))+(INDIRECT(N$56&amp;ROW(R$4)-3+COUNTA(P$4:P$34)))+(INDIRECT(N$56&amp;ROW(R$4)-4+COUNTA(P$4:P$34)))+(INDIRECT(N$56&amp;ROW(R$4)-5+COUNTA(P$4:P$34))))/5</f>
        <v>3.747</v>
      </c>
      <c r="Q40" s="109"/>
      <c r="R40" s="112" t="n">
        <f aca="true">((INDIRECT(R$56&amp;ROW(R$4)-1+COUNTA(R$4:R$34)))+(INDIRECT(R$56&amp;ROW(R$4)-2+COUNTA(R$4:R$34)))+(INDIRECT(R$56&amp;ROW(R$4)-3+COUNTA(R$4:R$34)))+(INDIRECT(R$56&amp;ROW(R$4)-4+COUNTA(R$4:R$34)))+(INDIRECT(R$56&amp;ROW(R$4)-5+COUNTA(R$4:R$34))))/5</f>
        <v>0</v>
      </c>
      <c r="S40" s="109"/>
      <c r="T40" s="112" t="n">
        <f aca="true">((INDIRECT(R$56&amp;ROW(V$4)-1+COUNTA(T$4:T$34)))+(INDIRECT(R$56&amp;ROW(V$4)-2+COUNTA(T$4:T$34)))+(INDIRECT(R$56&amp;ROW(V$4)-3+COUNTA(T$4:T$34)))+(INDIRECT(R$56&amp;ROW(V$4)-4+COUNTA(T$4:T$34)))+(INDIRECT(R$56&amp;ROW(V$4)-5+COUNTA(T$4:T$34))))/5</f>
        <v>3.728</v>
      </c>
      <c r="U40" s="109"/>
      <c r="V40" s="112" t="n">
        <f aca="true">((INDIRECT(V$56&amp;ROW(V$4)-1+COUNTA(V$4:V$34)))+(INDIRECT(V$56&amp;ROW(V$4)-2+COUNTA(V$4:V$34)))+(INDIRECT(V$56&amp;ROW(V$4)-3+COUNTA(V$4:V$34)))+(INDIRECT(V$56&amp;ROW(V$4)-4+COUNTA(V$4:V$34)))+(INDIRECT(V$56&amp;ROW(V$4)-5+COUNTA(V$4:V$34))))/5</f>
        <v>0.712</v>
      </c>
      <c r="W40" s="109"/>
      <c r="X40" s="112" t="n">
        <f aca="true">((INDIRECT(V$56&amp;ROW(Z$4)-1+COUNTA(X$4:X$34)))+(INDIRECT(V$56&amp;ROW(Z$4)-2+COUNTA(X$4:X$34)))+(INDIRECT(V$56&amp;ROW(Z$4)-3+COUNTA(X$4:X$34)))+(INDIRECT(V$56&amp;ROW(Z$4)-4+COUNTA(X$4:X$34)))+(INDIRECT(V$56&amp;ROW(Z$4)-5+COUNTA(X$4:X$34))))/5</f>
        <v>0</v>
      </c>
      <c r="Y40" s="109"/>
      <c r="Z40" s="112" t="n">
        <f aca="true">((INDIRECT(Z$56&amp;ROW(Z$4)-1+COUNTA(Z$4:Z$34)))+(INDIRECT(Z$56&amp;ROW(Z$4)-2+COUNTA(Z$4:Z$34)))+(INDIRECT(Z$56&amp;ROW(Z$4)-3+COUNTA(Z$4:Z$34)))+(INDIRECT(Z$56&amp;ROW(Z$4)-4+COUNTA(Z$4:Z$34)))+(INDIRECT(Z$56&amp;ROW(Z$4)-5+COUNTA(Z$4:Z$34))))/5</f>
        <v>2.992</v>
      </c>
      <c r="AA40" s="109"/>
      <c r="AB40" s="112" t="n">
        <f aca="true">((INDIRECT(Z$56&amp;ROW(AD$4)-1+COUNTA(AB$4:AB$34)))+(INDIRECT(Z$56&amp;ROW(AD$4)-2+COUNTA(AB$4:AB$34)))+(INDIRECT(Z$56&amp;ROW(AD$4)-3+COUNTA(AB$4:AB$34)))+(INDIRECT(Z$56&amp;ROW(AD$4)-4+COUNTA(AB$4:AB$34)))+(INDIRECT(Z$56&amp;ROW(AD$4)-5+COUNTA(AB$4:AB$34))))/5</f>
        <v>3.709</v>
      </c>
      <c r="AC40" s="109"/>
      <c r="AD40" s="112" t="n">
        <f aca="true">((INDIRECT(AD$56&amp;ROW(AD$4)-1+COUNTA(AD$4:AD$34)))+(INDIRECT(AD$56&amp;ROW(AD$4)-2+COUNTA(AD$4:AD$34)))+(INDIRECT(AD$56&amp;ROW(AD$4)-3+COUNTA(AD$4:AD$34)))+(INDIRECT(AD$56&amp;ROW(AD$4)-4+COUNTA(AD$4:AD$34)))+(INDIRECT(AD$56&amp;ROW(AD$4)-5+COUNTA(AD$4:AD$34))))/5</f>
        <v>3.842</v>
      </c>
      <c r="AE40" s="109"/>
      <c r="AF40" s="112" t="n">
        <f aca="true">((INDIRECT(AD$56&amp;ROW(AH$4)-1+COUNTA(AF$4:AF$34)))+(INDIRECT(AD$56&amp;ROW(AH$4)-2+COUNTA(AF$4:AF$34)))+(INDIRECT(AD$56&amp;ROW(AH$4)-3+COUNTA(AF$4:AF$34)))+(INDIRECT(AD$56&amp;ROW(AH$4)-4+COUNTA(AF$4:AF$34)))+(INDIRECT(AD$56&amp;ROW(AH$4)-5+COUNTA(AF$4:AF$34))))/5</f>
        <v>3.036</v>
      </c>
      <c r="AG40" s="109"/>
      <c r="AH40" s="112" t="n">
        <f aca="true">((INDIRECT(AH$56&amp;ROW(AH$4)-1+COUNTA(AH$4:AH$34)))+(INDIRECT(AH$56&amp;ROW(AH$4)-2+COUNTA(AH$4:AH$34)))+(INDIRECT(AH$56&amp;ROW(AH$4)-3+COUNTA(AH$4:AH$34)))+(INDIRECT(AH$56&amp;ROW(AH$4)-4+COUNTA(AH$4:AH$34)))+(INDIRECT(AH$56&amp;ROW(AH$4)-5+COUNTA(AH$4:AH$34))))/5</f>
        <v>3.765</v>
      </c>
      <c r="AI40" s="109"/>
      <c r="AJ40" s="112" t="n">
        <f aca="true">((INDIRECT(AH$56&amp;ROW(AL$4)-1+COUNTA(AJ$4:AJ$34)))+(INDIRECT(AH$56&amp;ROW(AL$4)-2+COUNTA(AJ$4:AJ$34)))+(INDIRECT(AH$56&amp;ROW(AL$4)-3+COUNTA(AJ$4:AJ$34)))+(INDIRECT(AH$56&amp;ROW(AL$4)-4+COUNTA(AJ$4:AJ$34)))+(INDIRECT(AH$56&amp;ROW(AL$4)-5+COUNTA(AJ$4:AJ$34))))/5</f>
        <v>3.765</v>
      </c>
      <c r="AK40" s="109"/>
      <c r="AL40" s="112" t="n">
        <f aca="true">((INDIRECT(AL$56&amp;ROW(AL$4)-1+COUNTA(AL$4:AL$34)))+(INDIRECT(AL$56&amp;ROW(AL$4)-2+COUNTA(AL$4:AL$34)))+(INDIRECT(AL$56&amp;ROW(AL$4)-3+COUNTA(AL$4:AL$34)))+(INDIRECT(AL$56&amp;ROW(AL$4)-4+COUNTA(AL$4:AL$34)))+(INDIRECT(AL$56&amp;ROW(AL$4)-5+COUNTA(AL$4:AL$34))))/5</f>
        <v>3.722</v>
      </c>
      <c r="AM40" s="109"/>
      <c r="AN40" s="112" t="n">
        <f aca="true">((INDIRECT(AN$56&amp;ROW(AN$4)-1+COUNTA(AN$4:AN$34)))+(INDIRECT(AN$56&amp;ROW(AN$4)-2+COUNTA(AN$4:AN$34)))+(INDIRECT(AN$56&amp;ROW(AN$4)-3+COUNTA(AN$4:AN$34)))+(INDIRECT(AN$56&amp;ROW(AN$4)-4+COUNTA(AN$4:AN$34)))+(INDIRECT(AN$56&amp;ROW(AN$4)-5+COUNTA(AN$4:AN$34))))/5</f>
        <v>3.704</v>
      </c>
      <c r="AO40" s="109"/>
      <c r="AP40" s="112" t="n">
        <f aca="true">((INDIRECT(AP$56&amp;ROW(AP$4)-1+COUNTA(AP$4:AP$34)))+(INDIRECT(AP$56&amp;ROW(AP$4)-2+COUNTA(AP$4:AP$34)))+(INDIRECT(AP$56&amp;ROW(AP$4)-3+COUNTA(AP$4:AP$34)))+(INDIRECT(AP$56&amp;ROW(AP$4)-4+COUNTA(AP$4:AP$34)))+(INDIRECT(AP$56&amp;ROW(AP$4)-5+COUNTA(AP$4:AP$34))))/5</f>
        <v>3.704</v>
      </c>
      <c r="AQ40" s="109"/>
      <c r="AR40" s="112" t="n">
        <f aca="true">((INDIRECT(AR$56&amp;ROW(AR$4)-1+COUNTA(AR$4:AR$34)))+(INDIRECT(AR$56&amp;ROW(AR$4)-2+COUNTA(AR$4:AR$34)))+(INDIRECT(AR$56&amp;ROW(AR$4)-3+COUNTA(AR$4:AR$34)))+(INDIRECT(AR$56&amp;ROW(AR$4)-4+COUNTA(AR$4:AR$34)))+(INDIRECT(AR$56&amp;ROW(AR$4)-5+COUNTA(AR$4:AR$34))))/5</f>
        <v>3.704</v>
      </c>
      <c r="AS40" s="109"/>
      <c r="AT40" s="112" t="n">
        <f aca="true">((INDIRECT(AT$56&amp;ROW(AT$4)-1+COUNTA(AT$4:AT$34)))+(INDIRECT(AT$56&amp;ROW(AT$4)-2+COUNTA(AT$4:AT$34)))+(INDIRECT(AT$56&amp;ROW(AT$4)-3+COUNTA(AT$4:AT$34)))+(INDIRECT(AT$56&amp;ROW(AT$4)-4+COUNTA(AT$4:AT$34)))+(INDIRECT(AT$56&amp;ROW(AT$4)-5+COUNTA(AT$4:AT$34))))/5</f>
        <v>3.727</v>
      </c>
      <c r="AU40" s="109"/>
    </row>
    <row r="41" customFormat="false" ht="12.75" hidden="false" customHeight="false" outlineLevel="0" collapsed="false">
      <c r="A41" s="111" t="s">
        <v>574</v>
      </c>
      <c r="C41" s="112" t="n">
        <f aca="true">((INDIRECT(C$56&amp;ROW(C$4)-1+COUNTA(C$4:C$34)))+(INDIRECT(C$56&amp;ROW(C$4)-2+COUNTA(C$4:C$34)))+(INDIRECT(C$56&amp;ROW(C$4)-3+COUNTA(C$4:C$34)))+(INDIRECT(C$56&amp;ROW(C$4)-4+COUNTA(C$4:C$34)))+(INDIRECT(C$56&amp;ROW(C$4)-5+COUNTA(C$4:C$34)))+(INDIRECT(C$56&amp;ROW(C$4)-6+COUNTA(C$4:C$34)))+(INDIRECT(C$56&amp;ROW(C$4)-7+COUNTA(C$4:C$34))))/7</f>
        <v>3.77</v>
      </c>
      <c r="D41" s="112" t="n">
        <f aca="true">((INDIRECT(D$56&amp;ROW(D$4)-1+COUNTA(D$4:D$34)))+(INDIRECT(D$56&amp;ROW(D$4)-2+COUNTA(D$4:D$34)))+(INDIRECT(D$56&amp;ROW(D$4)-3+COUNTA(D$4:D$34)))+(INDIRECT(D$56&amp;ROW(D$4)-4+COUNTA(D$4:D$34)))+(INDIRECT(D$56&amp;ROW(D$4)-5+COUNTA(D$4:D$34)))+(INDIRECT(D$56&amp;ROW(D$4)-6+COUNTA(D$4:D$34)))+(INDIRECT(D$56&amp;ROW(D$4)-7+COUNTA(D$4:D$34))))/7</f>
        <v>2.62357142857143</v>
      </c>
      <c r="E41" s="109"/>
      <c r="F41" s="112" t="n">
        <f aca="true">((INDIRECT(F$56&amp;ROW(F$4)-1+COUNTA(F$4:F$34)))+(INDIRECT(F$56&amp;ROW(F$4)-2+COUNTA(F$4:F$34)))+(INDIRECT(F$56&amp;ROW(F$4)-3+COUNTA(F$4:F$34)))+(INDIRECT(F$56&amp;ROW(F$4)-4+COUNTA(F$4:F$34)))+(INDIRECT(F$56&amp;ROW(F$4)-5+COUNTA(F$4:F$34)))+(INDIRECT(F$56&amp;ROW(F$4)-6+COUNTA(F$4:F$34)))+(INDIRECT(F$56&amp;ROW(F$4)-7+COUNTA(F$4:F$34))))/7</f>
        <v>2.69</v>
      </c>
      <c r="G41" s="109"/>
      <c r="H41" s="112" t="n">
        <f aca="true">((INDIRECT(F$56&amp;ROW(H$4)-1+COUNTA(H$4:H$34)))+(INDIRECT(F$56&amp;ROW(H$4)-2+COUNTA(H$4:H$34)))+(INDIRECT(F$56&amp;ROW(H$4)-3+COUNTA(H$4:H$34)))+(INDIRECT(F$56&amp;ROW(H$4)-4+COUNTA(H$4:H$34)))+(INDIRECT(F$56&amp;ROW(H$4)-5+COUNTA(H$4:H$34)))+(INDIRECT(F$56&amp;ROW(H$4)-6+COUNTA(H$4:H$34)))+(INDIRECT(F$56&amp;ROW(H$4)-7+COUNTA(H$4:H$34))))/7</f>
        <v>3.22142857142857</v>
      </c>
      <c r="I41" s="109"/>
      <c r="J41" s="112" t="n">
        <f aca="true">((INDIRECT(J$56&amp;ROW(J$4)-1+COUNTA(J$4:J$34)))+(INDIRECT(J$56&amp;ROW(J$4)-2+COUNTA(J$4:J$34)))+(INDIRECT(J$56&amp;ROW(J$4)-3+COUNTA(J$4:J$34)))+(INDIRECT(J$56&amp;ROW(J$4)-4+COUNTA(J$4:J$34)))+(INDIRECT(J$56&amp;ROW(J$4)-5+COUNTA(J$4:J$34)))+(INDIRECT(J$56&amp;ROW(J$4)-6+COUNTA(J$4:J$34)))+(INDIRECT(J$56&amp;ROW(J$4)-7+COUNTA(J$4:J$34))))/7</f>
        <v>3.20285714285714</v>
      </c>
      <c r="K41" s="109"/>
      <c r="L41" s="112" t="n">
        <f aca="true">((INDIRECT(J$56&amp;ROW(N$4)-1+COUNTA(L$4:L$34)))+(INDIRECT(J$56&amp;ROW(N$4)-2+COUNTA(L$4:L$34)))+(INDIRECT(J$56&amp;ROW(N$4)-3+COUNTA(L$4:L$34)))+(INDIRECT(J$56&amp;ROW(N$4)-4+COUNTA(L$4:L$34)))+(INDIRECT(J$56&amp;ROW(N$4)-5+COUNTA(L$4:L$34)))+(INDIRECT(J$56&amp;ROW(N$4)-6+COUNTA(L$4:L$34)))+(INDIRECT(J$56&amp;ROW(N$4)-7+COUNTA(L$4:L$34))))/7</f>
        <v>3.20285714285714</v>
      </c>
      <c r="M41" s="109"/>
      <c r="N41" s="112" t="n">
        <f aca="true">((INDIRECT(J$56&amp;ROW(N$4)-1+COUNTA(N$4:N$34)))+(INDIRECT(J$56&amp;ROW(N$4)-2+COUNTA(N$4:N$34)))+(INDIRECT(J$56&amp;ROW(N$4)-3+COUNTA(N$4:N$34)))+(INDIRECT(J$56&amp;ROW(N$4)-4+COUNTA(N$4:N$34)))+(INDIRECT(J$56&amp;ROW(N$4)-5+COUNTA(N$4:N$34)))+(INDIRECT(J$56&amp;ROW(N$4)-6+COUNTA(N$4:N$34)))+(INDIRECT(J$56&amp;ROW(N$4)-7+COUNTA(N$4:N$34))))/7</f>
        <v>3.20285714285714</v>
      </c>
      <c r="O41" s="109"/>
      <c r="P41" s="112" t="n">
        <f aca="true">((INDIRECT(N$56&amp;ROW(R$4)-1+COUNTA(P$4:P$34)))+(INDIRECT(N$56&amp;ROW(R$4)-2+COUNTA(P$4:P$34)))+(INDIRECT(N$56&amp;ROW(R$4)-3+COUNTA(P$4:P$34)))+(INDIRECT(N$56&amp;ROW(R$4)-4+COUNTA(P$4:P$34)))+(INDIRECT(N$56&amp;ROW(R$4)-5+COUNTA(P$4:P$34)))+(INDIRECT(N$56&amp;ROW(R$4)-6+COUNTA(P$4:P$34)))+(INDIRECT(N$56&amp;ROW(R$4)-7+COUNTA(P$4:P$34))))/7</f>
        <v>2.67642857142857</v>
      </c>
      <c r="Q41" s="109"/>
      <c r="R41" s="112" t="n">
        <f aca="true">((INDIRECT(R$56&amp;ROW(R$4)-1+COUNTA(R$4:R$34)))+(INDIRECT(R$56&amp;ROW(R$4)-2+COUNTA(R$4:R$34)))+(INDIRECT(R$56&amp;ROW(R$4)-3+COUNTA(R$4:R$34)))+(INDIRECT(R$56&amp;ROW(R$4)-4+COUNTA(R$4:R$34)))+(INDIRECT(R$56&amp;ROW(R$4)-5+COUNTA(R$4:R$34)))+(INDIRECT(R$56&amp;ROW(R$4)-6+COUNTA(R$4:R$34)))+(INDIRECT(R$56&amp;ROW(R$4)-7+COUNTA(R$4:R$34))))/7</f>
        <v>0</v>
      </c>
      <c r="S41" s="109"/>
      <c r="T41" s="112" t="n">
        <f aca="true">((INDIRECT(R$56&amp;ROW(V$4)-1+COUNTA(T$4:T$34)))+(INDIRECT(R$56&amp;ROW(V$4)-2+COUNTA(T$4:T$34)))+(INDIRECT(R$56&amp;ROW(V$4)-3+COUNTA(T$4:T$34)))+(INDIRECT(R$56&amp;ROW(V$4)-4+COUNTA(T$4:T$34)))+(INDIRECT(R$56&amp;ROW(V$4)-5+COUNTA(T$4:T$34)))+(INDIRECT(R$56&amp;ROW(V$4)-6+COUNTA(T$4:T$34)))+(INDIRECT(R$56&amp;ROW(V$4)-7+COUNTA(T$4:T$34))))/7</f>
        <v>3.17571428571429</v>
      </c>
      <c r="U41" s="109"/>
      <c r="V41" s="112" t="n">
        <f aca="true">((INDIRECT(V$56&amp;ROW(V$4)-1+COUNTA(V$4:V$34)))+(INDIRECT(V$56&amp;ROW(V$4)-2+COUNTA(V$4:V$34)))+(INDIRECT(V$56&amp;ROW(V$4)-3+COUNTA(V$4:V$34)))+(INDIRECT(V$56&amp;ROW(V$4)-4+COUNTA(V$4:V$34)))+(INDIRECT(V$56&amp;ROW(V$4)-5+COUNTA(V$4:V$34)))+(INDIRECT(V$56&amp;ROW(V$4)-6+COUNTA(V$4:V$34)))+(INDIRECT(V$56&amp;ROW(V$4)-7+COUNTA(V$4:V$34))))/7</f>
        <v>0.508571428571429</v>
      </c>
      <c r="W41" s="109"/>
      <c r="X41" s="112" t="n">
        <f aca="true">((INDIRECT(V$56&amp;ROW(Z$4)-1+COUNTA(X$4:X$34)))+(INDIRECT(V$56&amp;ROW(Z$4)-2+COUNTA(X$4:X$34)))+(INDIRECT(V$56&amp;ROW(Z$4)-3+COUNTA(X$4:X$34)))+(INDIRECT(V$56&amp;ROW(Z$4)-4+COUNTA(X$4:X$34)))+(INDIRECT(V$56&amp;ROW(Z$4)-5+COUNTA(X$4:X$34)))+(INDIRECT(V$56&amp;ROW(Z$4)-6+COUNTA(X$4:X$34)))+(INDIRECT(V$56&amp;ROW(Z$4)-7+COUNTA(X$4:X$34))))/7</f>
        <v>0</v>
      </c>
      <c r="Y41" s="109"/>
      <c r="Z41" s="112" t="n">
        <f aca="true">((INDIRECT(Z$56&amp;ROW(Z$4)-1+COUNTA(Z$4:Z$34)))+(INDIRECT(Z$56&amp;ROW(Z$4)-2+COUNTA(Z$4:Z$34)))+(INDIRECT(Z$56&amp;ROW(Z$4)-3+COUNTA(Z$4:Z$34)))+(INDIRECT(Z$56&amp;ROW(Z$4)-4+COUNTA(Z$4:Z$34)))+(INDIRECT(Z$56&amp;ROW(Z$4)-5+COUNTA(Z$4:Z$34)))+(INDIRECT(Z$56&amp;ROW(Z$4)-6+COUNTA(Z$4:Z$34)))+(INDIRECT(Z$56&amp;ROW(Z$4)-7+COUNTA(Z$4:Z$34))))/7</f>
        <v>3.16142857142857</v>
      </c>
      <c r="AA41" s="109"/>
      <c r="AB41" s="112" t="n">
        <f aca="true">((INDIRECT(Z$56&amp;ROW(AD$4)-1+COUNTA(AB$4:AB$34)))+(INDIRECT(Z$56&amp;ROW(AD$4)-2+COUNTA(AB$4:AB$34)))+(INDIRECT(Z$56&amp;ROW(AD$4)-3+COUNTA(AB$4:AB$34)))+(INDIRECT(Z$56&amp;ROW(AD$4)-4+COUNTA(AB$4:AB$34)))+(INDIRECT(Z$56&amp;ROW(AD$4)-5+COUNTA(AB$4:AB$34)))+(INDIRECT(Z$56&amp;ROW(AD$4)-6+COUNTA(AB$4:AB$34)))+(INDIRECT(Z$56&amp;ROW(AD$4)-7+COUNTA(AB$4:AB$34))))/7</f>
        <v>3.16142857142857</v>
      </c>
      <c r="AC41" s="109"/>
      <c r="AD41" s="112" t="n">
        <f aca="true">((INDIRECT(AD$56&amp;ROW(AD$4)-1+COUNTA(AD$4:AD$34)))+(INDIRECT(AD$56&amp;ROW(AD$4)-2+COUNTA(AD$4:AD$34)))+(INDIRECT(AD$56&amp;ROW(AD$4)-3+COUNTA(AD$4:AD$34)))+(INDIRECT(AD$56&amp;ROW(AD$4)-4+COUNTA(AD$4:AD$34)))+(INDIRECT(AD$56&amp;ROW(AD$4)-5+COUNTA(AD$4:AD$34)))+(INDIRECT(AD$56&amp;ROW(AD$4)-6+COUNTA(AD$4:AD$34)))+(INDIRECT(AD$56&amp;ROW(AD$4)-7+COUNTA(AD$4:AD$34))))/7</f>
        <v>3.82357142857143</v>
      </c>
      <c r="AE41" s="109"/>
      <c r="AF41" s="112" t="n">
        <f aca="true">((INDIRECT(AD$56&amp;ROW(AH$4)-1+COUNTA(AF$4:AF$34)))+(INDIRECT(AD$56&amp;ROW(AH$4)-2+COUNTA(AF$4:AF$34)))+(INDIRECT(AD$56&amp;ROW(AH$4)-3+COUNTA(AF$4:AF$34)))+(INDIRECT(AD$56&amp;ROW(AH$4)-4+COUNTA(AF$4:AF$34)))+(INDIRECT(AD$56&amp;ROW(AH$4)-5+COUNTA(AF$4:AF$34)))+(INDIRECT(AD$56&amp;ROW(AH$4)-6+COUNTA(AF$4:AF$34)))+(INDIRECT(AD$56&amp;ROW(AH$4)-7+COUNTA(AF$4:AF$34))))/7</f>
        <v>3.25142857142857</v>
      </c>
      <c r="AG41" s="109"/>
      <c r="AH41" s="112" t="n">
        <f aca="true">((INDIRECT(AH$56&amp;ROW(AH$4)-1+COUNTA(AH$4:AH$34)))+(INDIRECT(AH$56&amp;ROW(AH$4)-2+COUNTA(AH$4:AH$34)))+(INDIRECT(AH$56&amp;ROW(AH$4)-3+COUNTA(AH$4:AH$34)))+(INDIRECT(AH$56&amp;ROW(AH$4)-4+COUNTA(AH$4:AH$34)))+(INDIRECT(AH$56&amp;ROW(AH$4)-5+COUNTA(AH$4:AH$34)))+(INDIRECT(AH$56&amp;ROW(AH$4)-6+COUNTA(AH$4:AH$34)))+(INDIRECT(AH$56&amp;ROW(AH$4)-7+COUNTA(AH$4:AH$34))))/7</f>
        <v>3.21142857142857</v>
      </c>
      <c r="AI41" s="109"/>
      <c r="AJ41" s="112" t="n">
        <f aca="true">((INDIRECT(AH$56&amp;ROW(AL$4)-1+COUNTA(AJ$4:AJ$34)))+(INDIRECT(AH$56&amp;ROW(AL$4)-2+COUNTA(AJ$4:AJ$34)))+(INDIRECT(AH$56&amp;ROW(AL$4)-3+COUNTA(AJ$4:AJ$34)))+(INDIRECT(AH$56&amp;ROW(AL$4)-4+COUNTA(AJ$4:AJ$34)))+(INDIRECT(AH$56&amp;ROW(AL$4)-5+COUNTA(AJ$4:AJ$34)))+(INDIRECT(AH$56&amp;ROW(AL$4)-6+COUNTA(AJ$4:AJ$34)))+(INDIRECT(AH$56&amp;ROW(AL$4)-7+COUNTA(AJ$4:AJ$34))))/7</f>
        <v>3.21142857142857</v>
      </c>
      <c r="AK41" s="109"/>
      <c r="AL41" s="112" t="n">
        <f aca="true">((INDIRECT(AL$56&amp;ROW(AL$4)-1+COUNTA(AL$4:AL$34)))+(INDIRECT(AL$56&amp;ROW(AL$4)-2+COUNTA(AL$4:AL$34)))+(INDIRECT(AL$56&amp;ROW(AL$4)-3+COUNTA(AL$4:AL$34)))+(INDIRECT(AL$56&amp;ROW(AL$4)-4+COUNTA(AL$4:AL$34)))+(INDIRECT(AL$56&amp;ROW(AL$4)-5+COUNTA(AL$4:AL$34)))+(INDIRECT(AL$56&amp;ROW(AL$4)-6+COUNTA(AL$4:AL$34)))+(INDIRECT(AL$56&amp;ROW(AL$4)-7+COUNTA(AL$4:AL$34))))/7</f>
        <v>3.67285714285714</v>
      </c>
      <c r="AM41" s="109"/>
      <c r="AN41" s="112" t="n">
        <f aca="true">((INDIRECT(AN$56&amp;ROW(AN$4)-1+COUNTA(AN$4:AN$34)))+(INDIRECT(AN$56&amp;ROW(AN$4)-2+COUNTA(AN$4:AN$34)))+(INDIRECT(AN$56&amp;ROW(AN$4)-3+COUNTA(AN$4:AN$34)))+(INDIRECT(AN$56&amp;ROW(AN$4)-4+COUNTA(AN$4:AN$34)))+(INDIRECT(AN$56&amp;ROW(AN$4)-5+COUNTA(AN$4:AN$34)))+(INDIRECT(AN$56&amp;ROW(AN$4)-6+COUNTA(AN$4:AN$34)))+(INDIRECT(AN$56&amp;ROW(AN$4)-7+COUNTA(AN$4:AN$34))))/7</f>
        <v>3.70285714285714</v>
      </c>
      <c r="AO41" s="109"/>
      <c r="AP41" s="112" t="n">
        <f aca="true">((INDIRECT(AP$56&amp;ROW(AP$4)-1+COUNTA(AP$4:AP$34)))+(INDIRECT(AP$56&amp;ROW(AP$4)-2+COUNTA(AP$4:AP$34)))+(INDIRECT(AP$56&amp;ROW(AP$4)-3+COUNTA(AP$4:AP$34)))+(INDIRECT(AP$56&amp;ROW(AP$4)-4+COUNTA(AP$4:AP$34)))+(INDIRECT(AP$56&amp;ROW(AP$4)-5+COUNTA(AP$4:AP$34)))+(INDIRECT(AP$56&amp;ROW(AP$4)-6+COUNTA(AP$4:AP$34)))+(INDIRECT(AP$56&amp;ROW(AP$4)-7+COUNTA(AP$4:AP$34))))/7</f>
        <v>3.70285714285714</v>
      </c>
      <c r="AQ41" s="109"/>
      <c r="AR41" s="112" t="n">
        <f aca="true">((INDIRECT(AR$56&amp;ROW(AR$4)-1+COUNTA(AR$4:AR$34)))+(INDIRECT(AR$56&amp;ROW(AR$4)-2+COUNTA(AR$4:AR$34)))+(INDIRECT(AR$56&amp;ROW(AR$4)-3+COUNTA(AR$4:AR$34)))+(INDIRECT(AR$56&amp;ROW(AR$4)-4+COUNTA(AR$4:AR$34)))+(INDIRECT(AR$56&amp;ROW(AR$4)-5+COUNTA(AR$4:AR$34)))+(INDIRECT(AR$56&amp;ROW(AR$4)-6+COUNTA(AR$4:AR$34)))+(INDIRECT(AR$56&amp;ROW(AR$4)-7+COUNTA(AR$4:AR$34))))/7</f>
        <v>3.70285714285714</v>
      </c>
      <c r="AS41" s="109"/>
      <c r="AT41" s="112" t="n">
        <f aca="true">((INDIRECT(AT$56&amp;ROW(AT$4)-1+COUNTA(AT$4:AT$34)))+(INDIRECT(AT$56&amp;ROW(AT$4)-2+COUNTA(AT$4:AT$34)))+(INDIRECT(AT$56&amp;ROW(AT$4)-3+COUNTA(AT$4:AT$34)))+(INDIRECT(AT$56&amp;ROW(AT$4)-4+COUNTA(AT$4:AT$34)))+(INDIRECT(AT$56&amp;ROW(AT$4)-5+COUNTA(AT$4:AT$34)))+(INDIRECT(AT$56&amp;ROW(AT$4)-6+COUNTA(AT$4:AT$34)))+(INDIRECT(AT$56&amp;ROW(AT$4)-7+COUNTA(AT$4:AT$34))))/7</f>
        <v>3.68785714285714</v>
      </c>
      <c r="AU41" s="109"/>
    </row>
    <row r="42" customFormat="false" ht="12.75" hidden="false" customHeight="false" outlineLevel="0" collapsed="false">
      <c r="A42" s="111" t="s">
        <v>575</v>
      </c>
      <c r="C42" s="113" t="n">
        <f aca="false">+C36-C3</f>
        <v>0.0165000000000002</v>
      </c>
      <c r="D42" s="113" t="n">
        <f aca="false">+D36-D3</f>
        <v>3.6725</v>
      </c>
      <c r="E42" s="109"/>
      <c r="F42" s="113" t="n">
        <f aca="false">+F36-F3</f>
        <v>3.75833333333333</v>
      </c>
      <c r="G42" s="109"/>
      <c r="H42" s="113" t="n">
        <f aca="false">+H36-H3</f>
        <v>2.8025</v>
      </c>
      <c r="I42" s="109"/>
      <c r="J42" s="113" t="n">
        <f aca="false">+J36-J3</f>
        <v>3.19642857142857</v>
      </c>
      <c r="K42" s="109"/>
      <c r="L42" s="113" t="n">
        <f aca="false">+L36-L3</f>
        <v>3.17571428571429</v>
      </c>
      <c r="M42" s="109"/>
      <c r="N42" s="113" t="n">
        <f aca="false">+N36-N3</f>
        <v>3.198125</v>
      </c>
      <c r="O42" s="109"/>
      <c r="P42" s="113" t="n">
        <f aca="false">+P36-P3</f>
        <v>3.68833333333333</v>
      </c>
      <c r="Q42" s="109"/>
      <c r="R42" s="113" t="n">
        <f aca="false">+R36-R3</f>
        <v>-0.0867741935483872</v>
      </c>
      <c r="S42" s="109"/>
      <c r="T42" s="113" t="n">
        <f aca="false">+T36-T3</f>
        <v>3.21142857142857</v>
      </c>
      <c r="U42" s="109"/>
      <c r="V42" s="113" t="n">
        <f aca="false">+V36-V3</f>
        <v>-0.262903225806452</v>
      </c>
      <c r="W42" s="109"/>
      <c r="X42" s="113" t="n">
        <f aca="false">+X36-X3</f>
        <v>3.4501724137931</v>
      </c>
      <c r="Y42" s="109"/>
      <c r="Z42" s="113" t="n">
        <f aca="false">+Z36-Z3</f>
        <v>2.815625</v>
      </c>
      <c r="AA42" s="109"/>
      <c r="AB42" s="113" t="n">
        <f aca="false">+AB36-AB3</f>
        <v>3.17785714285714</v>
      </c>
      <c r="AC42" s="109"/>
      <c r="AD42" s="113" t="n">
        <f aca="false">+AD36-AD3</f>
        <v>3.16785714285714</v>
      </c>
      <c r="AE42" s="109"/>
      <c r="AF42" s="113" t="n">
        <f aca="false">+AF36-AF3</f>
        <v>-0.0916129032258066</v>
      </c>
      <c r="AG42" s="109"/>
      <c r="AH42" s="113" t="n">
        <f aca="false">+AH36-AH3</f>
        <v>3.31</v>
      </c>
      <c r="AI42" s="109"/>
      <c r="AJ42" s="113" t="n">
        <f aca="false">+AJ36-AJ3</f>
        <v>3.39857142857143</v>
      </c>
      <c r="AK42" s="109"/>
      <c r="AL42" s="113" t="n">
        <f aca="false">+AL36-AL3</f>
        <v>3.003125</v>
      </c>
      <c r="AM42" s="109"/>
      <c r="AN42" s="113" t="n">
        <f aca="false">+AN36-AN3</f>
        <v>3.95333333333333</v>
      </c>
      <c r="AO42" s="109"/>
      <c r="AP42" s="113" t="n">
        <f aca="false">+AP36-AP3</f>
        <v>4.01333333333333</v>
      </c>
      <c r="AQ42" s="109"/>
      <c r="AR42" s="113" t="n">
        <f aca="false">+AR36-AR3</f>
        <v>4.02083333333333</v>
      </c>
      <c r="AS42" s="109"/>
      <c r="AT42" s="113" t="n">
        <f aca="false">+AT36-AT3</f>
        <v>3.27357142857143</v>
      </c>
      <c r="AU42" s="109"/>
    </row>
    <row r="56" customFormat="false" ht="12.75" hidden="false" customHeight="false" outlineLevel="0" collapsed="false">
      <c r="C56" s="114" t="s">
        <v>576</v>
      </c>
      <c r="D56" s="114" t="s">
        <v>577</v>
      </c>
      <c r="E56" s="114" t="s">
        <v>578</v>
      </c>
      <c r="F56" s="114" t="s">
        <v>579</v>
      </c>
      <c r="G56" s="114" t="s">
        <v>578</v>
      </c>
      <c r="H56" s="114" t="s">
        <v>580</v>
      </c>
      <c r="I56" s="114" t="s">
        <v>578</v>
      </c>
      <c r="J56" s="114" t="s">
        <v>581</v>
      </c>
      <c r="K56" s="114" t="s">
        <v>578</v>
      </c>
      <c r="L56" s="114" t="s">
        <v>582</v>
      </c>
      <c r="M56" s="114" t="s">
        <v>578</v>
      </c>
      <c r="N56" s="114" t="s">
        <v>583</v>
      </c>
      <c r="O56" s="114" t="s">
        <v>578</v>
      </c>
      <c r="P56" s="114" t="s">
        <v>584</v>
      </c>
      <c r="Q56" s="114" t="s">
        <v>578</v>
      </c>
      <c r="R56" s="114" t="s">
        <v>585</v>
      </c>
      <c r="S56" s="114" t="s">
        <v>578</v>
      </c>
      <c r="T56" s="114" t="s">
        <v>586</v>
      </c>
      <c r="U56" s="114" t="s">
        <v>578</v>
      </c>
      <c r="V56" s="114" t="s">
        <v>587</v>
      </c>
      <c r="W56" s="114" t="s">
        <v>578</v>
      </c>
      <c r="X56" s="114" t="s">
        <v>588</v>
      </c>
      <c r="Y56" s="114" t="s">
        <v>578</v>
      </c>
      <c r="Z56" s="114" t="s">
        <v>589</v>
      </c>
      <c r="AA56" s="114" t="s">
        <v>578</v>
      </c>
      <c r="AB56" s="114" t="s">
        <v>590</v>
      </c>
      <c r="AC56" s="114" t="s">
        <v>578</v>
      </c>
      <c r="AD56" s="114" t="s">
        <v>591</v>
      </c>
      <c r="AE56" s="114" t="s">
        <v>578</v>
      </c>
      <c r="AF56" s="114" t="s">
        <v>592</v>
      </c>
      <c r="AG56" s="114" t="s">
        <v>578</v>
      </c>
      <c r="AH56" s="114" t="s">
        <v>593</v>
      </c>
      <c r="AI56" s="114" t="s">
        <v>578</v>
      </c>
      <c r="AJ56" s="114" t="s">
        <v>594</v>
      </c>
      <c r="AK56" s="114" t="s">
        <v>578</v>
      </c>
      <c r="AL56" s="114" t="s">
        <v>595</v>
      </c>
      <c r="AM56" s="114" t="s">
        <v>578</v>
      </c>
      <c r="AN56" s="114" t="s">
        <v>595</v>
      </c>
      <c r="AO56" s="114" t="s">
        <v>578</v>
      </c>
      <c r="AP56" s="114" t="s">
        <v>595</v>
      </c>
      <c r="AQ56" s="114" t="s">
        <v>578</v>
      </c>
      <c r="AR56" s="114" t="s">
        <v>595</v>
      </c>
      <c r="AS56" s="114" t="s">
        <v>578</v>
      </c>
      <c r="AT56" s="114" t="s">
        <v>595</v>
      </c>
      <c r="AU56" s="114" t="s">
        <v>578</v>
      </c>
      <c r="AV56" s="114" t="s">
        <v>596</v>
      </c>
      <c r="AW56" s="114" t="s">
        <v>597</v>
      </c>
      <c r="AX56" s="114" t="s">
        <v>598</v>
      </c>
      <c r="AY56" s="114" t="s">
        <v>599</v>
      </c>
      <c r="AZ56" s="114" t="s">
        <v>600</v>
      </c>
      <c r="BA56" s="114" t="s">
        <v>601</v>
      </c>
      <c r="BB56" s="114" t="s">
        <v>602</v>
      </c>
      <c r="BC56" s="114" t="s">
        <v>603</v>
      </c>
      <c r="BD56" s="114" t="s">
        <v>604</v>
      </c>
      <c r="BE56" s="114" t="s">
        <v>605</v>
      </c>
      <c r="BF56" s="114" t="s">
        <v>606</v>
      </c>
    </row>
  </sheetData>
  <printOptions headings="false" gridLines="false" gridLinesSet="true" horizontalCentered="false" verticalCentered="false"/>
  <pageMargins left="0.359722222222222" right="0.220138888888889" top="0.34027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4" width="9.14"/>
    <col collapsed="false" customWidth="true" hidden="false" outlineLevel="0" max="2" min="2" style="0" width="9.41"/>
    <col collapsed="false" customWidth="true" hidden="false" outlineLevel="0" max="3" min="3" style="55" width="17.14"/>
    <col collapsed="false" customWidth="true" hidden="false" outlineLevel="0" max="4" min="4" style="0" width="3.14"/>
    <col collapsed="false" customWidth="true" hidden="false" outlineLevel="0" max="5" min="5" style="56" width="10.13"/>
    <col collapsed="false" customWidth="true" hidden="false" outlineLevel="0" max="6" min="6" style="0" width="9.41"/>
    <col collapsed="false" customWidth="true" hidden="false" outlineLevel="0" max="7" min="7" style="57" width="15.28"/>
    <col collapsed="false" customWidth="true" hidden="false" outlineLevel="0" max="8" min="8" style="0" width="2.84"/>
    <col collapsed="false" customWidth="true" hidden="false" outlineLevel="0" max="9" min="9" style="58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9" t="s">
        <v>529</v>
      </c>
      <c r="B1" s="6"/>
      <c r="C1" s="60"/>
      <c r="D1" s="21"/>
      <c r="E1" s="59" t="s">
        <v>530</v>
      </c>
      <c r="F1" s="6"/>
      <c r="G1" s="61"/>
      <c r="I1" s="62"/>
      <c r="K1" s="63"/>
    </row>
    <row r="2" customFormat="false" ht="12.75" hidden="false" customHeight="false" outlineLevel="0" collapsed="false">
      <c r="A2" s="64" t="n">
        <v>15</v>
      </c>
      <c r="B2" s="6" t="n">
        <v>4.255</v>
      </c>
      <c r="C2" s="60" t="n">
        <f aca="false">A2*B2*10000</f>
        <v>638250</v>
      </c>
      <c r="D2" s="21"/>
      <c r="E2" s="65"/>
      <c r="F2" s="66"/>
      <c r="G2" s="67" t="n">
        <f aca="false">E2*F2*10000</f>
        <v>0</v>
      </c>
      <c r="I2" s="68"/>
    </row>
    <row r="3" customFormat="false" ht="12.75" hidden="false" customHeight="false" outlineLevel="0" collapsed="false">
      <c r="A3" s="64"/>
      <c r="B3" s="6"/>
      <c r="C3" s="60" t="n">
        <f aca="false">A3*B3*10000</f>
        <v>0</v>
      </c>
      <c r="D3" s="21"/>
      <c r="E3" s="69"/>
      <c r="F3" s="6"/>
      <c r="G3" s="67" t="n">
        <f aca="false">E3*F3*10000</f>
        <v>0</v>
      </c>
      <c r="I3" s="70"/>
      <c r="K3" s="71"/>
    </row>
    <row r="4" customFormat="false" ht="12.75" hidden="false" customHeight="false" outlineLevel="0" collapsed="false">
      <c r="A4" s="72"/>
      <c r="B4" s="66"/>
      <c r="C4" s="60" t="n">
        <f aca="false">A4*B4*10000</f>
        <v>0</v>
      </c>
      <c r="D4" s="21"/>
      <c r="E4" s="69"/>
      <c r="F4" s="6"/>
      <c r="G4" s="67" t="n">
        <f aca="false">E4*F4*10000</f>
        <v>0</v>
      </c>
      <c r="J4" s="68"/>
      <c r="K4" s="21" t="n">
        <f aca="false">4.69+0.032</f>
        <v>4.722</v>
      </c>
    </row>
    <row r="5" customFormat="false" ht="12.75" hidden="false" customHeight="false" outlineLevel="0" collapsed="false">
      <c r="A5" s="72"/>
      <c r="B5" s="66"/>
      <c r="C5" s="60" t="n">
        <f aca="false">A5*B5*10000</f>
        <v>0</v>
      </c>
      <c r="D5" s="21"/>
      <c r="E5" s="65"/>
      <c r="F5" s="66"/>
      <c r="G5" s="67" t="n">
        <f aca="false">E5*F5*10000</f>
        <v>0</v>
      </c>
      <c r="I5" s="68"/>
      <c r="J5" s="40"/>
      <c r="K5" s="21"/>
    </row>
    <row r="6" customFormat="false" ht="12.75" hidden="false" customHeight="false" outlineLevel="0" collapsed="false">
      <c r="A6" s="73"/>
      <c r="B6" s="6"/>
      <c r="C6" s="60" t="n">
        <f aca="false">A6*B6*10000</f>
        <v>0</v>
      </c>
      <c r="D6" s="21"/>
      <c r="E6" s="69"/>
      <c r="F6" s="6"/>
      <c r="G6" s="67" t="n">
        <f aca="false">E6*F6*10000</f>
        <v>0</v>
      </c>
      <c r="I6" s="68"/>
      <c r="J6" s="40"/>
      <c r="K6" s="21"/>
      <c r="L6" s="0" t="n">
        <v>30</v>
      </c>
      <c r="M6" s="0" t="n">
        <v>5.49</v>
      </c>
      <c r="N6" s="0" t="n">
        <f aca="false">L6*M6</f>
        <v>164.7</v>
      </c>
    </row>
    <row r="7" customFormat="false" ht="12.75" hidden="false" customHeight="false" outlineLevel="0" collapsed="false">
      <c r="A7" s="69"/>
      <c r="B7" s="6"/>
      <c r="C7" s="60" t="n">
        <f aca="false">A7*B7*10000</f>
        <v>0</v>
      </c>
      <c r="D7" s="21"/>
      <c r="E7" s="69"/>
      <c r="F7" s="6"/>
      <c r="G7" s="67" t="n">
        <f aca="false">E7*F7*10000</f>
        <v>0</v>
      </c>
      <c r="I7" s="68"/>
      <c r="L7" s="0" t="n">
        <v>15</v>
      </c>
      <c r="M7" s="0" t="n">
        <v>5.455</v>
      </c>
      <c r="N7" s="0" t="n">
        <f aca="false">L7*M7</f>
        <v>81.825</v>
      </c>
    </row>
    <row r="8" customFormat="false" ht="12.75" hidden="false" customHeight="false" outlineLevel="0" collapsed="false">
      <c r="A8" s="69"/>
      <c r="B8" s="6"/>
      <c r="C8" s="60" t="n">
        <f aca="false">A8*B8*10000</f>
        <v>0</v>
      </c>
      <c r="D8" s="21"/>
      <c r="E8" s="69"/>
      <c r="F8" s="6"/>
      <c r="G8" s="67" t="n">
        <f aca="false">E8*F8*10000</f>
        <v>0</v>
      </c>
      <c r="I8" s="68"/>
      <c r="K8" s="21"/>
      <c r="L8" s="115"/>
      <c r="M8" s="115"/>
      <c r="N8" s="0" t="n">
        <f aca="false">L8*M8</f>
        <v>0</v>
      </c>
    </row>
    <row r="9" customFormat="false" ht="12.75" hidden="false" customHeight="false" outlineLevel="0" collapsed="false">
      <c r="A9" s="69"/>
      <c r="B9" s="6"/>
      <c r="C9" s="60" t="n">
        <f aca="false">A9*B9*10000</f>
        <v>0</v>
      </c>
      <c r="D9" s="21"/>
      <c r="E9" s="69"/>
      <c r="F9" s="6"/>
      <c r="G9" s="67" t="n">
        <f aca="false">E9*F9*10000</f>
        <v>0</v>
      </c>
      <c r="I9" s="68"/>
      <c r="L9" s="115"/>
      <c r="M9" s="115"/>
      <c r="N9" s="0" t="n">
        <f aca="false">L9*M9</f>
        <v>0</v>
      </c>
    </row>
    <row r="10" customFormat="false" ht="12.75" hidden="false" customHeight="false" outlineLevel="0" collapsed="false">
      <c r="A10" s="69"/>
      <c r="B10" s="6"/>
      <c r="C10" s="60" t="n">
        <f aca="false">A10*B10*10000</f>
        <v>0</v>
      </c>
      <c r="D10" s="21"/>
      <c r="E10" s="69"/>
      <c r="F10" s="6"/>
      <c r="G10" s="67" t="n">
        <f aca="false">E10*F10*10000</f>
        <v>0</v>
      </c>
      <c r="I10" s="68"/>
      <c r="K10" s="0" t="n">
        <f aca="false">2500*30</f>
        <v>75000</v>
      </c>
      <c r="L10" s="115"/>
      <c r="M10" s="115"/>
      <c r="N10" s="0" t="n">
        <f aca="false">L10*M10</f>
        <v>0</v>
      </c>
    </row>
    <row r="11" customFormat="false" ht="12.75" hidden="false" customHeight="false" outlineLevel="0" collapsed="false">
      <c r="A11" s="69"/>
      <c r="B11" s="6"/>
      <c r="C11" s="60" t="n">
        <f aca="false">A11*B11*10000</f>
        <v>0</v>
      </c>
      <c r="D11" s="21"/>
      <c r="E11" s="69"/>
      <c r="F11" s="6"/>
      <c r="G11" s="67" t="n">
        <f aca="false">E11*F11*10000</f>
        <v>0</v>
      </c>
      <c r="I11" s="68"/>
      <c r="K11" s="0" t="n">
        <f aca="false">7500*30</f>
        <v>225000</v>
      </c>
      <c r="L11" s="115"/>
      <c r="M11" s="115"/>
      <c r="N11" s="0" t="n">
        <f aca="false">L11*M11</f>
        <v>0</v>
      </c>
    </row>
    <row r="12" customFormat="false" ht="12.75" hidden="false" customHeight="false" outlineLevel="0" collapsed="false">
      <c r="A12" s="69"/>
      <c r="B12" s="6"/>
      <c r="C12" s="60" t="n">
        <f aca="false">A12*B12*10000</f>
        <v>0</v>
      </c>
      <c r="D12" s="21"/>
      <c r="E12" s="69"/>
      <c r="F12" s="6"/>
      <c r="G12" s="67" t="n">
        <f aca="false">E12*F12*10000</f>
        <v>0</v>
      </c>
      <c r="I12" s="68"/>
      <c r="K12" s="0" t="n">
        <f aca="false">12500*30</f>
        <v>375000</v>
      </c>
      <c r="L12" s="115"/>
      <c r="M12" s="115"/>
      <c r="N12" s="0" t="n">
        <f aca="false">L12*M12</f>
        <v>0</v>
      </c>
    </row>
    <row r="13" customFormat="false" ht="12.75" hidden="false" customHeight="false" outlineLevel="0" collapsed="false">
      <c r="A13" s="69"/>
      <c r="B13" s="6"/>
      <c r="C13" s="60" t="n">
        <f aca="false">A13*B13*10000</f>
        <v>0</v>
      </c>
      <c r="D13" s="21"/>
      <c r="E13" s="69"/>
      <c r="F13" s="6"/>
      <c r="G13" s="67" t="n">
        <f aca="false">E13*F13*10000</f>
        <v>0</v>
      </c>
      <c r="I13" s="68"/>
      <c r="L13" s="0" t="n">
        <f aca="false">SUM(L6:L12)</f>
        <v>45</v>
      </c>
      <c r="N13" s="0" t="n">
        <f aca="false">SUM(N6:N12)</f>
        <v>246.525</v>
      </c>
    </row>
    <row r="14" customFormat="false" ht="12.75" hidden="false" customHeight="false" outlineLevel="0" collapsed="false">
      <c r="A14" s="69"/>
      <c r="B14" s="6"/>
      <c r="C14" s="60" t="n">
        <f aca="false">A14*B14*10000</f>
        <v>0</v>
      </c>
      <c r="D14" s="21"/>
      <c r="E14" s="65"/>
      <c r="F14" s="66"/>
      <c r="G14" s="67" t="n">
        <f aca="false">E14*F14*10000</f>
        <v>0</v>
      </c>
      <c r="I14" s="68"/>
      <c r="M14" s="0" t="n">
        <f aca="false">N13/L13</f>
        <v>5.47833333333333</v>
      </c>
    </row>
    <row r="15" customFormat="false" ht="12.75" hidden="false" customHeight="false" outlineLevel="0" collapsed="false">
      <c r="A15" s="69"/>
      <c r="B15" s="6"/>
      <c r="C15" s="60" t="n">
        <f aca="false">A15*B15*10000</f>
        <v>0</v>
      </c>
      <c r="D15" s="21"/>
      <c r="E15" s="65"/>
      <c r="F15" s="66"/>
      <c r="G15" s="67" t="n">
        <f aca="false">E15*F15*10000</f>
        <v>0</v>
      </c>
      <c r="I15" s="68"/>
    </row>
    <row r="16" customFormat="false" ht="12.75" hidden="false" customHeight="false" outlineLevel="0" collapsed="false">
      <c r="A16" s="69"/>
      <c r="B16" s="6"/>
      <c r="C16" s="60" t="n">
        <f aca="false">A16*B16*10000</f>
        <v>0</v>
      </c>
      <c r="D16" s="21"/>
      <c r="E16" s="65"/>
      <c r="F16" s="66"/>
      <c r="G16" s="67" t="n">
        <f aca="false">E16*F16*10000</f>
        <v>0</v>
      </c>
      <c r="I16" s="68"/>
    </row>
    <row r="17" customFormat="false" ht="12.75" hidden="false" customHeight="false" outlineLevel="0" collapsed="false">
      <c r="A17" s="69"/>
      <c r="B17" s="6"/>
      <c r="C17" s="60" t="n">
        <f aca="false">A17*B17*10000</f>
        <v>0</v>
      </c>
      <c r="D17" s="21"/>
      <c r="E17" s="65"/>
      <c r="F17" s="66"/>
      <c r="G17" s="67" t="n">
        <f aca="false">E17*F17*10000</f>
        <v>0</v>
      </c>
      <c r="I17" s="68"/>
    </row>
    <row r="18" customFormat="false" ht="12.75" hidden="false" customHeight="false" outlineLevel="0" collapsed="false">
      <c r="A18" s="69"/>
      <c r="B18" s="6"/>
      <c r="C18" s="60" t="n">
        <f aca="false">A18*B18*10000</f>
        <v>0</v>
      </c>
      <c r="D18" s="21"/>
      <c r="E18" s="65"/>
      <c r="F18" s="66"/>
      <c r="G18" s="67" t="n">
        <f aca="false">E18*F18*10000</f>
        <v>0</v>
      </c>
      <c r="I18" s="68"/>
    </row>
    <row r="19" customFormat="false" ht="12.75" hidden="false" customHeight="false" outlineLevel="0" collapsed="false">
      <c r="A19" s="69"/>
      <c r="B19" s="6"/>
      <c r="C19" s="60" t="n">
        <f aca="false">A19*B19*10000</f>
        <v>0</v>
      </c>
      <c r="D19" s="21"/>
      <c r="E19" s="65"/>
      <c r="F19" s="66"/>
      <c r="G19" s="67" t="n">
        <f aca="false">E19*F19*10000</f>
        <v>0</v>
      </c>
      <c r="I19" s="68"/>
    </row>
    <row r="20" customFormat="false" ht="12.75" hidden="false" customHeight="false" outlineLevel="0" collapsed="false">
      <c r="A20" s="69"/>
      <c r="B20" s="6"/>
      <c r="C20" s="60" t="n">
        <f aca="false">A20*B20*10000</f>
        <v>0</v>
      </c>
      <c r="D20" s="21"/>
      <c r="E20" s="65"/>
      <c r="F20" s="66"/>
      <c r="G20" s="67" t="n">
        <f aca="false">E20*F20*10000</f>
        <v>0</v>
      </c>
      <c r="I20" s="68"/>
    </row>
    <row r="21" customFormat="false" ht="12.75" hidden="false" customHeight="false" outlineLevel="0" collapsed="false">
      <c r="A21" s="69"/>
      <c r="B21" s="6"/>
      <c r="C21" s="60" t="n">
        <f aca="false">A21*B21*10000</f>
        <v>0</v>
      </c>
      <c r="D21" s="21"/>
      <c r="E21" s="65"/>
      <c r="F21" s="66"/>
      <c r="G21" s="67" t="n">
        <f aca="false">E21*F21*10000</f>
        <v>0</v>
      </c>
      <c r="I21" s="68"/>
    </row>
    <row r="22" customFormat="false" ht="12.75" hidden="false" customHeight="false" outlineLevel="0" collapsed="false">
      <c r="A22" s="69"/>
      <c r="B22" s="6"/>
      <c r="C22" s="60" t="n">
        <f aca="false">A22*B22*10000</f>
        <v>0</v>
      </c>
      <c r="D22" s="21"/>
      <c r="E22" s="65"/>
      <c r="F22" s="66"/>
      <c r="G22" s="67" t="n">
        <f aca="false">E22*F22*10000</f>
        <v>0</v>
      </c>
      <c r="I22" s="68"/>
    </row>
    <row r="23" customFormat="false" ht="12.75" hidden="false" customHeight="false" outlineLevel="0" collapsed="false">
      <c r="A23" s="69"/>
      <c r="B23" s="6"/>
      <c r="C23" s="60" t="n">
        <f aca="false">A23*B23*10000</f>
        <v>0</v>
      </c>
      <c r="D23" s="21"/>
      <c r="E23" s="65"/>
      <c r="F23" s="66"/>
      <c r="G23" s="67" t="n">
        <f aca="false">E23*F23*10000</f>
        <v>0</v>
      </c>
      <c r="I23" s="68"/>
    </row>
    <row r="24" customFormat="false" ht="6.75" hidden="false" customHeight="true" outlineLevel="0" collapsed="false">
      <c r="A24" s="69"/>
      <c r="B24" s="6"/>
      <c r="C24" s="60" t="n">
        <f aca="false">A24*B24*10000</f>
        <v>0</v>
      </c>
      <c r="D24" s="21"/>
      <c r="E24" s="65"/>
      <c r="F24" s="66"/>
      <c r="G24" s="67" t="n">
        <f aca="false">E24*F24*10000</f>
        <v>0</v>
      </c>
      <c r="I24" s="68"/>
    </row>
    <row r="25" customFormat="false" ht="6.75" hidden="false" customHeight="true" outlineLevel="0" collapsed="false">
      <c r="A25" s="69"/>
      <c r="B25" s="6"/>
      <c r="C25" s="60" t="n">
        <f aca="false">A25*B25*10000</f>
        <v>0</v>
      </c>
      <c r="D25" s="21"/>
      <c r="E25" s="65"/>
      <c r="F25" s="66"/>
      <c r="G25" s="67" t="n">
        <f aca="false">E25*F25*10000</f>
        <v>0</v>
      </c>
      <c r="I25" s="68"/>
    </row>
    <row r="26" customFormat="false" ht="6.75" hidden="false" customHeight="true" outlineLevel="0" collapsed="false">
      <c r="A26" s="69"/>
      <c r="B26" s="6"/>
      <c r="C26" s="60" t="n">
        <f aca="false">A26*B26*10000</f>
        <v>0</v>
      </c>
      <c r="D26" s="21"/>
      <c r="E26" s="65"/>
      <c r="F26" s="66"/>
      <c r="G26" s="67" t="n">
        <f aca="false">E26*F26*10000</f>
        <v>0</v>
      </c>
      <c r="I26" s="68"/>
    </row>
    <row r="27" customFormat="false" ht="9" hidden="false" customHeight="true" outlineLevel="0" collapsed="false">
      <c r="A27" s="69"/>
      <c r="B27" s="6"/>
      <c r="C27" s="60" t="n">
        <f aca="false">A27*B27*10000</f>
        <v>0</v>
      </c>
      <c r="D27" s="21"/>
      <c r="E27" s="65"/>
      <c r="F27" s="66"/>
      <c r="G27" s="67" t="n">
        <f aca="false">E27*F27*10000</f>
        <v>0</v>
      </c>
      <c r="I27" s="68"/>
    </row>
    <row r="28" customFormat="false" ht="9" hidden="false" customHeight="true" outlineLevel="0" collapsed="false">
      <c r="A28" s="69"/>
      <c r="B28" s="6"/>
      <c r="C28" s="60" t="n">
        <f aca="false">A28*B28*10000</f>
        <v>0</v>
      </c>
      <c r="D28" s="21"/>
      <c r="E28" s="65"/>
      <c r="F28" s="66"/>
      <c r="G28" s="67" t="n">
        <f aca="false">E28*F28*10000</f>
        <v>0</v>
      </c>
      <c r="I28" s="68"/>
    </row>
    <row r="29" customFormat="false" ht="9" hidden="false" customHeight="true" outlineLevel="0" collapsed="false">
      <c r="A29" s="69"/>
      <c r="B29" s="6"/>
      <c r="C29" s="60" t="n">
        <f aca="false">A29*B29*10000</f>
        <v>0</v>
      </c>
      <c r="D29" s="21"/>
      <c r="E29" s="69"/>
      <c r="F29" s="6"/>
      <c r="G29" s="67" t="n">
        <f aca="false">E29*F29*10000</f>
        <v>0</v>
      </c>
      <c r="I29" s="68"/>
    </row>
    <row r="30" customFormat="false" ht="9" hidden="false" customHeight="true" outlineLevel="0" collapsed="false">
      <c r="A30" s="69"/>
      <c r="B30" s="6"/>
      <c r="C30" s="60" t="n">
        <f aca="false">A30*B30*10000</f>
        <v>0</v>
      </c>
      <c r="D30" s="21"/>
      <c r="E30" s="69"/>
      <c r="F30" s="6"/>
      <c r="G30" s="67" t="n">
        <f aca="false">E30*F30*10000</f>
        <v>0</v>
      </c>
      <c r="I30" s="68"/>
    </row>
    <row r="31" customFormat="false" ht="12.75" hidden="false" customHeight="false" outlineLevel="0" collapsed="false">
      <c r="A31" s="69"/>
      <c r="B31" s="6"/>
      <c r="C31" s="60" t="n">
        <f aca="false">A31*B31*10000</f>
        <v>0</v>
      </c>
      <c r="D31" s="21"/>
      <c r="E31" s="69"/>
      <c r="F31" s="6"/>
      <c r="G31" s="67" t="n">
        <f aca="false">E31*F31*10000</f>
        <v>0</v>
      </c>
      <c r="I31" s="68"/>
    </row>
    <row r="32" customFormat="false" ht="12.75" hidden="false" customHeight="false" outlineLevel="0" collapsed="false">
      <c r="E32" s="54"/>
      <c r="G32" s="74"/>
    </row>
    <row r="33" customFormat="false" ht="12.75" hidden="false" customHeight="false" outlineLevel="0" collapsed="false">
      <c r="A33" s="69" t="n">
        <f aca="false">SUM(A1:A32)</f>
        <v>15</v>
      </c>
      <c r="B33" s="6" t="n">
        <f aca="false">IF(A33=0,0,C33/A33/10000)</f>
        <v>4.255</v>
      </c>
      <c r="C33" s="60" t="n">
        <f aca="false">SUM(C1:C32)</f>
        <v>638250</v>
      </c>
      <c r="E33" s="69" t="n">
        <f aca="false">SUM(E1:E32)</f>
        <v>0</v>
      </c>
      <c r="F33" s="6" t="n">
        <f aca="false">IF(E33=0,0,G33/E33/10000)</f>
        <v>0</v>
      </c>
      <c r="G33" s="67" t="n">
        <f aca="false">SUM(G1:G32)</f>
        <v>0</v>
      </c>
      <c r="I33" s="75" t="n">
        <f aca="false">MIN(A33,E33)*(B33-F33)*10000</f>
        <v>0</v>
      </c>
      <c r="J33" s="76"/>
      <c r="K33" s="76" t="s">
        <v>532</v>
      </c>
      <c r="L33" s="21"/>
      <c r="M33" s="21"/>
    </row>
    <row r="34" customFormat="false" ht="12.75" hidden="false" customHeight="false" outlineLevel="0" collapsed="false">
      <c r="I34" s="75"/>
      <c r="J34" s="76"/>
      <c r="K34" s="76"/>
      <c r="L34" s="21"/>
      <c r="M34" s="21"/>
    </row>
    <row r="35" customFormat="false" ht="12.75" hidden="false" customHeight="false" outlineLevel="0" collapsed="false">
      <c r="E35" s="56" t="n">
        <f aca="false">-A33+E33</f>
        <v>-15</v>
      </c>
      <c r="F35" s="0" t="n">
        <f aca="false">IF(E35&lt;0,B33,F33)</f>
        <v>4.255</v>
      </c>
      <c r="G35" s="57" t="n">
        <f aca="false">IF(E35&lt;0,(F35-B38)*ABS(E35)*10000,-1*(F35-B38)*ABS(E35)*10000)</f>
        <v>28500.0000000001</v>
      </c>
      <c r="I35" s="75" t="n">
        <f aca="false">G35</f>
        <v>28500.0000000001</v>
      </c>
      <c r="J35" s="76"/>
      <c r="K35" s="76" t="s">
        <v>533</v>
      </c>
      <c r="L35" s="21"/>
      <c r="M35" s="21" t="s">
        <v>534</v>
      </c>
    </row>
    <row r="36" customFormat="false" ht="12.75" hidden="false" customHeight="false" outlineLevel="0" collapsed="false">
      <c r="L36" s="21"/>
      <c r="M36" s="21"/>
    </row>
    <row r="37" customFormat="false" ht="12.75" hidden="false" customHeight="false" outlineLevel="0" collapsed="false">
      <c r="E37" s="56" t="n">
        <f aca="false">-A33+E33</f>
        <v>-15</v>
      </c>
      <c r="F37" s="0" t="n">
        <f aca="false">IF(E37&lt;0,(B33+(I33/(ABS(E37)*10000))),IF(E37=0,0,(F33-(I33/(ABS(E37)*10000)))))</f>
        <v>4.255</v>
      </c>
      <c r="G37" s="57" t="n">
        <f aca="false">IF(E37&lt;0,(F37-B38)*ABS(E37)*10000,IF(E37=0,0,-1*(F37-B38)*ABS(E37)*10000))</f>
        <v>28500.0000000001</v>
      </c>
      <c r="I37" s="77" t="n">
        <f aca="false">G37</f>
        <v>28500.0000000001</v>
      </c>
      <c r="J37" s="78"/>
      <c r="K37" s="78" t="s">
        <v>535</v>
      </c>
      <c r="L37" s="21"/>
      <c r="M37" s="21" t="s">
        <v>536</v>
      </c>
    </row>
    <row r="38" customFormat="false" ht="12.75" hidden="false" customHeight="false" outlineLevel="0" collapsed="false">
      <c r="B38" s="0" t="n">
        <f aca="false">IF(ISBLANK(B39),'[1]Nymex Prices'!B10,B39)</f>
        <v>4.065</v>
      </c>
      <c r="C38" s="55" t="s">
        <v>537</v>
      </c>
      <c r="L38" s="21"/>
      <c r="M38" s="21"/>
    </row>
    <row r="39" customFormat="false" ht="12.75" hidden="false" customHeight="false" outlineLevel="0" collapsed="false">
      <c r="B39" s="0" t="n">
        <f aca="false">Summary!B7</f>
        <v>4.065</v>
      </c>
      <c r="C39" s="55" t="s">
        <v>538</v>
      </c>
      <c r="I39" s="79" t="n">
        <f aca="false">I33+I35</f>
        <v>28500.0000000001</v>
      </c>
      <c r="J39" s="80"/>
      <c r="K39" s="80" t="s">
        <v>539</v>
      </c>
      <c r="L39" s="21"/>
      <c r="M39" s="21"/>
    </row>
    <row r="46" customFormat="false" ht="12.75" hidden="false" customHeight="false" outlineLevel="0" collapsed="false">
      <c r="A46" s="56"/>
    </row>
    <row r="49" customFormat="false" ht="12.75" hidden="false" customHeight="false" outlineLevel="0" collapsed="false">
      <c r="A49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D8" activeCellId="0" sqref="D8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4" width="9.85"/>
    <col collapsed="false" customWidth="true" hidden="false" outlineLevel="0" max="2" min="2" style="0" width="11.85"/>
    <col collapsed="false" customWidth="true" hidden="false" outlineLevel="0" max="3" min="3" style="0" width="11.56"/>
    <col collapsed="false" customWidth="true" hidden="false" outlineLevel="0" max="4" min="4" style="0" width="12.42"/>
    <col collapsed="false" customWidth="true" hidden="false" outlineLevel="0" max="5" min="5" style="0" width="11.42"/>
    <col collapsed="false" customWidth="true" hidden="false" outlineLevel="0" max="6" min="6" style="0" width="10.99"/>
    <col collapsed="false" customWidth="true" hidden="false" outlineLevel="0" max="7" min="7" style="0" width="11.13"/>
    <col collapsed="false" customWidth="true" hidden="false" outlineLevel="0" max="8" min="8" style="0" width="14.41"/>
    <col collapsed="false" customWidth="true" hidden="false" outlineLevel="0" max="9" min="9" style="0" width="15.41"/>
    <col collapsed="false" customWidth="true" hidden="false" outlineLevel="0" max="10" min="10" style="0" width="7.99"/>
    <col collapsed="false" customWidth="true" hidden="false" outlineLevel="0" max="11" min="11" style="0" width="10.71"/>
  </cols>
  <sheetData>
    <row r="1" customFormat="false" ht="12.75" hidden="false" customHeight="false" outlineLevel="0" collapsed="false">
      <c r="B1" s="15" t="s">
        <v>550</v>
      </c>
      <c r="C1" s="15" t="s">
        <v>505</v>
      </c>
      <c r="D1" s="15" t="s">
        <v>607</v>
      </c>
      <c r="E1" s="15" t="s">
        <v>507</v>
      </c>
      <c r="F1" s="1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B2" s="15"/>
      <c r="C2" s="15"/>
      <c r="D2" s="15"/>
      <c r="E2" s="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false" outlineLevel="0" collapsed="false">
      <c r="A3" s="51" t="n">
        <v>37043</v>
      </c>
      <c r="B3" s="116"/>
      <c r="C3" s="17"/>
      <c r="D3" s="117"/>
      <c r="E3" s="17"/>
      <c r="F3" s="118" t="n">
        <v>-0.06</v>
      </c>
      <c r="G3" s="0" t="n">
        <f aca="false">0.021-0.005</f>
        <v>0.016</v>
      </c>
      <c r="H3" s="0" t="n">
        <f aca="false">G3*760000</f>
        <v>12160</v>
      </c>
    </row>
    <row r="4" customFormat="false" ht="12.75" hidden="false" customHeight="false" outlineLevel="0" collapsed="false">
      <c r="A4" s="51" t="n">
        <v>37073</v>
      </c>
      <c r="B4" s="116" t="n">
        <v>0</v>
      </c>
      <c r="C4" s="17"/>
      <c r="D4" s="17" t="n">
        <f aca="false">-15.5</f>
        <v>-15.5</v>
      </c>
      <c r="E4" s="17" t="n">
        <v>-139.5</v>
      </c>
      <c r="F4" s="118" t="n">
        <v>0.04</v>
      </c>
      <c r="G4" s="0" t="n">
        <v>0.015</v>
      </c>
      <c r="H4" s="0" t="n">
        <f aca="false">G4*900000</f>
        <v>13500</v>
      </c>
    </row>
    <row r="5" customFormat="false" ht="12.75" hidden="false" customHeight="false" outlineLevel="0" collapsed="false">
      <c r="A5" s="51" t="n">
        <v>37104</v>
      </c>
      <c r="B5" s="116" t="n">
        <f aca="false">-31-31-31-31</f>
        <v>-124</v>
      </c>
      <c r="C5" s="17"/>
      <c r="D5" s="17" t="n">
        <f aca="false">-15.5</f>
        <v>-15.5</v>
      </c>
      <c r="E5" s="17"/>
      <c r="F5" s="118" t="n">
        <v>0.07</v>
      </c>
      <c r="H5" s="0" t="n">
        <f aca="false">SUM(H3:H4)</f>
        <v>25660</v>
      </c>
    </row>
    <row r="6" customFormat="false" ht="12.75" hidden="false" customHeight="false" outlineLevel="0" collapsed="false">
      <c r="A6" s="51" t="n">
        <v>37135</v>
      </c>
      <c r="B6" s="116" t="n">
        <f aca="false">-30-30-30</f>
        <v>-90</v>
      </c>
      <c r="C6" s="17"/>
      <c r="D6" s="17" t="n">
        <f aca="false">-15</f>
        <v>-15</v>
      </c>
      <c r="E6" s="17"/>
      <c r="F6" s="118" t="n">
        <v>0.04</v>
      </c>
    </row>
    <row r="7" customFormat="false" ht="12.75" hidden="false" customHeight="false" outlineLevel="0" collapsed="false">
      <c r="A7" s="51" t="n">
        <v>37165</v>
      </c>
      <c r="B7" s="116"/>
      <c r="C7" s="17"/>
      <c r="D7" s="17" t="n">
        <f aca="false">-15.5</f>
        <v>-15.5</v>
      </c>
      <c r="E7" s="17"/>
      <c r="F7" s="118" t="n">
        <v>0.015</v>
      </c>
    </row>
    <row r="8" customFormat="false" ht="12.75" hidden="false" customHeight="false" outlineLevel="0" collapsed="false">
      <c r="A8" s="51" t="n">
        <v>37196</v>
      </c>
      <c r="B8" s="17"/>
      <c r="C8" s="17"/>
      <c r="D8" s="17"/>
      <c r="E8" s="17"/>
      <c r="F8" s="17"/>
    </row>
    <row r="9" customFormat="false" ht="12.75" hidden="false" customHeight="false" outlineLevel="0" collapsed="false">
      <c r="A9" s="51" t="n">
        <v>37226</v>
      </c>
      <c r="B9" s="17"/>
      <c r="C9" s="17"/>
      <c r="D9" s="17"/>
      <c r="E9" s="17"/>
      <c r="F9" s="17"/>
    </row>
    <row r="10" customFormat="false" ht="12.75" hidden="false" customHeight="false" outlineLevel="0" collapsed="false">
      <c r="A10" s="51" t="n">
        <v>37257</v>
      </c>
      <c r="B10" s="17"/>
      <c r="C10" s="17"/>
      <c r="D10" s="17"/>
      <c r="E10" s="17"/>
      <c r="F10" s="17"/>
    </row>
    <row r="11" customFormat="false" ht="12.75" hidden="false" customHeight="false" outlineLevel="0" collapsed="false">
      <c r="A11" s="51" t="n">
        <v>37288</v>
      </c>
      <c r="B11" s="17"/>
      <c r="C11" s="17"/>
      <c r="D11" s="17"/>
      <c r="E11" s="17"/>
      <c r="F11" s="17"/>
    </row>
    <row r="12" customFormat="false" ht="12.75" hidden="false" customHeight="false" outlineLevel="0" collapsed="false">
      <c r="A12" s="51" t="n">
        <v>37316</v>
      </c>
      <c r="B12" s="17"/>
      <c r="C12" s="17"/>
      <c r="D12" s="17"/>
      <c r="E12" s="17"/>
      <c r="F12" s="17"/>
    </row>
    <row r="13" customFormat="false" ht="12.75" hidden="false" customHeight="false" outlineLevel="0" collapsed="false">
      <c r="A13" s="51" t="n">
        <v>37347</v>
      </c>
      <c r="B13" s="17"/>
      <c r="C13" s="17"/>
      <c r="D13" s="17"/>
      <c r="E13" s="17"/>
      <c r="F13" s="17"/>
    </row>
    <row r="14" customFormat="false" ht="12.75" hidden="false" customHeight="false" outlineLevel="0" collapsed="false">
      <c r="A14" s="51" t="n">
        <v>37377</v>
      </c>
      <c r="B14" s="17"/>
      <c r="C14" s="17"/>
      <c r="D14" s="17"/>
      <c r="E14" s="17"/>
      <c r="F14" s="17"/>
      <c r="I14" s="0" t="n">
        <f aca="false">4.5*31</f>
        <v>139.5</v>
      </c>
    </row>
    <row r="15" customFormat="false" ht="12.75" hidden="false" customHeight="false" outlineLevel="0" collapsed="false">
      <c r="A15" s="51" t="n">
        <v>37408</v>
      </c>
      <c r="B15" s="17"/>
      <c r="C15" s="17"/>
      <c r="D15" s="17"/>
      <c r="E15" s="17"/>
      <c r="F15" s="17"/>
    </row>
    <row r="16" customFormat="false" ht="12.75" hidden="false" customHeight="false" outlineLevel="0" collapsed="false">
      <c r="A16" s="51" t="n">
        <v>37438</v>
      </c>
      <c r="B16" s="17"/>
      <c r="C16" s="17"/>
      <c r="D16" s="17"/>
      <c r="E16" s="117"/>
      <c r="F16" s="117"/>
    </row>
    <row r="17" customFormat="false" ht="12.75" hidden="false" customHeight="false" outlineLevel="0" collapsed="false">
      <c r="A17" s="51"/>
      <c r="B17" s="116" t="n">
        <f aca="false">SUM(B3:B16)</f>
        <v>-214</v>
      </c>
      <c r="C17" s="116" t="n">
        <f aca="false">SUM(C3:C16)</f>
        <v>0</v>
      </c>
      <c r="D17" s="116" t="n">
        <f aca="false">SUM(D3:D16)</f>
        <v>-61.5</v>
      </c>
      <c r="E17" s="17" t="n">
        <f aca="false">SUM(E4:E16)</f>
        <v>-139.5</v>
      </c>
      <c r="F17" s="17"/>
    </row>
    <row r="18" customFormat="false" ht="12.75" hidden="false" customHeight="false" outlineLevel="0" collapsed="false">
      <c r="A18" s="51"/>
      <c r="B18" s="17"/>
      <c r="C18" s="17"/>
      <c r="D18" s="17"/>
      <c r="E18" s="17"/>
      <c r="F18" s="17"/>
    </row>
    <row r="19" customFormat="false" ht="12.75" hidden="false" customHeight="false" outlineLevel="0" collapsed="false">
      <c r="A19" s="51"/>
      <c r="B19" s="17" t="n">
        <f aca="false">SUM(B17:E17)</f>
        <v>-415</v>
      </c>
      <c r="C19" s="17"/>
      <c r="D19" s="17" t="n">
        <f aca="false">SUM(D17:G17)</f>
        <v>-201</v>
      </c>
      <c r="E19" s="17"/>
      <c r="F19" s="17"/>
    </row>
    <row r="20" customFormat="false" ht="12.75" hidden="false" customHeight="false" outlineLevel="0" collapsed="false">
      <c r="A20" s="51"/>
      <c r="B20" s="17"/>
      <c r="C20" s="17"/>
      <c r="D20" s="17"/>
      <c r="E20" s="17"/>
      <c r="F20" s="17"/>
    </row>
    <row r="21" customFormat="false" ht="12.75" hidden="false" customHeight="false" outlineLevel="0" collapsed="false">
      <c r="A21" s="51"/>
      <c r="B21" s="17"/>
      <c r="C21" s="17"/>
      <c r="D21" s="17"/>
      <c r="E21" s="17"/>
      <c r="F21" s="17"/>
    </row>
    <row r="22" customFormat="false" ht="12.75" hidden="false" customHeight="false" outlineLevel="0" collapsed="false">
      <c r="A22" s="51"/>
      <c r="B22" s="17"/>
      <c r="C22" s="17"/>
      <c r="D22" s="17" t="n">
        <f aca="false">270*10000</f>
        <v>2700000</v>
      </c>
      <c r="E22" s="17"/>
      <c r="F22" s="17"/>
    </row>
    <row r="23" customFormat="false" ht="12.75" hidden="false" customHeight="false" outlineLevel="0" collapsed="false">
      <c r="A23" s="51"/>
      <c r="B23" s="17"/>
      <c r="C23" s="17"/>
      <c r="D23" s="17" t="n">
        <f aca="false">D22*0.0075</f>
        <v>20250</v>
      </c>
      <c r="E23" s="17"/>
      <c r="F23" s="17"/>
    </row>
    <row r="24" customFormat="false" ht="12.75" hidden="false" customHeight="false" outlineLevel="0" collapsed="false">
      <c r="A24" s="51"/>
      <c r="B24" s="17"/>
      <c r="C24" s="17"/>
      <c r="D24" s="17"/>
      <c r="E24" s="17"/>
      <c r="F24" s="17"/>
    </row>
    <row r="25" customFormat="false" ht="12.75" hidden="false" customHeight="false" outlineLevel="0" collapsed="false">
      <c r="A25" s="51"/>
      <c r="B25" s="17"/>
      <c r="C25" s="17"/>
      <c r="D25" s="17"/>
      <c r="E25" s="17"/>
      <c r="F25" s="17"/>
    </row>
    <row r="26" customFormat="false" ht="12.75" hidden="false" customHeight="false" outlineLevel="0" collapsed="false">
      <c r="A26" s="51"/>
      <c r="B26" s="17"/>
      <c r="C26" s="17"/>
      <c r="D26" s="17"/>
      <c r="E26" s="17"/>
      <c r="F26" s="17"/>
    </row>
    <row r="27" customFormat="false" ht="12.75" hidden="false" customHeight="false" outlineLevel="0" collapsed="false">
      <c r="A27" s="51"/>
      <c r="B27" s="17"/>
      <c r="C27" s="17"/>
      <c r="D27" s="17"/>
      <c r="E27" s="17"/>
      <c r="F27" s="17"/>
    </row>
    <row r="28" customFormat="false" ht="12.75" hidden="false" customHeight="false" outlineLevel="0" collapsed="false">
      <c r="A28" s="51"/>
      <c r="B28" s="17"/>
      <c r="C28" s="17"/>
      <c r="D28" s="17"/>
      <c r="E28" s="17"/>
      <c r="F28" s="17"/>
    </row>
    <row r="29" customFormat="false" ht="12.75" hidden="false" customHeight="false" outlineLevel="0" collapsed="false">
      <c r="A29" s="51"/>
      <c r="B29" s="17"/>
      <c r="C29" s="17"/>
      <c r="D29" s="17"/>
      <c r="E29" s="17"/>
      <c r="F29" s="17"/>
    </row>
    <row r="30" customFormat="false" ht="12.75" hidden="false" customHeight="false" outlineLevel="0" collapsed="false">
      <c r="A30" s="51"/>
      <c r="B30" s="17"/>
      <c r="C30" s="17"/>
      <c r="D30" s="17"/>
      <c r="E30" s="17"/>
      <c r="F30" s="17"/>
    </row>
    <row r="31" customFormat="false" ht="12.75" hidden="false" customHeight="false" outlineLevel="0" collapsed="false">
      <c r="A31" s="51"/>
      <c r="B31" s="17"/>
      <c r="C31" s="17"/>
      <c r="D31" s="17"/>
      <c r="E31" s="17"/>
      <c r="F31" s="17"/>
      <c r="G31" s="30"/>
      <c r="H31" s="30"/>
    </row>
    <row r="32" customFormat="false" ht="12.75" hidden="false" customHeight="false" outlineLevel="0" collapsed="false">
      <c r="A32" s="51"/>
      <c r="B32" s="17"/>
      <c r="C32" s="17"/>
      <c r="D32" s="17"/>
      <c r="E32" s="17"/>
      <c r="F32" s="17"/>
    </row>
    <row r="33" customFormat="false" ht="12.75" hidden="false" customHeight="false" outlineLevel="0" collapsed="false">
      <c r="A33" s="51"/>
      <c r="B33" s="17"/>
      <c r="C33" s="17"/>
      <c r="D33" s="17"/>
      <c r="E33" s="17"/>
      <c r="F33" s="17"/>
    </row>
    <row r="34" customFormat="false" ht="12.75" hidden="false" customHeight="false" outlineLevel="0" collapsed="false">
      <c r="A34" s="51"/>
      <c r="B34" s="30"/>
      <c r="C34" s="30"/>
      <c r="D34" s="30"/>
      <c r="E34" s="30"/>
      <c r="F34" s="30"/>
      <c r="G34" s="119"/>
      <c r="H34" s="120"/>
      <c r="I34" s="119"/>
      <c r="J34" s="119"/>
      <c r="K34" s="121"/>
      <c r="L34" s="121"/>
    </row>
    <row r="35" customFormat="false" ht="12.75" hidden="false" customHeight="false" outlineLevel="0" collapsed="false">
      <c r="E35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4" width="10.13"/>
    <col collapsed="false" customWidth="true" hidden="false" outlineLevel="0" max="2" min="2" style="0" width="9.41"/>
    <col collapsed="false" customWidth="true" hidden="false" outlineLevel="0" max="3" min="3" style="55" width="17.14"/>
    <col collapsed="false" customWidth="true" hidden="false" outlineLevel="0" max="4" min="4" style="0" width="3.14"/>
    <col collapsed="false" customWidth="true" hidden="false" outlineLevel="0" max="5" min="5" style="56" width="10.13"/>
    <col collapsed="false" customWidth="true" hidden="false" outlineLevel="0" max="6" min="6" style="0" width="9.41"/>
    <col collapsed="false" customWidth="true" hidden="false" outlineLevel="0" max="7" min="7" style="57" width="15.28"/>
    <col collapsed="false" customWidth="true" hidden="false" outlineLevel="0" max="8" min="8" style="0" width="2.84"/>
    <col collapsed="false" customWidth="true" hidden="false" outlineLevel="0" max="9" min="9" style="58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9" t="s">
        <v>529</v>
      </c>
      <c r="B1" s="6"/>
      <c r="C1" s="60"/>
      <c r="D1" s="21"/>
      <c r="E1" s="59"/>
      <c r="F1" s="6"/>
      <c r="G1" s="61"/>
      <c r="I1" s="62"/>
      <c r="K1" s="63"/>
    </row>
    <row r="2" customFormat="false" ht="12.75" hidden="false" customHeight="false" outlineLevel="0" collapsed="false">
      <c r="A2" s="64" t="n">
        <v>37.75</v>
      </c>
      <c r="B2" s="6" t="n">
        <v>4.155</v>
      </c>
      <c r="C2" s="60" t="n">
        <f aca="false">A2*B2*10000</f>
        <v>1568512.5</v>
      </c>
      <c r="D2" s="21"/>
      <c r="E2" s="65" t="n">
        <v>37.75</v>
      </c>
      <c r="F2" s="66" t="n">
        <v>4.28</v>
      </c>
      <c r="G2" s="67" t="n">
        <f aca="false">E2*F2*10000</f>
        <v>1615700</v>
      </c>
      <c r="I2" s="68"/>
    </row>
    <row r="3" customFormat="false" ht="12.75" hidden="false" customHeight="false" outlineLevel="0" collapsed="false">
      <c r="A3" s="64" t="n">
        <v>37.75</v>
      </c>
      <c r="B3" s="6" t="n">
        <v>4.16</v>
      </c>
      <c r="C3" s="60" t="n">
        <f aca="false">A3*B3*10000</f>
        <v>1570400</v>
      </c>
      <c r="D3" s="21"/>
      <c r="E3" s="69" t="n">
        <v>37.75</v>
      </c>
      <c r="F3" s="6" t="n">
        <v>4.305</v>
      </c>
      <c r="G3" s="67" t="n">
        <f aca="false">E3*F3*10000</f>
        <v>1625137.5</v>
      </c>
      <c r="I3" s="70"/>
      <c r="K3" s="71"/>
    </row>
    <row r="4" customFormat="false" ht="12.75" hidden="false" customHeight="false" outlineLevel="0" collapsed="false">
      <c r="A4" s="72" t="n">
        <v>37.75</v>
      </c>
      <c r="B4" s="66" t="n">
        <v>4.275</v>
      </c>
      <c r="C4" s="60" t="n">
        <f aca="false">A4*B4*10000</f>
        <v>1613812.5</v>
      </c>
      <c r="D4" s="21"/>
      <c r="E4" s="69" t="n">
        <v>37.75</v>
      </c>
      <c r="F4" s="6" t="n">
        <v>4.38</v>
      </c>
      <c r="G4" s="67" t="n">
        <f aca="false">E4*F4*10000</f>
        <v>1653450</v>
      </c>
      <c r="J4" s="68"/>
      <c r="K4" s="21" t="n">
        <f aca="false">4.69+0.032</f>
        <v>4.722</v>
      </c>
    </row>
    <row r="5" customFormat="false" ht="12.75" hidden="false" customHeight="false" outlineLevel="0" collapsed="false">
      <c r="A5" s="72" t="n">
        <v>37.75</v>
      </c>
      <c r="B5" s="66" t="n">
        <v>4.28</v>
      </c>
      <c r="C5" s="60" t="n">
        <f aca="false">A5*B5*10000</f>
        <v>1615700</v>
      </c>
      <c r="D5" s="21"/>
      <c r="E5" s="65" t="n">
        <v>37.75</v>
      </c>
      <c r="F5" s="66" t="n">
        <v>4.365</v>
      </c>
      <c r="G5" s="67" t="n">
        <f aca="false">E5*F5*10000</f>
        <v>1647787.5</v>
      </c>
      <c r="I5" s="68"/>
      <c r="J5" s="40"/>
      <c r="K5" s="21"/>
    </row>
    <row r="6" customFormat="false" ht="12.75" hidden="false" customHeight="false" outlineLevel="0" collapsed="false">
      <c r="A6" s="73" t="n">
        <v>37.75</v>
      </c>
      <c r="B6" s="6" t="n">
        <v>4.55</v>
      </c>
      <c r="C6" s="60" t="n">
        <f aca="false">A6*B6*10000</f>
        <v>1717625</v>
      </c>
      <c r="D6" s="21"/>
      <c r="E6" s="69" t="n">
        <v>37.75</v>
      </c>
      <c r="F6" s="6" t="n">
        <v>4.51</v>
      </c>
      <c r="G6" s="67" t="n">
        <f aca="false">E6*F6*10000</f>
        <v>1702525</v>
      </c>
      <c r="I6" s="68"/>
      <c r="J6" s="40"/>
      <c r="K6" s="21"/>
      <c r="L6" s="0" t="n">
        <v>30</v>
      </c>
      <c r="M6" s="0" t="n">
        <v>5.49</v>
      </c>
      <c r="N6" s="0" t="n">
        <f aca="false">L6*M6</f>
        <v>164.7</v>
      </c>
    </row>
    <row r="7" customFormat="false" ht="12.75" hidden="false" customHeight="false" outlineLevel="0" collapsed="false">
      <c r="A7" s="69"/>
      <c r="B7" s="6"/>
      <c r="C7" s="60" t="n">
        <f aca="false">A7*B7*10000</f>
        <v>0</v>
      </c>
      <c r="D7" s="21"/>
      <c r="E7" s="69"/>
      <c r="F7" s="6"/>
      <c r="G7" s="67" t="n">
        <f aca="false">E7*F7*10000</f>
        <v>0</v>
      </c>
      <c r="I7" s="68"/>
      <c r="K7" s="0" t="n">
        <v>15.5</v>
      </c>
      <c r="L7" s="0" t="n">
        <v>15</v>
      </c>
      <c r="M7" s="0" t="n">
        <v>5.455</v>
      </c>
      <c r="N7" s="0" t="n">
        <f aca="false">L7*M7</f>
        <v>81.825</v>
      </c>
    </row>
    <row r="8" customFormat="false" ht="12.75" hidden="false" customHeight="false" outlineLevel="0" collapsed="false">
      <c r="A8" s="69"/>
      <c r="B8" s="6"/>
      <c r="C8" s="60" t="n">
        <f aca="false">A8*B8*10000</f>
        <v>0</v>
      </c>
      <c r="D8" s="21"/>
      <c r="E8" s="69"/>
      <c r="F8" s="6"/>
      <c r="G8" s="67" t="n">
        <f aca="false">E8*F8*10000</f>
        <v>0</v>
      </c>
      <c r="I8" s="68"/>
      <c r="K8" s="21" t="n">
        <v>15.5</v>
      </c>
      <c r="L8" s="115"/>
      <c r="M8" s="115"/>
      <c r="N8" s="0" t="n">
        <f aca="false">L8*M8</f>
        <v>0</v>
      </c>
    </row>
    <row r="9" customFormat="false" ht="12.75" hidden="false" customHeight="false" outlineLevel="0" collapsed="false">
      <c r="A9" s="69"/>
      <c r="B9" s="6"/>
      <c r="C9" s="60" t="n">
        <f aca="false">A9*B9*10000</f>
        <v>0</v>
      </c>
      <c r="D9" s="21"/>
      <c r="E9" s="69"/>
      <c r="F9" s="6"/>
      <c r="G9" s="67" t="n">
        <f aca="false">E9*F9*10000</f>
        <v>0</v>
      </c>
      <c r="I9" s="68"/>
      <c r="K9" s="0" t="n">
        <v>14</v>
      </c>
      <c r="L9" s="115"/>
      <c r="M9" s="115"/>
      <c r="N9" s="0" t="n">
        <f aca="false">L9*M9</f>
        <v>0</v>
      </c>
    </row>
    <row r="10" customFormat="false" ht="12.75" hidden="false" customHeight="false" outlineLevel="0" collapsed="false">
      <c r="A10" s="69"/>
      <c r="B10" s="6"/>
      <c r="C10" s="60" t="n">
        <f aca="false">A10*B10*10000</f>
        <v>0</v>
      </c>
      <c r="D10" s="21"/>
      <c r="E10" s="69"/>
      <c r="F10" s="6"/>
      <c r="G10" s="67" t="n">
        <f aca="false">E10*F10*10000</f>
        <v>0</v>
      </c>
      <c r="I10" s="68"/>
      <c r="L10" s="115"/>
      <c r="M10" s="115"/>
      <c r="N10" s="0" t="n">
        <f aca="false">L10*M10</f>
        <v>0</v>
      </c>
    </row>
    <row r="11" customFormat="false" ht="12.75" hidden="false" customHeight="false" outlineLevel="0" collapsed="false">
      <c r="A11" s="69"/>
      <c r="B11" s="6"/>
      <c r="C11" s="60" t="n">
        <f aca="false">A11*B11*10000</f>
        <v>0</v>
      </c>
      <c r="D11" s="21"/>
      <c r="E11" s="69"/>
      <c r="F11" s="6"/>
      <c r="G11" s="67" t="n">
        <f aca="false">E11*F11*10000</f>
        <v>0</v>
      </c>
      <c r="I11" s="68"/>
      <c r="K11" s="0" t="n">
        <v>15.5</v>
      </c>
      <c r="L11" s="115"/>
      <c r="M11" s="115"/>
      <c r="N11" s="0" t="n">
        <f aca="false">L11*M11</f>
        <v>0</v>
      </c>
    </row>
    <row r="12" customFormat="false" ht="12.75" hidden="false" customHeight="false" outlineLevel="0" collapsed="false">
      <c r="A12" s="69"/>
      <c r="B12" s="6"/>
      <c r="C12" s="60" t="n">
        <f aca="false">A12*B12*10000</f>
        <v>0</v>
      </c>
      <c r="D12" s="21"/>
      <c r="E12" s="69"/>
      <c r="F12" s="6"/>
      <c r="G12" s="67" t="n">
        <f aca="false">E12*F12*10000</f>
        <v>0</v>
      </c>
      <c r="I12" s="68"/>
      <c r="K12" s="0" t="n">
        <v>15.5</v>
      </c>
      <c r="L12" s="115"/>
      <c r="M12" s="115"/>
      <c r="N12" s="0" t="n">
        <f aca="false">L12*M12</f>
        <v>0</v>
      </c>
    </row>
    <row r="13" customFormat="false" ht="12.75" hidden="false" customHeight="false" outlineLevel="0" collapsed="false">
      <c r="A13" s="69"/>
      <c r="B13" s="6"/>
      <c r="C13" s="60" t="n">
        <f aca="false">A13*B13*10000</f>
        <v>0</v>
      </c>
      <c r="D13" s="21"/>
      <c r="E13" s="69"/>
      <c r="F13" s="6"/>
      <c r="G13" s="67" t="n">
        <f aca="false">E13*F13*10000</f>
        <v>0</v>
      </c>
      <c r="I13" s="68"/>
      <c r="K13" s="0" t="n">
        <v>14</v>
      </c>
      <c r="L13" s="0" t="n">
        <f aca="false">SUM(L6:L12)</f>
        <v>45</v>
      </c>
      <c r="N13" s="0" t="n">
        <f aca="false">SUM(N6:N12)</f>
        <v>246.525</v>
      </c>
    </row>
    <row r="14" customFormat="false" ht="12.75" hidden="false" customHeight="false" outlineLevel="0" collapsed="false">
      <c r="A14" s="69"/>
      <c r="B14" s="6"/>
      <c r="C14" s="60" t="n">
        <f aca="false">A14*B14*10000</f>
        <v>0</v>
      </c>
      <c r="D14" s="21"/>
      <c r="E14" s="65"/>
      <c r="F14" s="66"/>
      <c r="G14" s="67" t="n">
        <f aca="false">E14*F14*10000</f>
        <v>0</v>
      </c>
      <c r="I14" s="68"/>
      <c r="K14" s="0" t="n">
        <v>15.5</v>
      </c>
      <c r="M14" s="0" t="n">
        <f aca="false">N13/L13</f>
        <v>5.47833333333333</v>
      </c>
    </row>
    <row r="15" customFormat="false" ht="12.75" hidden="false" customHeight="false" outlineLevel="0" collapsed="false">
      <c r="A15" s="69"/>
      <c r="B15" s="6"/>
      <c r="C15" s="60" t="n">
        <f aca="false">A15*B15*10000</f>
        <v>0</v>
      </c>
      <c r="D15" s="21"/>
      <c r="E15" s="65"/>
      <c r="F15" s="66"/>
      <c r="G15" s="67" t="n">
        <f aca="false">E15*F15*10000</f>
        <v>0</v>
      </c>
      <c r="I15" s="68"/>
      <c r="K15" s="0" t="n">
        <f aca="false">SUM(K11:K14)</f>
        <v>60.5</v>
      </c>
    </row>
    <row r="16" customFormat="false" ht="12.75" hidden="false" customHeight="false" outlineLevel="0" collapsed="false">
      <c r="A16" s="69"/>
      <c r="B16" s="6"/>
      <c r="C16" s="60" t="n">
        <f aca="false">A16*B16*10000</f>
        <v>0</v>
      </c>
      <c r="D16" s="21"/>
      <c r="E16" s="65"/>
      <c r="F16" s="66"/>
      <c r="G16" s="67" t="n">
        <f aca="false">E16*F16*10000</f>
        <v>0</v>
      </c>
      <c r="I16" s="68"/>
      <c r="K16" s="0" t="n">
        <f aca="false">K15/2</f>
        <v>30.25</v>
      </c>
    </row>
    <row r="17" customFormat="false" ht="12.75" hidden="false" customHeight="false" outlineLevel="0" collapsed="false">
      <c r="A17" s="69"/>
      <c r="B17" s="6"/>
      <c r="C17" s="60" t="n">
        <f aca="false">A17*B17*10000</f>
        <v>0</v>
      </c>
      <c r="D17" s="21"/>
      <c r="E17" s="65"/>
      <c r="F17" s="66"/>
      <c r="G17" s="67" t="n">
        <f aca="false">E17*F17*10000</f>
        <v>0</v>
      </c>
      <c r="I17" s="68"/>
    </row>
    <row r="18" customFormat="false" ht="12.75" hidden="false" customHeight="false" outlineLevel="0" collapsed="false">
      <c r="A18" s="69"/>
      <c r="B18" s="6"/>
      <c r="C18" s="60" t="n">
        <f aca="false">A18*B18*10000</f>
        <v>0</v>
      </c>
      <c r="D18" s="21"/>
      <c r="E18" s="65"/>
      <c r="F18" s="66"/>
      <c r="G18" s="67" t="n">
        <f aca="false">E18*F18*10000</f>
        <v>0</v>
      </c>
      <c r="I18" s="68"/>
      <c r="K18" s="0" t="n">
        <f aca="false">2500*214</f>
        <v>535000</v>
      </c>
    </row>
    <row r="19" customFormat="false" ht="12.75" hidden="false" customHeight="false" outlineLevel="0" collapsed="false">
      <c r="A19" s="69"/>
      <c r="B19" s="6"/>
      <c r="C19" s="60" t="n">
        <f aca="false">A19*B19*10000</f>
        <v>0</v>
      </c>
      <c r="D19" s="21"/>
      <c r="E19" s="65"/>
      <c r="F19" s="66"/>
      <c r="G19" s="67" t="n">
        <f aca="false">E19*F19*10000</f>
        <v>0</v>
      </c>
      <c r="I19" s="68"/>
      <c r="K19" s="0" t="n">
        <f aca="false">2500*151</f>
        <v>377500</v>
      </c>
    </row>
    <row r="20" customFormat="false" ht="12.75" hidden="false" customHeight="false" outlineLevel="0" collapsed="false">
      <c r="A20" s="69"/>
      <c r="B20" s="6"/>
      <c r="C20" s="60" t="n">
        <f aca="false">A20*B20*10000</f>
        <v>0</v>
      </c>
      <c r="D20" s="21"/>
      <c r="E20" s="65"/>
      <c r="F20" s="66"/>
      <c r="G20" s="67" t="n">
        <f aca="false">E20*F20*10000</f>
        <v>0</v>
      </c>
      <c r="I20" s="68"/>
    </row>
    <row r="21" customFormat="false" ht="12.75" hidden="false" customHeight="false" outlineLevel="0" collapsed="false">
      <c r="A21" s="69"/>
      <c r="B21" s="6"/>
      <c r="C21" s="60" t="n">
        <f aca="false">A21*B21*10000</f>
        <v>0</v>
      </c>
      <c r="D21" s="21"/>
      <c r="E21" s="65"/>
      <c r="F21" s="66"/>
      <c r="G21" s="67" t="n">
        <f aca="false">E21*F21*10000</f>
        <v>0</v>
      </c>
      <c r="I21" s="68"/>
    </row>
    <row r="22" customFormat="false" ht="12.75" hidden="false" customHeight="false" outlineLevel="0" collapsed="false">
      <c r="A22" s="69"/>
      <c r="B22" s="6"/>
      <c r="C22" s="60" t="n">
        <f aca="false">A22*B22*10000</f>
        <v>0</v>
      </c>
      <c r="D22" s="21"/>
      <c r="E22" s="65"/>
      <c r="F22" s="66"/>
      <c r="G22" s="67" t="n">
        <f aca="false">E22*F22*10000</f>
        <v>0</v>
      </c>
      <c r="I22" s="68"/>
      <c r="K22" s="0" t="n">
        <f aca="false">151/4</f>
        <v>37.75</v>
      </c>
    </row>
    <row r="23" customFormat="false" ht="12.75" hidden="false" customHeight="false" outlineLevel="0" collapsed="false">
      <c r="A23" s="69"/>
      <c r="B23" s="6"/>
      <c r="C23" s="60" t="n">
        <f aca="false">A23*B23*10000</f>
        <v>0</v>
      </c>
      <c r="D23" s="21"/>
      <c r="E23" s="65"/>
      <c r="F23" s="66"/>
      <c r="G23" s="67" t="n">
        <f aca="false">E23*F23*10000</f>
        <v>0</v>
      </c>
      <c r="I23" s="68"/>
    </row>
    <row r="24" customFormat="false" ht="6.75" hidden="false" customHeight="true" outlineLevel="0" collapsed="false">
      <c r="A24" s="69"/>
      <c r="B24" s="6"/>
      <c r="C24" s="60" t="n">
        <f aca="false">A24*B24*10000</f>
        <v>0</v>
      </c>
      <c r="D24" s="21"/>
      <c r="E24" s="65"/>
      <c r="F24" s="66"/>
      <c r="G24" s="67" t="n">
        <f aca="false">E24*F24*10000</f>
        <v>0</v>
      </c>
      <c r="I24" s="68"/>
    </row>
    <row r="25" customFormat="false" ht="6.75" hidden="false" customHeight="true" outlineLevel="0" collapsed="false">
      <c r="A25" s="69"/>
      <c r="B25" s="6"/>
      <c r="C25" s="60" t="n">
        <f aca="false">A25*B25*10000</f>
        <v>0</v>
      </c>
      <c r="D25" s="21"/>
      <c r="E25" s="65"/>
      <c r="F25" s="66"/>
      <c r="G25" s="67" t="n">
        <f aca="false">E25*F25*10000</f>
        <v>0</v>
      </c>
      <c r="I25" s="68"/>
    </row>
    <row r="26" customFormat="false" ht="6.75" hidden="false" customHeight="true" outlineLevel="0" collapsed="false">
      <c r="A26" s="69"/>
      <c r="B26" s="6"/>
      <c r="C26" s="60" t="n">
        <f aca="false">A26*B26*10000</f>
        <v>0</v>
      </c>
      <c r="D26" s="21"/>
      <c r="E26" s="65"/>
      <c r="F26" s="66"/>
      <c r="G26" s="67" t="n">
        <f aca="false">E26*F26*10000</f>
        <v>0</v>
      </c>
      <c r="I26" s="68"/>
    </row>
    <row r="27" customFormat="false" ht="9" hidden="false" customHeight="true" outlineLevel="0" collapsed="false">
      <c r="A27" s="69"/>
      <c r="B27" s="6"/>
      <c r="C27" s="60" t="n">
        <f aca="false">A27*B27*10000</f>
        <v>0</v>
      </c>
      <c r="D27" s="21"/>
      <c r="E27" s="65"/>
      <c r="F27" s="66"/>
      <c r="G27" s="67" t="n">
        <f aca="false">E27*F27*10000</f>
        <v>0</v>
      </c>
      <c r="I27" s="68"/>
    </row>
    <row r="28" customFormat="false" ht="9" hidden="false" customHeight="true" outlineLevel="0" collapsed="false">
      <c r="A28" s="69"/>
      <c r="B28" s="6"/>
      <c r="C28" s="60" t="n">
        <f aca="false">A28*B28*10000</f>
        <v>0</v>
      </c>
      <c r="D28" s="21"/>
      <c r="E28" s="65"/>
      <c r="F28" s="66"/>
      <c r="G28" s="67" t="n">
        <f aca="false">E28*F28*10000</f>
        <v>0</v>
      </c>
      <c r="I28" s="68"/>
    </row>
    <row r="29" customFormat="false" ht="9" hidden="false" customHeight="true" outlineLevel="0" collapsed="false">
      <c r="A29" s="69"/>
      <c r="B29" s="6"/>
      <c r="C29" s="60" t="n">
        <f aca="false">A29*B29*10000</f>
        <v>0</v>
      </c>
      <c r="D29" s="21"/>
      <c r="E29" s="69"/>
      <c r="F29" s="6"/>
      <c r="G29" s="67" t="n">
        <f aca="false">E29*F29*10000</f>
        <v>0</v>
      </c>
      <c r="I29" s="68"/>
    </row>
    <row r="30" customFormat="false" ht="9" hidden="false" customHeight="true" outlineLevel="0" collapsed="false">
      <c r="A30" s="69"/>
      <c r="B30" s="6"/>
      <c r="C30" s="60" t="n">
        <f aca="false">A30*B30*10000</f>
        <v>0</v>
      </c>
      <c r="D30" s="21"/>
      <c r="E30" s="69"/>
      <c r="F30" s="6"/>
      <c r="G30" s="67" t="n">
        <f aca="false">E30*F30*10000</f>
        <v>0</v>
      </c>
      <c r="I30" s="68"/>
    </row>
    <row r="31" customFormat="false" ht="12.75" hidden="false" customHeight="false" outlineLevel="0" collapsed="false">
      <c r="A31" s="69"/>
      <c r="B31" s="6"/>
      <c r="C31" s="60" t="n">
        <f aca="false">A31*B31*10000</f>
        <v>0</v>
      </c>
      <c r="D31" s="21"/>
      <c r="E31" s="69"/>
      <c r="F31" s="6"/>
      <c r="G31" s="67" t="n">
        <f aca="false">E31*F31*10000</f>
        <v>0</v>
      </c>
      <c r="I31" s="68"/>
    </row>
    <row r="32" customFormat="false" ht="12.75" hidden="false" customHeight="false" outlineLevel="0" collapsed="false">
      <c r="E32" s="54"/>
      <c r="G32" s="74"/>
    </row>
    <row r="33" customFormat="false" ht="12.75" hidden="false" customHeight="false" outlineLevel="0" collapsed="false">
      <c r="A33" s="122" t="n">
        <f aca="false">SUM(A1:A32)</f>
        <v>188.75</v>
      </c>
      <c r="B33" s="6" t="n">
        <f aca="false">IF(A33=0,0,C33/A33/10000)</f>
        <v>4.284</v>
      </c>
      <c r="C33" s="60" t="n">
        <f aca="false">SUM(C1:C32)</f>
        <v>8086050</v>
      </c>
      <c r="E33" s="122" t="n">
        <f aca="false">SUM(E1:E32)</f>
        <v>188.75</v>
      </c>
      <c r="F33" s="6" t="n">
        <f aca="false">IF(E33=0,0,G33/E33/10000)</f>
        <v>4.368</v>
      </c>
      <c r="G33" s="67" t="n">
        <f aca="false">SUM(G1:G32)</f>
        <v>8244600</v>
      </c>
      <c r="I33" s="75" t="n">
        <f aca="false">MIN(A33,E33)*(B33-F33)*10000</f>
        <v>-158549.999999999</v>
      </c>
      <c r="J33" s="76"/>
      <c r="K33" s="76" t="s">
        <v>532</v>
      </c>
      <c r="L33" s="21"/>
      <c r="M33" s="21"/>
    </row>
    <row r="34" customFormat="false" ht="12.75" hidden="false" customHeight="false" outlineLevel="0" collapsed="false">
      <c r="I34" s="75"/>
      <c r="J34" s="76"/>
      <c r="K34" s="76"/>
      <c r="L34" s="21"/>
      <c r="M34" s="21"/>
    </row>
    <row r="35" customFormat="false" ht="12.75" hidden="false" customHeight="false" outlineLevel="0" collapsed="false">
      <c r="E35" s="56" t="n">
        <f aca="false">-A33+E33</f>
        <v>0</v>
      </c>
      <c r="F35" s="0" t="n">
        <f aca="false">IF(E35&lt;0,B33,F33)</f>
        <v>4.368</v>
      </c>
      <c r="G35" s="57" t="n">
        <f aca="false">IF(E35&lt;0,(F35-B38)*ABS(E35)*10000,-1*(F35-B38)*ABS(E35)*10000)</f>
        <v>0</v>
      </c>
      <c r="I35" s="75" t="n">
        <f aca="false">G35</f>
        <v>0</v>
      </c>
      <c r="J35" s="76"/>
      <c r="K35" s="76" t="s">
        <v>533</v>
      </c>
      <c r="L35" s="21"/>
      <c r="M35" s="21" t="s">
        <v>534</v>
      </c>
    </row>
    <row r="36" customFormat="false" ht="12.75" hidden="false" customHeight="false" outlineLevel="0" collapsed="false">
      <c r="L36" s="21"/>
      <c r="M36" s="21"/>
    </row>
    <row r="37" customFormat="false" ht="12.75" hidden="false" customHeight="false" outlineLevel="0" collapsed="false">
      <c r="E37" s="123" t="n">
        <f aca="false">-A33+E33</f>
        <v>0</v>
      </c>
      <c r="F37" s="0" t="n">
        <f aca="false">IF(E37&lt;0,(B33+(I33/(ABS(E37)*10000))),IF(E37=0,0,(F33-(I33/(ABS(E37)*10000)))))</f>
        <v>0</v>
      </c>
      <c r="G37" s="57" t="n">
        <f aca="false">IF(E37&lt;0,(F37-B38)*ABS(E37)*10000,IF(E37=0,0,-1*(F37-B38)*ABS(E37)*10000))</f>
        <v>0</v>
      </c>
      <c r="I37" s="77" t="n">
        <f aca="false">G37</f>
        <v>0</v>
      </c>
      <c r="J37" s="78"/>
      <c r="K37" s="78" t="s">
        <v>535</v>
      </c>
      <c r="L37" s="21"/>
      <c r="M37" s="21" t="s">
        <v>536</v>
      </c>
    </row>
    <row r="38" customFormat="false" ht="12.75" hidden="false" customHeight="false" outlineLevel="0" collapsed="false">
      <c r="B38" s="0" t="n">
        <f aca="false">IF(ISBLANK(B39),'[1]Nymex Prices'!B10,B39)</f>
        <v>4.3954</v>
      </c>
      <c r="C38" s="55" t="s">
        <v>537</v>
      </c>
      <c r="L38" s="21"/>
      <c r="M38" s="21"/>
    </row>
    <row r="39" customFormat="false" ht="12.75" hidden="false" customHeight="false" outlineLevel="0" collapsed="false">
      <c r="B39" s="0" t="n">
        <f aca="false">Summary!B10</f>
        <v>4.3954</v>
      </c>
      <c r="C39" s="55" t="s">
        <v>538</v>
      </c>
      <c r="I39" s="79" t="n">
        <f aca="false">I33+I35</f>
        <v>-158549.999999999</v>
      </c>
      <c r="J39" s="80"/>
      <c r="K39" s="80" t="s">
        <v>539</v>
      </c>
      <c r="L39" s="21"/>
      <c r="M39" s="21"/>
    </row>
    <row r="46" customFormat="false" ht="12.75" hidden="false" customHeight="false" outlineLevel="0" collapsed="false">
      <c r="A46" s="56"/>
    </row>
    <row r="49" customFormat="false" ht="12.75" hidden="false" customHeight="false" outlineLevel="0" collapsed="false">
      <c r="A49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4" width="9.14"/>
    <col collapsed="false" customWidth="true" hidden="false" outlineLevel="0" max="2" min="2" style="0" width="9.41"/>
    <col collapsed="false" customWidth="true" hidden="false" outlineLevel="0" max="3" min="3" style="55" width="17.14"/>
    <col collapsed="false" customWidth="true" hidden="false" outlineLevel="0" max="4" min="4" style="0" width="3.14"/>
    <col collapsed="false" customWidth="true" hidden="false" outlineLevel="0" max="5" min="5" style="56" width="10.13"/>
    <col collapsed="false" customWidth="true" hidden="false" outlineLevel="0" max="6" min="6" style="0" width="9.41"/>
    <col collapsed="false" customWidth="true" hidden="false" outlineLevel="0" max="7" min="7" style="57" width="15.28"/>
    <col collapsed="false" customWidth="true" hidden="false" outlineLevel="0" max="8" min="8" style="0" width="2.84"/>
    <col collapsed="false" customWidth="true" hidden="false" outlineLevel="0" max="9" min="9" style="58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9" t="s">
        <v>529</v>
      </c>
      <c r="B1" s="6"/>
      <c r="C1" s="60"/>
      <c r="D1" s="21"/>
      <c r="E1" s="59" t="s">
        <v>530</v>
      </c>
      <c r="F1" s="6"/>
      <c r="G1" s="61"/>
      <c r="I1" s="62"/>
      <c r="K1" s="63"/>
    </row>
    <row r="2" customFormat="false" ht="12.75" hidden="false" customHeight="false" outlineLevel="0" collapsed="false">
      <c r="A2" s="64" t="n">
        <v>30.75</v>
      </c>
      <c r="B2" s="6" t="n">
        <v>4.03</v>
      </c>
      <c r="C2" s="60" t="n">
        <f aca="false">A2*B2*10000</f>
        <v>1239225</v>
      </c>
      <c r="D2" s="21"/>
      <c r="E2" s="65" t="n">
        <v>61.5</v>
      </c>
      <c r="F2" s="66" t="n">
        <v>4.025</v>
      </c>
      <c r="G2" s="67" t="n">
        <f aca="false">E2*F2*10000</f>
        <v>2475375</v>
      </c>
      <c r="I2" s="68"/>
    </row>
    <row r="3" customFormat="false" ht="12.75" hidden="false" customHeight="false" outlineLevel="0" collapsed="false">
      <c r="A3" s="64" t="n">
        <v>30.75</v>
      </c>
      <c r="B3" s="6" t="n">
        <v>4.015</v>
      </c>
      <c r="C3" s="60" t="n">
        <f aca="false">A3*B3*10000</f>
        <v>1234612.5</v>
      </c>
      <c r="D3" s="21"/>
      <c r="E3" s="69" t="n">
        <v>61.5</v>
      </c>
      <c r="F3" s="6" t="n">
        <v>4.145</v>
      </c>
      <c r="G3" s="67" t="n">
        <f aca="false">E3*F3*10000</f>
        <v>2549175</v>
      </c>
      <c r="I3" s="70"/>
      <c r="K3" s="71"/>
    </row>
    <row r="4" customFormat="false" ht="12.75" hidden="false" customHeight="false" outlineLevel="0" collapsed="false">
      <c r="A4" s="72" t="n">
        <v>61.5</v>
      </c>
      <c r="B4" s="66" t="n">
        <v>4.15</v>
      </c>
      <c r="C4" s="60" t="n">
        <f aca="false">A4*B4*10000</f>
        <v>2552250</v>
      </c>
      <c r="D4" s="21"/>
      <c r="E4" s="69" t="n">
        <v>61.5</v>
      </c>
      <c r="F4" s="6" t="n">
        <v>3.955</v>
      </c>
      <c r="G4" s="67" t="n">
        <f aca="false">E4*F4*10000</f>
        <v>2432325</v>
      </c>
      <c r="J4" s="68"/>
      <c r="K4" s="21" t="n">
        <f aca="false">4.69+0.032</f>
        <v>4.722</v>
      </c>
    </row>
    <row r="5" customFormat="false" ht="12.75" hidden="false" customHeight="false" outlineLevel="0" collapsed="false">
      <c r="A5" s="72" t="n">
        <v>30.75</v>
      </c>
      <c r="B5" s="66" t="n">
        <v>3.97</v>
      </c>
      <c r="C5" s="60" t="n">
        <f aca="false">A5*B5*10000</f>
        <v>1220775</v>
      </c>
      <c r="D5" s="21"/>
      <c r="E5" s="65"/>
      <c r="F5" s="66"/>
      <c r="G5" s="67" t="n">
        <f aca="false">E5*F5*10000</f>
        <v>0</v>
      </c>
      <c r="I5" s="68"/>
      <c r="J5" s="40"/>
      <c r="K5" s="21"/>
    </row>
    <row r="6" customFormat="false" ht="12.75" hidden="false" customHeight="false" outlineLevel="0" collapsed="false">
      <c r="A6" s="73" t="n">
        <v>30.75</v>
      </c>
      <c r="B6" s="6" t="n">
        <v>4.005</v>
      </c>
      <c r="C6" s="60" t="n">
        <f aca="false">A6*B6*10000</f>
        <v>1231537.5</v>
      </c>
      <c r="D6" s="21"/>
      <c r="E6" s="69"/>
      <c r="F6" s="6"/>
      <c r="G6" s="67" t="n">
        <f aca="false">E6*F6*10000</f>
        <v>0</v>
      </c>
      <c r="I6" s="68"/>
      <c r="J6" s="40"/>
      <c r="K6" s="21"/>
      <c r="L6" s="0" t="n">
        <v>30</v>
      </c>
      <c r="M6" s="0" t="n">
        <v>5.49</v>
      </c>
      <c r="N6" s="0" t="n">
        <f aca="false">L6*M6</f>
        <v>164.7</v>
      </c>
    </row>
    <row r="7" customFormat="false" ht="12.75" hidden="false" customHeight="false" outlineLevel="0" collapsed="false">
      <c r="A7" s="69"/>
      <c r="B7" s="6"/>
      <c r="C7" s="60" t="n">
        <f aca="false">A7*B7*10000</f>
        <v>0</v>
      </c>
      <c r="D7" s="21"/>
      <c r="E7" s="69"/>
      <c r="F7" s="6"/>
      <c r="G7" s="67" t="n">
        <f aca="false">E7*F7*10000</f>
        <v>0</v>
      </c>
      <c r="I7" s="68"/>
      <c r="K7" s="0" t="n">
        <v>15.5</v>
      </c>
      <c r="L7" s="0" t="n">
        <v>15</v>
      </c>
      <c r="M7" s="0" t="n">
        <v>5.455</v>
      </c>
      <c r="N7" s="0" t="n">
        <f aca="false">L7*M7</f>
        <v>81.825</v>
      </c>
    </row>
    <row r="8" customFormat="false" ht="12.75" hidden="false" customHeight="false" outlineLevel="0" collapsed="false">
      <c r="A8" s="69"/>
      <c r="B8" s="6"/>
      <c r="C8" s="60" t="n">
        <f aca="false">A8*B8*10000</f>
        <v>0</v>
      </c>
      <c r="D8" s="21"/>
      <c r="E8" s="69"/>
      <c r="F8" s="6"/>
      <c r="G8" s="67" t="n">
        <f aca="false">E8*F8*10000</f>
        <v>0</v>
      </c>
      <c r="I8" s="68"/>
      <c r="K8" s="21" t="n">
        <v>15.5</v>
      </c>
      <c r="L8" s="115"/>
      <c r="M8" s="115"/>
      <c r="N8" s="0" t="n">
        <f aca="false">L8*M8</f>
        <v>0</v>
      </c>
    </row>
    <row r="9" customFormat="false" ht="12.75" hidden="false" customHeight="false" outlineLevel="0" collapsed="false">
      <c r="A9" s="69"/>
      <c r="B9" s="6"/>
      <c r="C9" s="60" t="n">
        <f aca="false">A9*B9*10000</f>
        <v>0</v>
      </c>
      <c r="D9" s="21"/>
      <c r="E9" s="69"/>
      <c r="F9" s="6"/>
      <c r="G9" s="67" t="n">
        <f aca="false">E9*F9*10000</f>
        <v>0</v>
      </c>
      <c r="I9" s="68"/>
      <c r="K9" s="0" t="n">
        <v>14</v>
      </c>
      <c r="L9" s="115"/>
      <c r="M9" s="115"/>
      <c r="N9" s="0" t="n">
        <f aca="false">L9*M9</f>
        <v>0</v>
      </c>
    </row>
    <row r="10" customFormat="false" ht="12.75" hidden="false" customHeight="false" outlineLevel="0" collapsed="false">
      <c r="A10" s="69"/>
      <c r="B10" s="6"/>
      <c r="C10" s="60" t="n">
        <f aca="false">A10*B10*10000</f>
        <v>0</v>
      </c>
      <c r="D10" s="21"/>
      <c r="E10" s="69"/>
      <c r="F10" s="6"/>
      <c r="G10" s="67" t="n">
        <f aca="false">E10*F10*10000</f>
        <v>0</v>
      </c>
      <c r="I10" s="68"/>
      <c r="L10" s="115"/>
      <c r="M10" s="115"/>
      <c r="N10" s="0" t="n">
        <f aca="false">L10*M10</f>
        <v>0</v>
      </c>
    </row>
    <row r="11" customFormat="false" ht="12.75" hidden="false" customHeight="false" outlineLevel="0" collapsed="false">
      <c r="A11" s="69"/>
      <c r="B11" s="6"/>
      <c r="C11" s="60" t="n">
        <f aca="false">A11*B11*10000</f>
        <v>0</v>
      </c>
      <c r="D11" s="21"/>
      <c r="E11" s="69"/>
      <c r="F11" s="6"/>
      <c r="G11" s="67" t="n">
        <f aca="false">E11*F11*10000</f>
        <v>0</v>
      </c>
      <c r="I11" s="68"/>
      <c r="K11" s="0" t="n">
        <v>15.5</v>
      </c>
      <c r="L11" s="115"/>
      <c r="M11" s="115"/>
      <c r="N11" s="0" t="n">
        <f aca="false">L11*M11</f>
        <v>0</v>
      </c>
    </row>
    <row r="12" customFormat="false" ht="12.75" hidden="false" customHeight="false" outlineLevel="0" collapsed="false">
      <c r="A12" s="69"/>
      <c r="B12" s="6"/>
      <c r="C12" s="60" t="n">
        <f aca="false">A12*B12*10000</f>
        <v>0</v>
      </c>
      <c r="D12" s="21"/>
      <c r="E12" s="69"/>
      <c r="F12" s="6"/>
      <c r="G12" s="67" t="n">
        <f aca="false">E12*F12*10000</f>
        <v>0</v>
      </c>
      <c r="I12" s="68"/>
      <c r="K12" s="0" t="n">
        <v>15.5</v>
      </c>
      <c r="L12" s="115"/>
      <c r="M12" s="115"/>
      <c r="N12" s="0" t="n">
        <f aca="false">L12*M12</f>
        <v>0</v>
      </c>
    </row>
    <row r="13" customFormat="false" ht="12.75" hidden="false" customHeight="false" outlineLevel="0" collapsed="false">
      <c r="A13" s="69"/>
      <c r="B13" s="6"/>
      <c r="C13" s="60" t="n">
        <f aca="false">A13*B13*10000</f>
        <v>0</v>
      </c>
      <c r="D13" s="21"/>
      <c r="E13" s="69"/>
      <c r="F13" s="6"/>
      <c r="G13" s="67" t="n">
        <f aca="false">E13*F13*10000</f>
        <v>0</v>
      </c>
      <c r="I13" s="68"/>
      <c r="K13" s="0" t="n">
        <v>14</v>
      </c>
      <c r="L13" s="0" t="n">
        <f aca="false">SUM(L6:L12)</f>
        <v>45</v>
      </c>
      <c r="N13" s="0" t="n">
        <f aca="false">SUM(N6:N12)</f>
        <v>246.525</v>
      </c>
    </row>
    <row r="14" customFormat="false" ht="12.75" hidden="false" customHeight="false" outlineLevel="0" collapsed="false">
      <c r="A14" s="69"/>
      <c r="B14" s="6"/>
      <c r="C14" s="60" t="n">
        <f aca="false">A14*B14*10000</f>
        <v>0</v>
      </c>
      <c r="D14" s="21"/>
      <c r="E14" s="65"/>
      <c r="F14" s="66"/>
      <c r="G14" s="67" t="n">
        <f aca="false">E14*F14*10000</f>
        <v>0</v>
      </c>
      <c r="I14" s="68"/>
      <c r="K14" s="0" t="n">
        <v>15.5</v>
      </c>
      <c r="M14" s="0" t="n">
        <f aca="false">N13/L13</f>
        <v>5.47833333333333</v>
      </c>
    </row>
    <row r="15" customFormat="false" ht="12.75" hidden="false" customHeight="false" outlineLevel="0" collapsed="false">
      <c r="A15" s="69"/>
      <c r="B15" s="6"/>
      <c r="C15" s="60" t="n">
        <f aca="false">A15*B15*10000</f>
        <v>0</v>
      </c>
      <c r="D15" s="21"/>
      <c r="E15" s="65"/>
      <c r="F15" s="66"/>
      <c r="G15" s="67" t="n">
        <f aca="false">E15*F15*10000</f>
        <v>0</v>
      </c>
      <c r="I15" s="68"/>
      <c r="K15" s="0" t="n">
        <f aca="false">SUM(K11:K14)</f>
        <v>60.5</v>
      </c>
    </row>
    <row r="16" customFormat="false" ht="12.75" hidden="false" customHeight="false" outlineLevel="0" collapsed="false">
      <c r="A16" s="69"/>
      <c r="B16" s="6"/>
      <c r="C16" s="60" t="n">
        <f aca="false">A16*B16*10000</f>
        <v>0</v>
      </c>
      <c r="D16" s="21"/>
      <c r="E16" s="65"/>
      <c r="F16" s="66"/>
      <c r="G16" s="67" t="n">
        <f aca="false">E16*F16*10000</f>
        <v>0</v>
      </c>
      <c r="I16" s="68"/>
      <c r="K16" s="0" t="n">
        <f aca="false">K15/2</f>
        <v>30.25</v>
      </c>
    </row>
    <row r="17" customFormat="false" ht="12.75" hidden="false" customHeight="false" outlineLevel="0" collapsed="false">
      <c r="A17" s="69"/>
      <c r="B17" s="6"/>
      <c r="C17" s="60" t="n">
        <f aca="false">A17*B17*10000</f>
        <v>0</v>
      </c>
      <c r="D17" s="21"/>
      <c r="E17" s="65"/>
      <c r="F17" s="66"/>
      <c r="G17" s="67" t="n">
        <f aca="false">E17*F17*10000</f>
        <v>0</v>
      </c>
      <c r="I17" s="68"/>
      <c r="L17" s="0" t="s">
        <v>483</v>
      </c>
      <c r="M17" s="48" t="n">
        <v>31</v>
      </c>
      <c r="N17" s="48" t="n">
        <f aca="false">M17/2</f>
        <v>15.5</v>
      </c>
      <c r="O17" s="48" t="n">
        <f aca="false">M17/4</f>
        <v>7.75</v>
      </c>
    </row>
    <row r="18" customFormat="false" ht="12.75" hidden="false" customHeight="false" outlineLevel="0" collapsed="false">
      <c r="A18" s="69"/>
      <c r="B18" s="6"/>
      <c r="C18" s="60" t="n">
        <f aca="false">A18*B18*10000</f>
        <v>0</v>
      </c>
      <c r="D18" s="21"/>
      <c r="E18" s="65"/>
      <c r="F18" s="66"/>
      <c r="G18" s="67" t="n">
        <f aca="false">E18*F18*10000</f>
        <v>0</v>
      </c>
      <c r="I18" s="68"/>
      <c r="K18" s="0" t="n">
        <f aca="false">2500*214</f>
        <v>535000</v>
      </c>
      <c r="L18" s="0" t="s">
        <v>485</v>
      </c>
      <c r="M18" s="48" t="n">
        <v>31</v>
      </c>
      <c r="N18" s="48" t="n">
        <f aca="false">M18/2</f>
        <v>15.5</v>
      </c>
      <c r="O18" s="48" t="n">
        <f aca="false">M18/4</f>
        <v>7.75</v>
      </c>
    </row>
    <row r="19" customFormat="false" ht="12.75" hidden="false" customHeight="false" outlineLevel="0" collapsed="false">
      <c r="A19" s="69"/>
      <c r="B19" s="6"/>
      <c r="C19" s="60" t="n">
        <f aca="false">A19*B19*10000</f>
        <v>0</v>
      </c>
      <c r="D19" s="21"/>
      <c r="E19" s="65"/>
      <c r="F19" s="66"/>
      <c r="G19" s="67" t="n">
        <f aca="false">E19*F19*10000</f>
        <v>0</v>
      </c>
      <c r="I19" s="68"/>
      <c r="L19" s="0" t="s">
        <v>608</v>
      </c>
      <c r="M19" s="48" t="n">
        <v>30</v>
      </c>
      <c r="N19" s="48" t="n">
        <f aca="false">M19/2</f>
        <v>15</v>
      </c>
      <c r="O19" s="48" t="n">
        <f aca="false">M19/4</f>
        <v>7.5</v>
      </c>
    </row>
    <row r="20" customFormat="false" ht="12.75" hidden="false" customHeight="false" outlineLevel="0" collapsed="false">
      <c r="A20" s="69"/>
      <c r="B20" s="6"/>
      <c r="C20" s="60" t="n">
        <f aca="false">A20*B20*10000</f>
        <v>0</v>
      </c>
      <c r="D20" s="21"/>
      <c r="E20" s="65"/>
      <c r="F20" s="66"/>
      <c r="G20" s="67" t="n">
        <f aca="false">E20*F20*10000</f>
        <v>0</v>
      </c>
      <c r="I20" s="68"/>
      <c r="L20" s="0" t="s">
        <v>489</v>
      </c>
      <c r="M20" s="48" t="n">
        <v>31</v>
      </c>
      <c r="N20" s="48" t="n">
        <f aca="false">M20/2</f>
        <v>15.5</v>
      </c>
      <c r="O20" s="48" t="n">
        <f aca="false">M20/4</f>
        <v>7.75</v>
      </c>
    </row>
    <row r="21" customFormat="false" ht="12.75" hidden="false" customHeight="false" outlineLevel="0" collapsed="false">
      <c r="A21" s="69"/>
      <c r="B21" s="6"/>
      <c r="C21" s="60" t="n">
        <f aca="false">A21*B21*10000</f>
        <v>0</v>
      </c>
      <c r="D21" s="21"/>
      <c r="E21" s="65"/>
      <c r="F21" s="66"/>
      <c r="G21" s="67" t="n">
        <f aca="false">E21*F21*10000</f>
        <v>0</v>
      </c>
      <c r="I21" s="68"/>
    </row>
    <row r="22" customFormat="false" ht="12.75" hidden="false" customHeight="false" outlineLevel="0" collapsed="false">
      <c r="A22" s="69"/>
      <c r="B22" s="6"/>
      <c r="C22" s="60" t="n">
        <f aca="false">A22*B22*10000</f>
        <v>0</v>
      </c>
      <c r="D22" s="21"/>
      <c r="E22" s="65"/>
      <c r="F22" s="66"/>
      <c r="G22" s="67" t="n">
        <f aca="false">E22*F22*10000</f>
        <v>0</v>
      </c>
      <c r="I22" s="68"/>
    </row>
    <row r="23" customFormat="false" ht="12.75" hidden="false" customHeight="false" outlineLevel="0" collapsed="false">
      <c r="A23" s="69"/>
      <c r="B23" s="6"/>
      <c r="C23" s="60" t="n">
        <f aca="false">A23*B23*10000</f>
        <v>0</v>
      </c>
      <c r="D23" s="21"/>
      <c r="E23" s="65"/>
      <c r="F23" s="66"/>
      <c r="G23" s="67" t="n">
        <f aca="false">E23*F23*10000</f>
        <v>0</v>
      </c>
      <c r="I23" s="68"/>
    </row>
    <row r="24" customFormat="false" ht="6.75" hidden="false" customHeight="true" outlineLevel="0" collapsed="false">
      <c r="A24" s="69"/>
      <c r="B24" s="6"/>
      <c r="C24" s="60" t="n">
        <f aca="false">A24*B24*10000</f>
        <v>0</v>
      </c>
      <c r="D24" s="21"/>
      <c r="E24" s="65"/>
      <c r="F24" s="66"/>
      <c r="G24" s="67" t="n">
        <f aca="false">E24*F24*10000</f>
        <v>0</v>
      </c>
      <c r="I24" s="68"/>
    </row>
    <row r="25" customFormat="false" ht="6.75" hidden="false" customHeight="true" outlineLevel="0" collapsed="false">
      <c r="A25" s="69"/>
      <c r="B25" s="6"/>
      <c r="C25" s="60" t="n">
        <f aca="false">A25*B25*10000</f>
        <v>0</v>
      </c>
      <c r="D25" s="21"/>
      <c r="E25" s="65"/>
      <c r="F25" s="66"/>
      <c r="G25" s="67" t="n">
        <f aca="false">E25*F25*10000</f>
        <v>0</v>
      </c>
      <c r="I25" s="68"/>
    </row>
    <row r="26" customFormat="false" ht="6.75" hidden="false" customHeight="true" outlineLevel="0" collapsed="false">
      <c r="A26" s="69"/>
      <c r="B26" s="6"/>
      <c r="C26" s="60" t="n">
        <f aca="false">A26*B26*10000</f>
        <v>0</v>
      </c>
      <c r="D26" s="21"/>
      <c r="E26" s="65"/>
      <c r="F26" s="66"/>
      <c r="G26" s="67" t="n">
        <f aca="false">E26*F26*10000</f>
        <v>0</v>
      </c>
      <c r="I26" s="68"/>
    </row>
    <row r="27" customFormat="false" ht="9" hidden="false" customHeight="true" outlineLevel="0" collapsed="false">
      <c r="A27" s="69"/>
      <c r="B27" s="6"/>
      <c r="C27" s="60" t="n">
        <f aca="false">A27*B27*10000</f>
        <v>0</v>
      </c>
      <c r="D27" s="21"/>
      <c r="E27" s="65"/>
      <c r="F27" s="66"/>
      <c r="G27" s="67" t="n">
        <f aca="false">E27*F27*10000</f>
        <v>0</v>
      </c>
      <c r="I27" s="68"/>
    </row>
    <row r="28" customFormat="false" ht="9" hidden="false" customHeight="true" outlineLevel="0" collapsed="false">
      <c r="A28" s="69"/>
      <c r="B28" s="6"/>
      <c r="C28" s="60" t="n">
        <f aca="false">A28*B28*10000</f>
        <v>0</v>
      </c>
      <c r="D28" s="21"/>
      <c r="E28" s="65"/>
      <c r="F28" s="66"/>
      <c r="G28" s="67" t="n">
        <f aca="false">E28*F28*10000</f>
        <v>0</v>
      </c>
      <c r="I28" s="68"/>
    </row>
    <row r="29" customFormat="false" ht="9" hidden="false" customHeight="true" outlineLevel="0" collapsed="false">
      <c r="A29" s="69"/>
      <c r="B29" s="6"/>
      <c r="C29" s="60" t="n">
        <f aca="false">A29*B29*10000</f>
        <v>0</v>
      </c>
      <c r="D29" s="21"/>
      <c r="E29" s="69"/>
      <c r="F29" s="6"/>
      <c r="G29" s="67" t="n">
        <f aca="false">E29*F29*10000</f>
        <v>0</v>
      </c>
      <c r="I29" s="68"/>
    </row>
    <row r="30" customFormat="false" ht="9" hidden="false" customHeight="true" outlineLevel="0" collapsed="false">
      <c r="A30" s="69"/>
      <c r="B30" s="6"/>
      <c r="C30" s="60" t="n">
        <f aca="false">A30*B30*10000</f>
        <v>0</v>
      </c>
      <c r="D30" s="21"/>
      <c r="E30" s="69"/>
      <c r="F30" s="6"/>
      <c r="G30" s="67" t="n">
        <f aca="false">E30*F30*10000</f>
        <v>0</v>
      </c>
      <c r="I30" s="68"/>
    </row>
    <row r="31" customFormat="false" ht="12.75" hidden="false" customHeight="false" outlineLevel="0" collapsed="false">
      <c r="A31" s="69"/>
      <c r="B31" s="6"/>
      <c r="C31" s="60" t="n">
        <f aca="false">A31*B31*10000</f>
        <v>0</v>
      </c>
      <c r="D31" s="21"/>
      <c r="E31" s="69"/>
      <c r="F31" s="6"/>
      <c r="G31" s="67" t="n">
        <f aca="false">E31*F31*10000</f>
        <v>0</v>
      </c>
      <c r="I31" s="68"/>
    </row>
    <row r="32" customFormat="false" ht="12.75" hidden="false" customHeight="false" outlineLevel="0" collapsed="false">
      <c r="E32" s="54"/>
      <c r="G32" s="74"/>
    </row>
    <row r="33" customFormat="false" ht="12.75" hidden="false" customHeight="false" outlineLevel="0" collapsed="false">
      <c r="A33" s="69" t="n">
        <f aca="false">SUM(A1:A32)</f>
        <v>184.5</v>
      </c>
      <c r="B33" s="6" t="n">
        <f aca="false">IF(A33=0,0,C33/A33/10000)</f>
        <v>4.05333333333333</v>
      </c>
      <c r="C33" s="60" t="n">
        <f aca="false">SUM(C1:C32)</f>
        <v>7478400</v>
      </c>
      <c r="E33" s="69" t="n">
        <f aca="false">SUM(E1:E32)</f>
        <v>184.5</v>
      </c>
      <c r="F33" s="6" t="n">
        <f aca="false">IF(E33=0,0,G33/E33/10000)</f>
        <v>4.04166666666667</v>
      </c>
      <c r="G33" s="67" t="n">
        <f aca="false">SUM(G1:G32)</f>
        <v>7456875</v>
      </c>
      <c r="I33" s="75" t="n">
        <f aca="false">MIN(A33,E33)*(B33-F33)*10000</f>
        <v>21525.0000000017</v>
      </c>
      <c r="J33" s="76"/>
      <c r="K33" s="76" t="s">
        <v>532</v>
      </c>
      <c r="L33" s="21"/>
      <c r="M33" s="21"/>
    </row>
    <row r="34" customFormat="false" ht="12.75" hidden="false" customHeight="false" outlineLevel="0" collapsed="false">
      <c r="I34" s="75"/>
      <c r="J34" s="76"/>
      <c r="K34" s="76"/>
      <c r="L34" s="21"/>
      <c r="M34" s="21"/>
    </row>
    <row r="35" customFormat="false" ht="12.75" hidden="false" customHeight="false" outlineLevel="0" collapsed="false">
      <c r="E35" s="56" t="n">
        <f aca="false">-A33+E33</f>
        <v>0</v>
      </c>
      <c r="F35" s="0" t="n">
        <f aca="false">IF(E35&lt;0,B33,F33)</f>
        <v>4.04166666666667</v>
      </c>
      <c r="G35" s="57" t="n">
        <f aca="false">IF(E35&lt;0,(F35-B38)*ABS(E35)*10000,-1*(F35-B38)*ABS(E35)*10000)</f>
        <v>-0</v>
      </c>
      <c r="I35" s="75" t="n">
        <f aca="false">G35</f>
        <v>-0</v>
      </c>
      <c r="J35" s="76"/>
      <c r="K35" s="76" t="s">
        <v>533</v>
      </c>
      <c r="L35" s="21"/>
      <c r="M35" s="21" t="s">
        <v>534</v>
      </c>
    </row>
    <row r="36" customFormat="false" ht="12.75" hidden="false" customHeight="false" outlineLevel="0" collapsed="false">
      <c r="L36" s="21"/>
      <c r="M36" s="21"/>
    </row>
    <row r="37" customFormat="false" ht="12.75" hidden="false" customHeight="false" outlineLevel="0" collapsed="false">
      <c r="E37" s="56" t="n">
        <f aca="false">-A33+E33</f>
        <v>0</v>
      </c>
      <c r="F37" s="0" t="n">
        <f aca="false">IF(E37&lt;0,(B33+(I33/(ABS(E37)*10000))),IF(E37=0,0,(F33-(I33/(ABS(E37)*10000)))))</f>
        <v>0</v>
      </c>
      <c r="G37" s="57" t="n">
        <f aca="false">IF(E37&lt;0,(F37-B38)*ABS(E37)*10000,IF(E37=0,0,-1*(F37-B38)*ABS(E37)*10000))</f>
        <v>0</v>
      </c>
      <c r="I37" s="77" t="n">
        <f aca="false">G37</f>
        <v>0</v>
      </c>
      <c r="J37" s="78"/>
      <c r="K37" s="78" t="s">
        <v>535</v>
      </c>
      <c r="L37" s="21"/>
      <c r="M37" s="21" t="s">
        <v>536</v>
      </c>
    </row>
    <row r="38" customFormat="false" ht="12.75" hidden="false" customHeight="false" outlineLevel="0" collapsed="false">
      <c r="B38" s="0" t="n">
        <f aca="false">IF(ISBLANK(B39),'[1]Nymex Prices'!B10,B39)</f>
        <v>4.027</v>
      </c>
      <c r="C38" s="55" t="s">
        <v>537</v>
      </c>
      <c r="L38" s="21"/>
      <c r="M38" s="21"/>
    </row>
    <row r="39" customFormat="false" ht="12.75" hidden="false" customHeight="false" outlineLevel="0" collapsed="false">
      <c r="B39" s="0" t="n">
        <f aca="false">Summary!B11</f>
        <v>4.027</v>
      </c>
      <c r="C39" s="55" t="s">
        <v>538</v>
      </c>
      <c r="I39" s="79" t="n">
        <f aca="false">I33+I35</f>
        <v>21525.0000000017</v>
      </c>
      <c r="J39" s="80"/>
      <c r="K39" s="80" t="s">
        <v>539</v>
      </c>
      <c r="L39" s="21"/>
      <c r="M39" s="21"/>
    </row>
    <row r="46" customFormat="false" ht="12.75" hidden="false" customHeight="false" outlineLevel="0" collapsed="false">
      <c r="A46" s="56"/>
    </row>
    <row r="49" customFormat="false" ht="12.75" hidden="false" customHeight="false" outlineLevel="0" collapsed="false">
      <c r="A49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4" width="9.14"/>
    <col collapsed="false" customWidth="true" hidden="false" outlineLevel="0" max="2" min="2" style="0" width="9.41"/>
    <col collapsed="false" customWidth="true" hidden="false" outlineLevel="0" max="3" min="3" style="55" width="17.14"/>
    <col collapsed="false" customWidth="true" hidden="false" outlineLevel="0" max="4" min="4" style="0" width="3.14"/>
    <col collapsed="false" customWidth="true" hidden="false" outlineLevel="0" max="5" min="5" style="56" width="10.13"/>
    <col collapsed="false" customWidth="true" hidden="false" outlineLevel="0" max="6" min="6" style="0" width="9.41"/>
    <col collapsed="false" customWidth="true" hidden="false" outlineLevel="0" max="7" min="7" style="57" width="15.28"/>
    <col collapsed="false" customWidth="true" hidden="false" outlineLevel="0" max="8" min="8" style="0" width="2.84"/>
    <col collapsed="false" customWidth="true" hidden="false" outlineLevel="0" max="9" min="9" style="58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9" t="s">
        <v>529</v>
      </c>
      <c r="B1" s="6"/>
      <c r="C1" s="60"/>
      <c r="D1" s="21"/>
      <c r="E1" s="59" t="s">
        <v>530</v>
      </c>
      <c r="F1" s="6"/>
      <c r="G1" s="61"/>
      <c r="I1" s="62"/>
      <c r="K1" s="63"/>
    </row>
    <row r="2" customFormat="false" ht="12.75" hidden="false" customHeight="false" outlineLevel="0" collapsed="false">
      <c r="A2" s="64" t="n">
        <v>37.75</v>
      </c>
      <c r="B2" s="6" t="n">
        <f aca="false">5.41-0.177</f>
        <v>5.233</v>
      </c>
      <c r="C2" s="60" t="n">
        <f aca="false">A2*B2*10000</f>
        <v>1975457.5</v>
      </c>
      <c r="D2" s="21"/>
      <c r="E2" s="65"/>
      <c r="F2" s="66"/>
      <c r="G2" s="67" t="n">
        <f aca="false">E2*F2*10000</f>
        <v>0</v>
      </c>
      <c r="I2" s="68"/>
    </row>
    <row r="3" customFormat="false" ht="12.75" hidden="false" customHeight="false" outlineLevel="0" collapsed="false">
      <c r="A3" s="64" t="n">
        <v>15.5</v>
      </c>
      <c r="B3" s="6" t="n">
        <v>5.28</v>
      </c>
      <c r="C3" s="60" t="n">
        <f aca="false">A3*B3*10000</f>
        <v>818400</v>
      </c>
      <c r="D3" s="21"/>
      <c r="E3" s="69"/>
      <c r="F3" s="6"/>
      <c r="G3" s="67" t="n">
        <f aca="false">E3*F3*10000</f>
        <v>0</v>
      </c>
      <c r="I3" s="70"/>
      <c r="K3" s="71"/>
    </row>
    <row r="4" customFormat="false" ht="12.75" hidden="false" customHeight="false" outlineLevel="0" collapsed="false">
      <c r="A4" s="72"/>
      <c r="B4" s="66"/>
      <c r="C4" s="60" t="n">
        <f aca="false">A4*B4*10000</f>
        <v>0</v>
      </c>
      <c r="D4" s="21"/>
      <c r="E4" s="69"/>
      <c r="F4" s="6"/>
      <c r="G4" s="67" t="n">
        <f aca="false">E4*F4*10000</f>
        <v>0</v>
      </c>
      <c r="J4" s="68"/>
      <c r="K4" s="21" t="n">
        <f aca="false">4.69+0.032</f>
        <v>4.722</v>
      </c>
    </row>
    <row r="5" customFormat="false" ht="12.75" hidden="false" customHeight="false" outlineLevel="0" collapsed="false">
      <c r="A5" s="72"/>
      <c r="B5" s="66"/>
      <c r="C5" s="60" t="n">
        <f aca="false">A5*B5*10000</f>
        <v>0</v>
      </c>
      <c r="D5" s="21"/>
      <c r="E5" s="65"/>
      <c r="F5" s="66"/>
      <c r="G5" s="67" t="n">
        <f aca="false">E5*F5*10000</f>
        <v>0</v>
      </c>
      <c r="I5" s="68"/>
      <c r="J5" s="40"/>
      <c r="K5" s="21"/>
    </row>
    <row r="6" customFormat="false" ht="12.75" hidden="false" customHeight="false" outlineLevel="0" collapsed="false">
      <c r="A6" s="73"/>
      <c r="B6" s="6"/>
      <c r="C6" s="60" t="n">
        <f aca="false">A6*B6*10000</f>
        <v>0</v>
      </c>
      <c r="D6" s="21"/>
      <c r="E6" s="69"/>
      <c r="F6" s="6"/>
      <c r="G6" s="67" t="n">
        <f aca="false">E6*F6*10000</f>
        <v>0</v>
      </c>
      <c r="I6" s="68"/>
      <c r="J6" s="40"/>
      <c r="K6" s="21"/>
      <c r="L6" s="0" t="n">
        <v>30</v>
      </c>
      <c r="M6" s="0" t="n">
        <v>5.49</v>
      </c>
      <c r="N6" s="0" t="n">
        <f aca="false">L6*M6</f>
        <v>164.7</v>
      </c>
    </row>
    <row r="7" customFormat="false" ht="12.75" hidden="false" customHeight="false" outlineLevel="0" collapsed="false">
      <c r="A7" s="69"/>
      <c r="B7" s="6"/>
      <c r="C7" s="60" t="n">
        <f aca="false">A7*B7*10000</f>
        <v>0</v>
      </c>
      <c r="D7" s="21"/>
      <c r="E7" s="69"/>
      <c r="F7" s="6"/>
      <c r="G7" s="67" t="n">
        <f aca="false">E7*F7*10000</f>
        <v>0</v>
      </c>
      <c r="I7" s="68"/>
      <c r="K7" s="0" t="n">
        <v>15.5</v>
      </c>
      <c r="L7" s="0" t="n">
        <v>15</v>
      </c>
      <c r="M7" s="0" t="n">
        <v>5.455</v>
      </c>
      <c r="N7" s="0" t="n">
        <f aca="false">L7*M7</f>
        <v>81.825</v>
      </c>
    </row>
    <row r="8" customFormat="false" ht="12.75" hidden="false" customHeight="false" outlineLevel="0" collapsed="false">
      <c r="A8" s="69"/>
      <c r="B8" s="6"/>
      <c r="C8" s="60" t="n">
        <f aca="false">A8*B8*10000</f>
        <v>0</v>
      </c>
      <c r="D8" s="21"/>
      <c r="E8" s="69"/>
      <c r="F8" s="6"/>
      <c r="G8" s="67" t="n">
        <f aca="false">E8*F8*10000</f>
        <v>0</v>
      </c>
      <c r="I8" s="68"/>
      <c r="K8" s="21" t="n">
        <v>15.5</v>
      </c>
      <c r="L8" s="115"/>
      <c r="M8" s="115"/>
      <c r="N8" s="0" t="n">
        <f aca="false">L8*M8</f>
        <v>0</v>
      </c>
    </row>
    <row r="9" customFormat="false" ht="12.75" hidden="false" customHeight="false" outlineLevel="0" collapsed="false">
      <c r="A9" s="69"/>
      <c r="B9" s="6"/>
      <c r="C9" s="60" t="n">
        <f aca="false">A9*B9*10000</f>
        <v>0</v>
      </c>
      <c r="D9" s="21"/>
      <c r="E9" s="69"/>
      <c r="F9" s="6"/>
      <c r="G9" s="67" t="n">
        <f aca="false">E9*F9*10000</f>
        <v>0</v>
      </c>
      <c r="I9" s="68"/>
      <c r="K9" s="0" t="n">
        <v>14</v>
      </c>
      <c r="L9" s="115"/>
      <c r="M9" s="115"/>
      <c r="N9" s="0" t="n">
        <f aca="false">L9*M9</f>
        <v>0</v>
      </c>
    </row>
    <row r="10" customFormat="false" ht="12.75" hidden="false" customHeight="false" outlineLevel="0" collapsed="false">
      <c r="A10" s="69"/>
      <c r="B10" s="6"/>
      <c r="C10" s="60" t="n">
        <f aca="false">A10*B10*10000</f>
        <v>0</v>
      </c>
      <c r="D10" s="21"/>
      <c r="E10" s="69"/>
      <c r="F10" s="6"/>
      <c r="G10" s="67" t="n">
        <f aca="false">E10*F10*10000</f>
        <v>0</v>
      </c>
      <c r="I10" s="68"/>
      <c r="L10" s="115"/>
      <c r="M10" s="115"/>
      <c r="N10" s="0" t="n">
        <f aca="false">L10*M10</f>
        <v>0</v>
      </c>
    </row>
    <row r="11" customFormat="false" ht="12.75" hidden="false" customHeight="false" outlineLevel="0" collapsed="false">
      <c r="A11" s="69"/>
      <c r="B11" s="6"/>
      <c r="C11" s="60" t="n">
        <f aca="false">A11*B11*10000</f>
        <v>0</v>
      </c>
      <c r="D11" s="21"/>
      <c r="E11" s="69"/>
      <c r="F11" s="6"/>
      <c r="G11" s="67" t="n">
        <f aca="false">E11*F11*10000</f>
        <v>0</v>
      </c>
      <c r="I11" s="68"/>
      <c r="K11" s="0" t="n">
        <v>15.5</v>
      </c>
      <c r="L11" s="115"/>
      <c r="M11" s="115"/>
      <c r="N11" s="0" t="n">
        <f aca="false">L11*M11</f>
        <v>0</v>
      </c>
    </row>
    <row r="12" customFormat="false" ht="12.75" hidden="false" customHeight="false" outlineLevel="0" collapsed="false">
      <c r="A12" s="69"/>
      <c r="B12" s="6"/>
      <c r="C12" s="60" t="n">
        <f aca="false">A12*B12*10000</f>
        <v>0</v>
      </c>
      <c r="D12" s="21"/>
      <c r="E12" s="69"/>
      <c r="F12" s="6"/>
      <c r="G12" s="67" t="n">
        <f aca="false">E12*F12*10000</f>
        <v>0</v>
      </c>
      <c r="I12" s="68"/>
      <c r="K12" s="0" t="n">
        <v>15.5</v>
      </c>
      <c r="L12" s="115"/>
      <c r="M12" s="115"/>
      <c r="N12" s="0" t="n">
        <f aca="false">L12*M12</f>
        <v>0</v>
      </c>
    </row>
    <row r="13" customFormat="false" ht="12.75" hidden="false" customHeight="false" outlineLevel="0" collapsed="false">
      <c r="A13" s="69"/>
      <c r="B13" s="6"/>
      <c r="C13" s="60" t="n">
        <f aca="false">A13*B13*10000</f>
        <v>0</v>
      </c>
      <c r="D13" s="21"/>
      <c r="E13" s="69"/>
      <c r="F13" s="6"/>
      <c r="G13" s="67" t="n">
        <f aca="false">E13*F13*10000</f>
        <v>0</v>
      </c>
      <c r="I13" s="68"/>
      <c r="K13" s="0" t="n">
        <v>14</v>
      </c>
      <c r="L13" s="0" t="n">
        <f aca="false">SUM(L6:L12)</f>
        <v>45</v>
      </c>
      <c r="N13" s="0" t="n">
        <f aca="false">SUM(N6:N12)</f>
        <v>246.525</v>
      </c>
    </row>
    <row r="14" customFormat="false" ht="12.75" hidden="false" customHeight="false" outlineLevel="0" collapsed="false">
      <c r="A14" s="69"/>
      <c r="B14" s="6"/>
      <c r="C14" s="60" t="n">
        <f aca="false">A14*B14*10000</f>
        <v>0</v>
      </c>
      <c r="D14" s="21"/>
      <c r="E14" s="65"/>
      <c r="F14" s="66"/>
      <c r="G14" s="67" t="n">
        <f aca="false">E14*F14*10000</f>
        <v>0</v>
      </c>
      <c r="I14" s="68"/>
      <c r="K14" s="0" t="n">
        <v>15.5</v>
      </c>
      <c r="M14" s="0" t="n">
        <f aca="false">N13/L13</f>
        <v>5.47833333333333</v>
      </c>
    </row>
    <row r="15" customFormat="false" ht="12.75" hidden="false" customHeight="false" outlineLevel="0" collapsed="false">
      <c r="A15" s="69"/>
      <c r="B15" s="6"/>
      <c r="C15" s="60" t="n">
        <f aca="false">A15*B15*10000</f>
        <v>0</v>
      </c>
      <c r="D15" s="21"/>
      <c r="E15" s="65"/>
      <c r="F15" s="66"/>
      <c r="G15" s="67" t="n">
        <f aca="false">E15*F15*10000</f>
        <v>0</v>
      </c>
      <c r="I15" s="68"/>
      <c r="K15" s="0" t="n">
        <f aca="false">SUM(K11:K14)</f>
        <v>60.5</v>
      </c>
    </row>
    <row r="16" customFormat="false" ht="12.75" hidden="false" customHeight="false" outlineLevel="0" collapsed="false">
      <c r="A16" s="69"/>
      <c r="B16" s="6"/>
      <c r="C16" s="60" t="n">
        <f aca="false">A16*B16*10000</f>
        <v>0</v>
      </c>
      <c r="D16" s="21"/>
      <c r="E16" s="65"/>
      <c r="F16" s="66"/>
      <c r="G16" s="67" t="n">
        <f aca="false">E16*F16*10000</f>
        <v>0</v>
      </c>
      <c r="I16" s="68"/>
      <c r="K16" s="0" t="n">
        <f aca="false">K15/2</f>
        <v>30.25</v>
      </c>
    </row>
    <row r="17" customFormat="false" ht="12.75" hidden="false" customHeight="false" outlineLevel="0" collapsed="false">
      <c r="A17" s="69"/>
      <c r="B17" s="6"/>
      <c r="C17" s="60" t="n">
        <f aca="false">A17*B17*10000</f>
        <v>0</v>
      </c>
      <c r="D17" s="21"/>
      <c r="E17" s="65"/>
      <c r="F17" s="66"/>
      <c r="G17" s="67" t="n">
        <f aca="false">E17*F17*10000</f>
        <v>0</v>
      </c>
      <c r="I17" s="68"/>
    </row>
    <row r="18" customFormat="false" ht="12.75" hidden="false" customHeight="false" outlineLevel="0" collapsed="false">
      <c r="A18" s="69"/>
      <c r="B18" s="6"/>
      <c r="C18" s="60" t="n">
        <f aca="false">A18*B18*10000</f>
        <v>0</v>
      </c>
      <c r="D18" s="21"/>
      <c r="E18" s="65"/>
      <c r="F18" s="66"/>
      <c r="G18" s="67" t="n">
        <f aca="false">E18*F18*10000</f>
        <v>0</v>
      </c>
      <c r="I18" s="68"/>
      <c r="K18" s="0" t="n">
        <f aca="false">2500*214</f>
        <v>535000</v>
      </c>
    </row>
    <row r="19" customFormat="false" ht="12.75" hidden="false" customHeight="false" outlineLevel="0" collapsed="false">
      <c r="A19" s="69"/>
      <c r="B19" s="6"/>
      <c r="C19" s="60" t="n">
        <f aca="false">A19*B19*10000</f>
        <v>0</v>
      </c>
      <c r="D19" s="21"/>
      <c r="E19" s="65"/>
      <c r="F19" s="66"/>
      <c r="G19" s="67" t="n">
        <f aca="false">E19*F19*10000</f>
        <v>0</v>
      </c>
      <c r="I19" s="68"/>
    </row>
    <row r="20" customFormat="false" ht="12.75" hidden="false" customHeight="false" outlineLevel="0" collapsed="false">
      <c r="A20" s="69"/>
      <c r="B20" s="6"/>
      <c r="C20" s="60" t="n">
        <f aca="false">A20*B20*10000</f>
        <v>0</v>
      </c>
      <c r="D20" s="21"/>
      <c r="E20" s="65"/>
      <c r="F20" s="66"/>
      <c r="G20" s="67" t="n">
        <f aca="false">E20*F20*10000</f>
        <v>0</v>
      </c>
      <c r="I20" s="68"/>
      <c r="K20" s="0" t="n">
        <f aca="false">2500*30</f>
        <v>75000</v>
      </c>
    </row>
    <row r="21" customFormat="false" ht="12.75" hidden="false" customHeight="false" outlineLevel="0" collapsed="false">
      <c r="A21" s="69"/>
      <c r="B21" s="6"/>
      <c r="C21" s="60" t="n">
        <f aca="false">A21*B21*10000</f>
        <v>0</v>
      </c>
      <c r="D21" s="21"/>
      <c r="E21" s="65"/>
      <c r="F21" s="66"/>
      <c r="G21" s="67" t="n">
        <f aca="false">E21*F21*10000</f>
        <v>0</v>
      </c>
      <c r="I21" s="68"/>
    </row>
    <row r="22" customFormat="false" ht="12.75" hidden="false" customHeight="false" outlineLevel="0" collapsed="false">
      <c r="A22" s="69"/>
      <c r="B22" s="6"/>
      <c r="C22" s="60" t="n">
        <f aca="false">A22*B22*10000</f>
        <v>0</v>
      </c>
      <c r="D22" s="21"/>
      <c r="E22" s="65"/>
      <c r="F22" s="66"/>
      <c r="G22" s="67" t="n">
        <f aca="false">E22*F22*10000</f>
        <v>0</v>
      </c>
      <c r="I22" s="68"/>
    </row>
    <row r="23" customFormat="false" ht="12.75" hidden="false" customHeight="false" outlineLevel="0" collapsed="false">
      <c r="A23" s="69"/>
      <c r="B23" s="6"/>
      <c r="C23" s="60" t="n">
        <f aca="false">A23*B23*10000</f>
        <v>0</v>
      </c>
      <c r="D23" s="21"/>
      <c r="E23" s="65"/>
      <c r="F23" s="66"/>
      <c r="G23" s="67" t="n">
        <f aca="false">E23*F23*10000</f>
        <v>0</v>
      </c>
      <c r="I23" s="68"/>
    </row>
    <row r="24" customFormat="false" ht="6.75" hidden="false" customHeight="true" outlineLevel="0" collapsed="false">
      <c r="A24" s="69"/>
      <c r="B24" s="6"/>
      <c r="C24" s="60" t="n">
        <f aca="false">A24*B24*10000</f>
        <v>0</v>
      </c>
      <c r="D24" s="21"/>
      <c r="E24" s="65"/>
      <c r="F24" s="66"/>
      <c r="G24" s="67" t="n">
        <f aca="false">E24*F24*10000</f>
        <v>0</v>
      </c>
      <c r="I24" s="68"/>
    </row>
    <row r="25" customFormat="false" ht="6.75" hidden="false" customHeight="true" outlineLevel="0" collapsed="false">
      <c r="A25" s="69"/>
      <c r="B25" s="6"/>
      <c r="C25" s="60" t="n">
        <f aca="false">A25*B25*10000</f>
        <v>0</v>
      </c>
      <c r="D25" s="21"/>
      <c r="E25" s="65"/>
      <c r="F25" s="66"/>
      <c r="G25" s="67" t="n">
        <f aca="false">E25*F25*10000</f>
        <v>0</v>
      </c>
      <c r="I25" s="68"/>
    </row>
    <row r="26" customFormat="false" ht="6.75" hidden="false" customHeight="true" outlineLevel="0" collapsed="false">
      <c r="A26" s="69"/>
      <c r="B26" s="6"/>
      <c r="C26" s="60" t="n">
        <f aca="false">A26*B26*10000</f>
        <v>0</v>
      </c>
      <c r="D26" s="21"/>
      <c r="E26" s="65"/>
      <c r="F26" s="66"/>
      <c r="G26" s="67" t="n">
        <f aca="false">E26*F26*10000</f>
        <v>0</v>
      </c>
      <c r="I26" s="68"/>
    </row>
    <row r="27" customFormat="false" ht="9" hidden="false" customHeight="true" outlineLevel="0" collapsed="false">
      <c r="A27" s="69"/>
      <c r="B27" s="6"/>
      <c r="C27" s="60" t="n">
        <f aca="false">A27*B27*10000</f>
        <v>0</v>
      </c>
      <c r="D27" s="21"/>
      <c r="E27" s="65"/>
      <c r="F27" s="66"/>
      <c r="G27" s="67" t="n">
        <f aca="false">E27*F27*10000</f>
        <v>0</v>
      </c>
      <c r="I27" s="68"/>
    </row>
    <row r="28" customFormat="false" ht="9" hidden="false" customHeight="true" outlineLevel="0" collapsed="false">
      <c r="A28" s="69"/>
      <c r="B28" s="6"/>
      <c r="C28" s="60" t="n">
        <f aca="false">A28*B28*10000</f>
        <v>0</v>
      </c>
      <c r="D28" s="21"/>
      <c r="E28" s="65"/>
      <c r="F28" s="66"/>
      <c r="G28" s="67" t="n">
        <f aca="false">E28*F28*10000</f>
        <v>0</v>
      </c>
      <c r="I28" s="68"/>
    </row>
    <row r="29" customFormat="false" ht="9" hidden="false" customHeight="true" outlineLevel="0" collapsed="false">
      <c r="A29" s="69"/>
      <c r="B29" s="6"/>
      <c r="C29" s="60" t="n">
        <f aca="false">A29*B29*10000</f>
        <v>0</v>
      </c>
      <c r="D29" s="21"/>
      <c r="E29" s="69"/>
      <c r="F29" s="6"/>
      <c r="G29" s="67" t="n">
        <f aca="false">E29*F29*10000</f>
        <v>0</v>
      </c>
      <c r="I29" s="68"/>
    </row>
    <row r="30" customFormat="false" ht="9" hidden="false" customHeight="true" outlineLevel="0" collapsed="false">
      <c r="A30" s="69"/>
      <c r="B30" s="6"/>
      <c r="C30" s="60" t="n">
        <f aca="false">A30*B30*10000</f>
        <v>0</v>
      </c>
      <c r="D30" s="21"/>
      <c r="E30" s="69"/>
      <c r="F30" s="6"/>
      <c r="G30" s="67" t="n">
        <f aca="false">E30*F30*10000</f>
        <v>0</v>
      </c>
      <c r="I30" s="68"/>
    </row>
    <row r="31" customFormat="false" ht="12.75" hidden="false" customHeight="false" outlineLevel="0" collapsed="false">
      <c r="A31" s="69"/>
      <c r="B31" s="6"/>
      <c r="C31" s="60" t="n">
        <f aca="false">A31*B31*10000</f>
        <v>0</v>
      </c>
      <c r="D31" s="21"/>
      <c r="E31" s="69"/>
      <c r="F31" s="6"/>
      <c r="G31" s="67" t="n">
        <f aca="false">E31*F31*10000</f>
        <v>0</v>
      </c>
      <c r="I31" s="68"/>
    </row>
    <row r="32" customFormat="false" ht="12.75" hidden="false" customHeight="false" outlineLevel="0" collapsed="false">
      <c r="E32" s="54"/>
      <c r="G32" s="74"/>
    </row>
    <row r="33" customFormat="false" ht="12.75" hidden="false" customHeight="false" outlineLevel="0" collapsed="false">
      <c r="A33" s="69" t="n">
        <f aca="false">SUM(A1:A32)</f>
        <v>53.25</v>
      </c>
      <c r="B33" s="6" t="n">
        <f aca="false">IF(A33=0,0,C33/A33/10000)</f>
        <v>5.24668075117371</v>
      </c>
      <c r="C33" s="60" t="n">
        <f aca="false">SUM(C1:C32)</f>
        <v>2793857.5</v>
      </c>
      <c r="E33" s="69" t="n">
        <f aca="false">SUM(E1:E32)</f>
        <v>0</v>
      </c>
      <c r="F33" s="6" t="n">
        <f aca="false">IF(E33=0,0,G33/E33/10000)</f>
        <v>0</v>
      </c>
      <c r="G33" s="67" t="n">
        <f aca="false">SUM(G1:G32)</f>
        <v>0</v>
      </c>
      <c r="I33" s="75" t="n">
        <f aca="false">MIN(A33,E33)*(B33-F33)*10000</f>
        <v>0</v>
      </c>
      <c r="J33" s="76"/>
      <c r="K33" s="76" t="s">
        <v>532</v>
      </c>
      <c r="L33" s="21"/>
      <c r="M33" s="21"/>
    </row>
    <row r="34" customFormat="false" ht="12.75" hidden="false" customHeight="false" outlineLevel="0" collapsed="false">
      <c r="I34" s="75"/>
      <c r="J34" s="76"/>
      <c r="K34" s="76"/>
      <c r="L34" s="21"/>
      <c r="M34" s="21"/>
    </row>
    <row r="35" customFormat="false" ht="12.75" hidden="false" customHeight="false" outlineLevel="0" collapsed="false">
      <c r="E35" s="56" t="n">
        <f aca="false">-A33+E33</f>
        <v>-53.25</v>
      </c>
      <c r="F35" s="0" t="n">
        <f aca="false">IF(E35&lt;0,B33,F33)</f>
        <v>5.24668075117371</v>
      </c>
      <c r="G35" s="57" t="n">
        <f aca="false">IF(E35&lt;0,(F35-B38)*ABS(E35)*10000,-1*(F35-B38)*ABS(E35)*10000)</f>
        <v>-108267.5</v>
      </c>
      <c r="I35" s="75" t="n">
        <f aca="false">G35</f>
        <v>-108267.5</v>
      </c>
      <c r="J35" s="76"/>
      <c r="K35" s="76" t="s">
        <v>533</v>
      </c>
      <c r="L35" s="21"/>
      <c r="M35" s="21" t="s">
        <v>534</v>
      </c>
    </row>
    <row r="36" customFormat="false" ht="12.75" hidden="false" customHeight="false" outlineLevel="0" collapsed="false">
      <c r="L36" s="21"/>
      <c r="M36" s="21"/>
    </row>
    <row r="37" customFormat="false" ht="12.75" hidden="false" customHeight="false" outlineLevel="0" collapsed="false">
      <c r="E37" s="56" t="n">
        <f aca="false">-A33+E33</f>
        <v>-53.25</v>
      </c>
      <c r="F37" s="0" t="n">
        <f aca="false">IF(E37&lt;0,(B33+(I33/(ABS(E37)*10000))),IF(E37=0,0,(F33-(I33/(ABS(E37)*10000)))))</f>
        <v>5.24668075117371</v>
      </c>
      <c r="G37" s="57" t="n">
        <f aca="false">IF(E37&lt;0,(F37-B38)*ABS(E37)*10000,IF(E37=0,0,-1*(F37-B38)*ABS(E37)*10000))</f>
        <v>-108267.5</v>
      </c>
      <c r="I37" s="77" t="n">
        <f aca="false">G37</f>
        <v>-108267.5</v>
      </c>
      <c r="J37" s="78"/>
      <c r="K37" s="78" t="s">
        <v>535</v>
      </c>
      <c r="L37" s="21"/>
      <c r="M37" s="21" t="s">
        <v>536</v>
      </c>
    </row>
    <row r="38" customFormat="false" ht="12.75" hidden="false" customHeight="false" outlineLevel="0" collapsed="false">
      <c r="B38" s="0" t="n">
        <v>5.45</v>
      </c>
      <c r="C38" s="55" t="s">
        <v>537</v>
      </c>
      <c r="L38" s="21"/>
      <c r="M38" s="21"/>
    </row>
    <row r="39" customFormat="false" ht="12.75" hidden="false" customHeight="false" outlineLevel="0" collapsed="false">
      <c r="B39" s="0" t="n">
        <f aca="false">Summary!B11</f>
        <v>4.027</v>
      </c>
      <c r="C39" s="55" t="s">
        <v>538</v>
      </c>
      <c r="I39" s="79" t="n">
        <f aca="false">I33+I35</f>
        <v>-108267.5</v>
      </c>
      <c r="J39" s="80"/>
      <c r="K39" s="80" t="s">
        <v>539</v>
      </c>
      <c r="L39" s="21"/>
      <c r="M39" s="21"/>
    </row>
    <row r="46" customFormat="false" ht="12.75" hidden="false" customHeight="false" outlineLevel="0" collapsed="false">
      <c r="A46" s="56"/>
    </row>
    <row r="49" customFormat="false" ht="12.75" hidden="false" customHeight="false" outlineLevel="0" collapsed="false">
      <c r="A49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N26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M11" activeCellId="0" sqref="M1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C1" s="124" t="s">
        <v>505</v>
      </c>
      <c r="D1" s="124"/>
      <c r="E1" s="44" t="n">
        <f aca="false">Summary!B5+0.03-0.025</f>
        <v>3.927</v>
      </c>
      <c r="F1" s="44"/>
      <c r="G1" s="44"/>
      <c r="H1" s="124" t="s">
        <v>509</v>
      </c>
      <c r="I1" s="124"/>
      <c r="J1" s="0" t="n">
        <f aca="false">Summary!B5+0.03</f>
        <v>3.952</v>
      </c>
      <c r="L1" s="124" t="s">
        <v>609</v>
      </c>
      <c r="M1" s="124"/>
      <c r="N1" s="0" t="n">
        <f aca="false">Summary!D1+0.015</f>
        <v>3.937</v>
      </c>
    </row>
    <row r="2" customFormat="false" ht="12.75" hidden="false" customHeight="false" outlineLevel="0" collapsed="false">
      <c r="C2" s="44"/>
      <c r="D2" s="44"/>
      <c r="E2" s="44"/>
      <c r="F2" s="44"/>
      <c r="G2" s="44"/>
      <c r="H2" s="44"/>
      <c r="I2" s="44"/>
    </row>
    <row r="3" customFormat="false" ht="12.75" hidden="false" customHeight="false" outlineLevel="0" collapsed="false">
      <c r="E3" s="0" t="n">
        <f aca="false">($E$1-D3)*(C3*10000)</f>
        <v>0</v>
      </c>
      <c r="J3" s="0" t="n">
        <f aca="false">($J$1-I3)*(H3*10000)</f>
        <v>0</v>
      </c>
      <c r="N3" s="0" t="n">
        <f aca="false">($N$1-M3)*(L3*10000)</f>
        <v>0</v>
      </c>
    </row>
    <row r="4" customFormat="false" ht="12.75" hidden="false" customHeight="false" outlineLevel="0" collapsed="false">
      <c r="E4" s="0" t="n">
        <f aca="false">($E$1-D4)*(C4*10000)</f>
        <v>0</v>
      </c>
      <c r="J4" s="0" t="n">
        <f aca="false">($J$1-I4)*(H4*10000)</f>
        <v>0</v>
      </c>
      <c r="N4" s="0" t="n">
        <f aca="false">($J$1-M4)*(L4*10000)</f>
        <v>0</v>
      </c>
    </row>
    <row r="5" customFormat="false" ht="12.75" hidden="false" customHeight="false" outlineLevel="0" collapsed="false">
      <c r="E5" s="0" t="n">
        <f aca="false">($E$1-D5)*(C5*10000)</f>
        <v>0</v>
      </c>
      <c r="J5" s="0" t="n">
        <f aca="false">($J$1-I5)*(H5*10000)</f>
        <v>0</v>
      </c>
      <c r="N5" s="0" t="n">
        <f aca="false">($J$1-M5)*(L5*10000)</f>
        <v>0</v>
      </c>
    </row>
    <row r="6" customFormat="false" ht="12.75" hidden="false" customHeight="false" outlineLevel="0" collapsed="false">
      <c r="E6" s="0" t="n">
        <f aca="false">($E$1-D6)*(C6*10000)</f>
        <v>0</v>
      </c>
    </row>
    <row r="7" customFormat="false" ht="12.75" hidden="false" customHeight="false" outlineLevel="0" collapsed="false">
      <c r="E7" s="0" t="n">
        <f aca="false">($E$1-D7)*(C7*10000)</f>
        <v>0</v>
      </c>
    </row>
    <row r="8" customFormat="false" ht="12.75" hidden="false" customHeight="false" outlineLevel="0" collapsed="false">
      <c r="E8" s="0" t="n">
        <f aca="false">($E$1-D8)*(C8*10000)</f>
        <v>0</v>
      </c>
    </row>
    <row r="9" customFormat="false" ht="12.75" hidden="false" customHeight="false" outlineLevel="0" collapsed="false">
      <c r="E9" s="0" t="n">
        <f aca="false">($E$1-D9)*(C9*10000)</f>
        <v>0</v>
      </c>
    </row>
    <row r="10" customFormat="false" ht="12.75" hidden="false" customHeight="false" outlineLevel="0" collapsed="false">
      <c r="E10" s="0" t="n">
        <f aca="false">($E$1-D10)*(C10*10000)</f>
        <v>0</v>
      </c>
    </row>
    <row r="11" customFormat="false" ht="12.75" hidden="false" customHeight="false" outlineLevel="0" collapsed="false">
      <c r="E11" s="0" t="n">
        <f aca="false">($E$1-D11)*(C11*10000)</f>
        <v>0</v>
      </c>
    </row>
    <row r="12" customFormat="false" ht="12.75" hidden="false" customHeight="false" outlineLevel="0" collapsed="false">
      <c r="E12" s="0" t="n">
        <f aca="false">($E$1-D12)*(C12*10000)</f>
        <v>0</v>
      </c>
    </row>
    <row r="13" customFormat="false" ht="12.75" hidden="false" customHeight="false" outlineLevel="0" collapsed="false">
      <c r="E13" s="0" t="n">
        <f aca="false">($E$1-D13)*(C13*10000)</f>
        <v>0</v>
      </c>
    </row>
    <row r="14" customFormat="false" ht="12.75" hidden="false" customHeight="false" outlineLevel="0" collapsed="false">
      <c r="E14" s="0" t="n">
        <f aca="false">($E$1-D14)*(C14*10000)</f>
        <v>0</v>
      </c>
    </row>
    <row r="15" customFormat="false" ht="12.75" hidden="false" customHeight="false" outlineLevel="0" collapsed="false">
      <c r="E15" s="0" t="n">
        <f aca="false">($E$1-D15)*(C15*10000)</f>
        <v>0</v>
      </c>
    </row>
    <row r="16" customFormat="false" ht="12.75" hidden="false" customHeight="false" outlineLevel="0" collapsed="false">
      <c r="E16" s="0" t="n">
        <f aca="false">($E$1-D16)*(C16*10000)</f>
        <v>0</v>
      </c>
    </row>
    <row r="17" customFormat="false" ht="12.75" hidden="false" customHeight="false" outlineLevel="0" collapsed="false">
      <c r="E17" s="0" t="n">
        <f aca="false">($E$1-D17)*(C17*10000)</f>
        <v>0</v>
      </c>
    </row>
    <row r="18" customFormat="false" ht="12.75" hidden="false" customHeight="false" outlineLevel="0" collapsed="false">
      <c r="E18" s="0" t="n">
        <f aca="false">($E$1-D18)*(C18*10000)</f>
        <v>0</v>
      </c>
    </row>
    <row r="19" customFormat="false" ht="12.75" hidden="false" customHeight="false" outlineLevel="0" collapsed="false">
      <c r="E19" s="0" t="n">
        <f aca="false">($E$1-D19)*(C19*10000)</f>
        <v>0</v>
      </c>
    </row>
    <row r="20" customFormat="false" ht="12.75" hidden="false" customHeight="false" outlineLevel="0" collapsed="false">
      <c r="E20" s="0" t="n">
        <f aca="false">($E$1-D20)*(C20*10000)</f>
        <v>0</v>
      </c>
    </row>
    <row r="22" customFormat="false" ht="12.75" hidden="false" customHeight="false" outlineLevel="0" collapsed="false">
      <c r="C22" s="0" t="n">
        <f aca="false">SUM(C3:C21)</f>
        <v>0</v>
      </c>
      <c r="E22" s="0" t="n">
        <f aca="false">SUM(E3:E20)</f>
        <v>0</v>
      </c>
      <c r="H22" s="0" t="n">
        <f aca="false">SUM(H3:H14)</f>
        <v>0</v>
      </c>
      <c r="J22" s="0" t="n">
        <f aca="false">SUM(J3:J14)</f>
        <v>0</v>
      </c>
      <c r="L22" s="0" t="n">
        <f aca="false">SUM(L3:L14)</f>
        <v>0</v>
      </c>
      <c r="N22" s="0" t="n">
        <f aca="false">SUM(N3:N14)</f>
        <v>0</v>
      </c>
    </row>
    <row r="25" customFormat="false" ht="12.75" hidden="false" customHeight="false" outlineLevel="0" collapsed="false">
      <c r="F25" s="44" t="s">
        <v>610</v>
      </c>
      <c r="G25" s="44" t="s">
        <v>496</v>
      </c>
    </row>
    <row r="26" customFormat="false" ht="12.75" hidden="false" customHeight="false" outlineLevel="0" collapsed="false">
      <c r="F26" s="125" t="n">
        <f aca="false">C22+H22+L22</f>
        <v>0</v>
      </c>
      <c r="G26" s="125" t="n">
        <f aca="false">E22+J22+N22</f>
        <v>0</v>
      </c>
    </row>
  </sheetData>
  <mergeCells count="3">
    <mergeCell ref="C1:D1"/>
    <mergeCell ref="H1:I1"/>
    <mergeCell ref="L1:M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7.28"/>
    <col collapsed="false" customWidth="true" hidden="false" outlineLevel="0" max="3" min="3" style="0" width="7.42"/>
    <col collapsed="false" customWidth="true" hidden="false" outlineLevel="0" max="4" min="4" style="0" width="17.42"/>
    <col collapsed="false" customWidth="true" hidden="false" outlineLevel="0" max="5" min="5" style="0" width="14.85"/>
    <col collapsed="false" customWidth="true" hidden="false" outlineLevel="0" max="6" min="6" style="0" width="14.14"/>
    <col collapsed="false" customWidth="true" hidden="false" outlineLevel="0" max="7" min="7" style="0" width="11.7"/>
    <col collapsed="false" customWidth="true" hidden="false" outlineLevel="0" max="8" min="8" style="0" width="4.14"/>
    <col collapsed="false" customWidth="true" hidden="false" outlineLevel="0" max="10" min="9" style="0" width="14.14"/>
    <col collapsed="false" customWidth="true" hidden="false" outlineLevel="0" max="11" min="11" style="0" width="3.99"/>
    <col collapsed="false" customWidth="true" hidden="false" outlineLevel="0" max="12" min="12" style="0" width="13.85"/>
    <col collapsed="false" customWidth="true" hidden="false" outlineLevel="0" max="13" min="13" style="0" width="13.41"/>
    <col collapsed="false" customWidth="true" hidden="false" outlineLevel="0" max="14" min="14" style="0" width="15.28"/>
    <col collapsed="false" customWidth="true" hidden="false" outlineLevel="0" max="16" min="16" style="0" width="12.85"/>
  </cols>
  <sheetData>
    <row r="1" customFormat="false" ht="12.75" hidden="false" customHeight="false" outlineLevel="0" collapsed="false">
      <c r="C1" s="0" t="s">
        <v>479</v>
      </c>
      <c r="D1" s="0" t="n">
        <f aca="false">B5</f>
        <v>3.922</v>
      </c>
      <c r="E1" s="0" t="n">
        <v>3.801</v>
      </c>
      <c r="F1" s="0" t="n">
        <f aca="false">D1-E1</f>
        <v>0.121</v>
      </c>
      <c r="I1" s="0" t="n">
        <v>4.659</v>
      </c>
      <c r="J1" s="0" t="n">
        <v>5.324</v>
      </c>
      <c r="L1" s="0" t="n">
        <v>5.317</v>
      </c>
    </row>
    <row r="2" customFormat="false" ht="12.75" hidden="false" customHeight="false" outlineLevel="0" collapsed="false">
      <c r="C2" s="0" t="s">
        <v>480</v>
      </c>
      <c r="D2" s="0" t="n">
        <f aca="false">D1-0.152</f>
        <v>3.77</v>
      </c>
      <c r="E2" s="0" t="n">
        <v>3.71</v>
      </c>
      <c r="F2" s="0" t="n">
        <f aca="false">D2-E2</f>
        <v>0.0600000000000001</v>
      </c>
    </row>
    <row r="3" customFormat="false" ht="12.75" hidden="false" customHeight="false" outlineLevel="0" collapsed="false">
      <c r="D3" s="0" t="n">
        <f aca="false">D2-D1</f>
        <v>-0.152</v>
      </c>
      <c r="E3" s="0" t="n">
        <v>-0.0910000000000002</v>
      </c>
      <c r="F3" s="4"/>
      <c r="G3" s="4"/>
      <c r="H3" s="4"/>
      <c r="I3" s="4"/>
      <c r="J3" s="4"/>
      <c r="K3" s="4"/>
      <c r="L3" s="4" t="s">
        <v>481</v>
      </c>
    </row>
    <row r="4" customFormat="false" ht="12.75" hidden="false" customHeight="false" outlineLevel="0" collapsed="false">
      <c r="F4" s="5" t="n">
        <f aca="true">TODAY()</f>
        <v>45926</v>
      </c>
      <c r="G4" s="4"/>
      <c r="H4" s="4"/>
      <c r="I4" s="4" t="s">
        <v>482</v>
      </c>
      <c r="J4" s="4" t="s">
        <v>481</v>
      </c>
      <c r="K4" s="4"/>
      <c r="L4" s="5" t="n">
        <f aca="true">TODAY()-1</f>
        <v>45925</v>
      </c>
      <c r="P4" s="0" t="n">
        <f aca="false">P5+3301</f>
        <v>18779.2608695652</v>
      </c>
    </row>
    <row r="5" customFormat="false" ht="12.75" hidden="false" customHeight="false" outlineLevel="0" collapsed="false">
      <c r="A5" s="6" t="s">
        <v>483</v>
      </c>
      <c r="B5" s="7" t="n">
        <v>3.922</v>
      </c>
      <c r="C5" s="6"/>
      <c r="D5" s="0" t="s">
        <v>484</v>
      </c>
      <c r="F5" s="8" t="n">
        <f aca="false">+KATHY_PHYS!AF36+WAHA_swap!Z36+KATY_SWAP!AT36</f>
        <v>-78451.3900000001</v>
      </c>
      <c r="I5" s="9" t="n">
        <v>-190227.48</v>
      </c>
      <c r="J5" s="10" t="n">
        <f aca="false">F5-I5</f>
        <v>111776.09</v>
      </c>
      <c r="K5" s="10"/>
      <c r="L5" s="10" t="n">
        <v>-3058.5000000001</v>
      </c>
      <c r="M5" s="0" t="n">
        <v>457440</v>
      </c>
      <c r="O5" s="0" t="n">
        <v>35.6</v>
      </c>
      <c r="P5" s="11" t="n">
        <f aca="false">O5*10000/23</f>
        <v>15478.2608695652</v>
      </c>
    </row>
    <row r="6" customFormat="false" ht="12.75" hidden="false" customHeight="false" outlineLevel="0" collapsed="false">
      <c r="A6" s="6" t="s">
        <v>485</v>
      </c>
      <c r="B6" s="7" t="n">
        <f aca="false">B5+0.096</f>
        <v>4.018</v>
      </c>
      <c r="C6" s="6"/>
      <c r="D6" s="0" t="s">
        <v>486</v>
      </c>
      <c r="F6" s="8" t="n">
        <f aca="false">HH_SWAP!BR36+Q36+HSC_SWAP!AE36+PERMIAN!AE36</f>
        <v>49606.9400000003</v>
      </c>
      <c r="I6" s="9" t="n">
        <v>-10422.4499999998</v>
      </c>
      <c r="J6" s="10" t="n">
        <f aca="false">F6-I6</f>
        <v>60029.3900000001</v>
      </c>
      <c r="K6" s="10"/>
      <c r="L6" s="10" t="n">
        <v>294225</v>
      </c>
      <c r="O6" s="0" t="n">
        <f aca="false">38.4</f>
        <v>38.4</v>
      </c>
      <c r="P6" s="11" t="n">
        <f aca="false">O6*10000/23</f>
        <v>16695.652173913</v>
      </c>
    </row>
    <row r="7" customFormat="false" ht="12.75" hidden="false" customHeight="false" outlineLevel="0" collapsed="false">
      <c r="A7" s="6" t="s">
        <v>487</v>
      </c>
      <c r="B7" s="7" t="n">
        <f aca="false">B6+0.047</f>
        <v>4.065</v>
      </c>
      <c r="C7" s="6"/>
      <c r="D7" s="0" t="s">
        <v>488</v>
      </c>
      <c r="F7" s="12" t="n">
        <f aca="false">JUN_PHY!G26</f>
        <v>0</v>
      </c>
      <c r="I7" s="9" t="n">
        <v>0</v>
      </c>
      <c r="J7" s="10" t="n">
        <f aca="false">F7-I7</f>
        <v>0</v>
      </c>
      <c r="K7" s="10"/>
      <c r="L7" s="10" t="n">
        <v>0</v>
      </c>
      <c r="P7" s="11" t="n">
        <f aca="false">O7*10000/23</f>
        <v>0</v>
      </c>
    </row>
    <row r="8" customFormat="false" ht="13.5" hidden="false" customHeight="false" outlineLevel="0" collapsed="false">
      <c r="A8" s="6" t="s">
        <v>489</v>
      </c>
      <c r="B8" s="7" t="n">
        <f aca="false">B7+0.047</f>
        <v>4.112</v>
      </c>
      <c r="C8" s="6"/>
      <c r="D8" s="0" t="s">
        <v>490</v>
      </c>
      <c r="F8" s="13" t="n">
        <f aca="false">NYMEX_juL1!I43+NYMEX_AUG!I45+'JUL Swap'!I39+NYMEX_SEP!I39+NYMEX_juL2!I46+X_H!I39+N_V!I39</f>
        <v>209467.500000004</v>
      </c>
      <c r="I8" s="9" t="n">
        <v>443069.999999997</v>
      </c>
      <c r="J8" s="10" t="n">
        <f aca="false">F8-I8</f>
        <v>-233602.499999993</v>
      </c>
      <c r="K8" s="10"/>
      <c r="L8" s="10" t="n">
        <v>-133332.500000001</v>
      </c>
      <c r="O8" s="0" t="n">
        <f aca="false">112.8</f>
        <v>112.8</v>
      </c>
      <c r="P8" s="11" t="n">
        <f aca="false">O8*10000/23</f>
        <v>49043.4782608696</v>
      </c>
    </row>
    <row r="9" customFormat="false" ht="13.5" hidden="false" customHeight="false" outlineLevel="0" collapsed="false">
      <c r="A9" s="6" t="s">
        <v>491</v>
      </c>
      <c r="B9" s="7" t="n">
        <f aca="false">B8+0.19</f>
        <v>4.302</v>
      </c>
      <c r="C9" s="6"/>
      <c r="F9" s="8" t="n">
        <f aca="false">SUM(F5:F8)</f>
        <v>180623.050000004</v>
      </c>
      <c r="I9" s="9" t="n">
        <v>242420.069999997</v>
      </c>
      <c r="J9" s="10" t="n">
        <f aca="false">F9-I9</f>
        <v>-61797.0199999925</v>
      </c>
      <c r="K9" s="9"/>
      <c r="L9" s="9" t="n">
        <v>157833.999999999</v>
      </c>
      <c r="O9" s="0" t="n">
        <v>-6.6</v>
      </c>
      <c r="P9" s="11" t="n">
        <f aca="false">O9*10000/23</f>
        <v>-2869.5652173913</v>
      </c>
    </row>
    <row r="10" customFormat="false" ht="12.75" hidden="false" customHeight="false" outlineLevel="0" collapsed="false">
      <c r="A10" s="6" t="s">
        <v>492</v>
      </c>
      <c r="B10" s="7" t="n">
        <f aca="false">B5+0.4734</f>
        <v>4.3954</v>
      </c>
      <c r="C10" s="7" t="n">
        <f aca="false">B10-B5</f>
        <v>0.4734</v>
      </c>
      <c r="I10" s="9" t="s">
        <v>493</v>
      </c>
      <c r="J10" s="9" t="n">
        <v>33665</v>
      </c>
      <c r="K10" s="9"/>
      <c r="L10" s="10" t="n">
        <v>-8000</v>
      </c>
      <c r="P10" s="11"/>
    </row>
    <row r="11" customFormat="false" ht="12.75" hidden="false" customHeight="false" outlineLevel="0" collapsed="false">
      <c r="A11" s="6" t="s">
        <v>494</v>
      </c>
      <c r="B11" s="14" t="n">
        <f aca="false">B5+0.105</f>
        <v>4.027</v>
      </c>
      <c r="C11" s="7" t="n">
        <f aca="false">B11-B5</f>
        <v>0.105</v>
      </c>
      <c r="D11" s="4" t="s">
        <v>495</v>
      </c>
      <c r="E11" s="15" t="s">
        <v>496</v>
      </c>
      <c r="F11" s="16" t="s">
        <v>497</v>
      </c>
      <c r="I11" s="15" t="s">
        <v>496</v>
      </c>
      <c r="J11" s="16" t="s">
        <v>497</v>
      </c>
      <c r="K11" s="9"/>
      <c r="L11" s="10"/>
      <c r="P11" s="11"/>
    </row>
    <row r="12" customFormat="false" ht="12.75" hidden="false" customHeight="false" outlineLevel="0" collapsed="false">
      <c r="A12" s="6" t="s">
        <v>483</v>
      </c>
      <c r="B12" s="0" t="n">
        <v>3.922</v>
      </c>
      <c r="D12" s="0" t="s">
        <v>498</v>
      </c>
      <c r="E12" s="10" t="n">
        <f aca="false">KATHY_PHYS!AF36</f>
        <v>-27201.3900000002</v>
      </c>
      <c r="F12" s="17" t="n">
        <f aca="false">KATHY_PHYS!P36</f>
        <v>292353</v>
      </c>
      <c r="G12" s="18"/>
      <c r="H12" s="18"/>
      <c r="I12" s="10" t="n">
        <v>-59052.4800000002</v>
      </c>
      <c r="J12" s="17" t="n">
        <v>338514</v>
      </c>
      <c r="K12" s="9"/>
      <c r="L12" s="10" t="n">
        <f aca="false">E12-I12</f>
        <v>31851.09</v>
      </c>
      <c r="M12" s="17" t="n">
        <f aca="false">F12-J12</f>
        <v>-46161</v>
      </c>
      <c r="N12" s="19" t="n">
        <f aca="false">L12/J12</f>
        <v>0.0940909090909091</v>
      </c>
      <c r="P12" s="11"/>
    </row>
    <row r="13" customFormat="false" ht="12.75" hidden="false" customHeight="false" outlineLevel="0" collapsed="false">
      <c r="A13" s="6" t="s">
        <v>485</v>
      </c>
      <c r="B13" s="0" t="n">
        <v>4.018</v>
      </c>
      <c r="C13" s="20" t="n">
        <f aca="false">B13-B12</f>
        <v>0.0959999999999996</v>
      </c>
      <c r="E13" s="10"/>
      <c r="F13" s="17"/>
      <c r="G13" s="18"/>
      <c r="H13" s="18"/>
      <c r="I13" s="10"/>
      <c r="J13" s="17"/>
      <c r="K13" s="9"/>
      <c r="L13" s="10" t="n">
        <f aca="false">E13-I13</f>
        <v>0</v>
      </c>
      <c r="M13" s="17" t="n">
        <f aca="false">F13-J13</f>
        <v>0</v>
      </c>
      <c r="N13" s="19" t="e">
        <f aca="false">L13/J13</f>
        <v>#DIV/0!</v>
      </c>
      <c r="P13" s="11"/>
    </row>
    <row r="14" customFormat="false" ht="12.75" hidden="false" customHeight="false" outlineLevel="0" collapsed="false">
      <c r="A14" s="6" t="s">
        <v>487</v>
      </c>
      <c r="B14" s="0" t="n">
        <v>4.065</v>
      </c>
      <c r="C14" s="0" t="n">
        <f aca="false">B14-B13</f>
        <v>0.0470000000000006</v>
      </c>
      <c r="E14" s="10"/>
      <c r="F14" s="17"/>
      <c r="G14" s="18"/>
      <c r="H14" s="18"/>
      <c r="I14" s="10"/>
      <c r="J14" s="17"/>
      <c r="K14" s="9"/>
      <c r="L14" s="10" t="n">
        <f aca="false">E14-I14</f>
        <v>0</v>
      </c>
      <c r="M14" s="17" t="n">
        <f aca="false">F14-J14</f>
        <v>0</v>
      </c>
      <c r="N14" s="19" t="e">
        <f aca="false">L14/J14</f>
        <v>#DIV/0!</v>
      </c>
      <c r="P14" s="11"/>
    </row>
    <row r="15" customFormat="false" ht="12.75" hidden="false" customHeight="false" outlineLevel="0" collapsed="false">
      <c r="A15" s="6" t="s">
        <v>489</v>
      </c>
      <c r="B15" s="0" t="n">
        <v>4.112</v>
      </c>
      <c r="C15" s="0" t="n">
        <f aca="false">B15-B14</f>
        <v>0.0469999999999997</v>
      </c>
      <c r="D15" s="21"/>
      <c r="E15" s="22" t="n">
        <f aca="false">SUM(E12:E14)</f>
        <v>-27201.3900000002</v>
      </c>
      <c r="F15" s="23" t="n">
        <f aca="false">SUM(F12:F14)</f>
        <v>292353</v>
      </c>
      <c r="G15" s="24" t="n">
        <f aca="false">F15/E31</f>
        <v>12711</v>
      </c>
      <c r="H15" s="24"/>
      <c r="I15" s="22" t="n">
        <v>-59052.4800000002</v>
      </c>
      <c r="J15" s="23" t="n">
        <v>338514</v>
      </c>
      <c r="K15" s="25"/>
      <c r="L15" s="26" t="n">
        <f aca="false">E15-I15</f>
        <v>31851.09</v>
      </c>
      <c r="M15" s="23" t="n">
        <f aca="false">F15-J15</f>
        <v>-46161</v>
      </c>
      <c r="N15" s="19" t="n">
        <f aca="false">L15/J15</f>
        <v>0.0940909090909091</v>
      </c>
      <c r="P15" s="27"/>
    </row>
    <row r="16" customFormat="false" ht="12.75" hidden="false" customHeight="false" outlineLevel="0" collapsed="false">
      <c r="A16" s="6" t="s">
        <v>491</v>
      </c>
      <c r="B16" s="0" t="n">
        <v>4.302</v>
      </c>
      <c r="C16" s="0" t="n">
        <f aca="false">B16-B15</f>
        <v>0.19</v>
      </c>
      <c r="D16" s="4" t="s">
        <v>499</v>
      </c>
      <c r="E16" s="28"/>
      <c r="F16" s="29"/>
      <c r="G16" s="18"/>
      <c r="H16" s="18"/>
      <c r="I16" s="28"/>
      <c r="J16" s="29"/>
      <c r="K16" s="9"/>
      <c r="M16" s="29"/>
      <c r="N16" s="19" t="e">
        <f aca="false">L16/J16</f>
        <v>#DIV/0!</v>
      </c>
      <c r="P16" s="27"/>
    </row>
    <row r="17" customFormat="false" ht="12.75" hidden="false" customHeight="false" outlineLevel="0" collapsed="false">
      <c r="A17" s="0" t="s">
        <v>500</v>
      </c>
      <c r="B17" s="0" t="n">
        <f aca="false">AVERAGE(B12:B15)</f>
        <v>4.02925</v>
      </c>
      <c r="C17" s="0" t="n">
        <f aca="false">B17-B12</f>
        <v>0.10725</v>
      </c>
      <c r="D17" s="0" t="s">
        <v>501</v>
      </c>
      <c r="E17" s="10" t="n">
        <f aca="false">HH_SWAP!BR36</f>
        <v>-10993.0599999999</v>
      </c>
      <c r="F17" s="30" t="n">
        <f aca="false">HH_SWAP!AJ36</f>
        <v>-161747</v>
      </c>
      <c r="G17" s="18"/>
      <c r="H17" s="18"/>
      <c r="I17" s="10" t="n">
        <v>14777.5500000001</v>
      </c>
      <c r="J17" s="30" t="n">
        <v>-187286</v>
      </c>
      <c r="K17" s="9"/>
      <c r="L17" s="10" t="n">
        <f aca="false">E17-I17</f>
        <v>-25770.61</v>
      </c>
      <c r="M17" s="30" t="n">
        <f aca="false">F17-J17</f>
        <v>25539</v>
      </c>
      <c r="N17" s="19" t="n">
        <f aca="false">L17/J17</f>
        <v>0.137600301143705</v>
      </c>
      <c r="P17" s="11"/>
    </row>
    <row r="18" customFormat="false" ht="12.75" hidden="false" customHeight="false" outlineLevel="0" collapsed="false">
      <c r="A18" s="0" t="s">
        <v>492</v>
      </c>
      <c r="B18" s="0" t="n">
        <f aca="false">B12+0.4734</f>
        <v>4.3954</v>
      </c>
      <c r="C18" s="0" t="n">
        <f aca="false">B18-B12</f>
        <v>0.4734</v>
      </c>
      <c r="D18" s="0" t="s">
        <v>502</v>
      </c>
      <c r="E18" s="10" t="n">
        <f aca="false">HSC_SWAP!AE36</f>
        <v>45950.0000000002</v>
      </c>
      <c r="F18" s="17" t="n">
        <f aca="false">HSC_SWAP!P36</f>
        <v>475000</v>
      </c>
      <c r="G18" s="18"/>
      <c r="H18" s="18"/>
      <c r="I18" s="10" t="n">
        <v>-25200</v>
      </c>
      <c r="J18" s="17" t="n">
        <v>220000</v>
      </c>
      <c r="K18" s="9"/>
      <c r="L18" s="10" t="n">
        <f aca="false">E18-I18</f>
        <v>71150.0000000002</v>
      </c>
      <c r="M18" s="30" t="n">
        <f aca="false">F18-J18</f>
        <v>255000</v>
      </c>
      <c r="N18" s="19" t="n">
        <f aca="false">L18/J18</f>
        <v>0.323409090909092</v>
      </c>
      <c r="P18" s="11"/>
    </row>
    <row r="19" customFormat="false" ht="12.75" hidden="false" customHeight="false" outlineLevel="0" collapsed="false">
      <c r="A19" s="0" t="s">
        <v>503</v>
      </c>
      <c r="B19" s="0" t="n">
        <f aca="false">GasDaily!C33</f>
        <v>3.77</v>
      </c>
      <c r="D19" s="0" t="s">
        <v>504</v>
      </c>
      <c r="E19" s="10" t="n">
        <f aca="false">KATY_SWAP!AT$36</f>
        <v>-259350</v>
      </c>
      <c r="F19" s="17" t="n">
        <f aca="false">KATY_SWAP!W$36</f>
        <v>950000</v>
      </c>
      <c r="G19" s="18"/>
      <c r="H19" s="18"/>
      <c r="I19" s="10" t="n">
        <v>-362850</v>
      </c>
      <c r="J19" s="17" t="n">
        <v>1100000</v>
      </c>
      <c r="K19" s="9"/>
      <c r="L19" s="10" t="n">
        <f aca="false">E19-I19</f>
        <v>103500</v>
      </c>
      <c r="M19" s="17" t="n">
        <f aca="false">F19-J19</f>
        <v>-150000</v>
      </c>
      <c r="N19" s="19" t="n">
        <f aca="false">L19/J19</f>
        <v>0.0940909090909091</v>
      </c>
      <c r="P19" s="11"/>
    </row>
    <row r="20" customFormat="false" ht="12.75" hidden="false" customHeight="false" outlineLevel="0" collapsed="false">
      <c r="A20" s="0" t="s">
        <v>505</v>
      </c>
      <c r="B20" s="0" t="n">
        <f aca="false">GasDaily!R33</f>
        <v>3.79</v>
      </c>
      <c r="D20" s="0" t="s">
        <v>506</v>
      </c>
      <c r="E20" s="10" t="n">
        <f aca="false">WAHA_swap!Z36</f>
        <v>208100</v>
      </c>
      <c r="F20" s="17" t="n">
        <f aca="false">WAHA_swap!M36</f>
        <v>-95000</v>
      </c>
      <c r="G20" s="18"/>
      <c r="H20" s="18"/>
      <c r="I20" s="10" t="n">
        <v>231675</v>
      </c>
      <c r="J20" s="17" t="n">
        <v>-330000</v>
      </c>
      <c r="K20" s="9"/>
      <c r="L20" s="10" t="n">
        <f aca="false">E20-I20</f>
        <v>-23575</v>
      </c>
      <c r="M20" s="17" t="n">
        <f aca="false">F20-J20</f>
        <v>235000</v>
      </c>
      <c r="N20" s="19" t="n">
        <f aca="false">L20/J20</f>
        <v>0.0714393939393938</v>
      </c>
      <c r="P20" s="11"/>
    </row>
    <row r="21" customFormat="false" ht="12.75" hidden="false" customHeight="false" outlineLevel="0" collapsed="false">
      <c r="A21" s="0" t="s">
        <v>507</v>
      </c>
      <c r="B21" s="0" t="n">
        <f aca="false">GasDaily!AF33</f>
        <v>3.81</v>
      </c>
      <c r="D21" s="0" t="s">
        <v>508</v>
      </c>
      <c r="E21" s="10" t="n">
        <f aca="false">PERMIAN!AE36</f>
        <v>14650</v>
      </c>
      <c r="F21" s="17" t="n">
        <f aca="false">PERMIAN!P36</f>
        <v>95000</v>
      </c>
      <c r="G21" s="18"/>
      <c r="H21" s="18"/>
      <c r="I21" s="10" t="n">
        <v>0</v>
      </c>
      <c r="J21" s="17" t="n">
        <v>0</v>
      </c>
      <c r="K21" s="9"/>
      <c r="L21" s="10" t="n">
        <f aca="false">E21-I21</f>
        <v>14650</v>
      </c>
      <c r="M21" s="17" t="n">
        <f aca="false">F21-J21</f>
        <v>95000</v>
      </c>
      <c r="N21" s="19" t="e">
        <f aca="false">L21/J21</f>
        <v>#DIV/0!</v>
      </c>
      <c r="P21" s="11"/>
    </row>
    <row r="22" customFormat="false" ht="12.75" hidden="false" customHeight="false" outlineLevel="0" collapsed="false">
      <c r="A22" s="0" t="s">
        <v>509</v>
      </c>
      <c r="B22" s="0" t="n">
        <f aca="false">GasDaily!V33</f>
        <v>3.655</v>
      </c>
      <c r="E22" s="22" t="n">
        <f aca="false">SUM(E17:E21)</f>
        <v>-1643.05999999961</v>
      </c>
      <c r="F22" s="23" t="n">
        <f aca="false">SUM(F17:F21)</f>
        <v>1263253</v>
      </c>
      <c r="G22" s="24" t="n">
        <f aca="false">F22/E31</f>
        <v>54924.0434782609</v>
      </c>
      <c r="H22" s="24"/>
      <c r="I22" s="22" t="n">
        <v>-141597.45</v>
      </c>
      <c r="J22" s="23" t="n">
        <v>802714</v>
      </c>
      <c r="K22" s="25"/>
      <c r="L22" s="26" t="n">
        <f aca="false">E22-I22</f>
        <v>139954.39</v>
      </c>
      <c r="M22" s="23" t="n">
        <f aca="false">F22-J22</f>
        <v>460539</v>
      </c>
      <c r="N22" s="19" t="n">
        <f aca="false">L22/J22</f>
        <v>0.174351500036128</v>
      </c>
      <c r="P22" s="11"/>
    </row>
    <row r="23" customFormat="false" ht="12.75" hidden="false" customHeight="false" outlineLevel="0" collapsed="false">
      <c r="A23" s="0" t="s">
        <v>510</v>
      </c>
      <c r="B23" s="0" t="n">
        <f aca="false">GasDaily!X33</f>
        <v>3.6</v>
      </c>
      <c r="D23" s="31" t="s">
        <v>511</v>
      </c>
      <c r="E23" s="10" t="n">
        <f aca="false">NYMEX_juL1!I43+NYMEX_juL2!I46</f>
        <v>271725.000000002</v>
      </c>
      <c r="F23" s="17" t="n">
        <f aca="false">(NYMEX_juL1!E41*10000)+(NYMEX_juL2!E44*10000)+'JUL Swap'!E37*10000</f>
        <v>-750000</v>
      </c>
      <c r="G23" s="18"/>
      <c r="H23" s="18"/>
      <c r="I23" s="10" t="n">
        <v>438149.999999999</v>
      </c>
      <c r="J23" s="17" t="n">
        <v>-1990000</v>
      </c>
      <c r="K23" s="9"/>
      <c r="L23" s="32" t="n">
        <f aca="false">E23-I23</f>
        <v>-166424.999999997</v>
      </c>
      <c r="M23" s="30" t="n">
        <f aca="false">F23-J23</f>
        <v>1240000</v>
      </c>
      <c r="N23" s="19" t="n">
        <f aca="false">L23/J23</f>
        <v>0.08363065326633</v>
      </c>
      <c r="P23" s="11"/>
    </row>
    <row r="24" customFormat="false" ht="12.75" hidden="false" customHeight="false" outlineLevel="0" collapsed="false">
      <c r="A24" s="0" t="s">
        <v>512</v>
      </c>
      <c r="B24" s="0" t="n">
        <f aca="false">GasDaily!AH33</f>
        <v>0</v>
      </c>
      <c r="D24" s="0" t="s">
        <v>513</v>
      </c>
      <c r="E24" s="10" t="n">
        <f aca="false">NYMEX_AUG!I45</f>
        <v>46267.4999999998</v>
      </c>
      <c r="F24" s="17" t="n">
        <f aca="false">NYMEX_AUG!E43*10000</f>
        <v>-465000</v>
      </c>
      <c r="G24" s="18"/>
      <c r="H24" s="18"/>
      <c r="I24" s="10" t="n">
        <v>111832.5</v>
      </c>
      <c r="J24" s="17" t="n">
        <v>-465000</v>
      </c>
      <c r="K24" s="9"/>
      <c r="L24" s="32" t="n">
        <f aca="false">E24-I24</f>
        <v>-65565.0000000002</v>
      </c>
      <c r="M24" s="30" t="n">
        <f aca="false">F24-J24</f>
        <v>0</v>
      </c>
      <c r="N24" s="19"/>
      <c r="P24" s="11"/>
    </row>
    <row r="25" customFormat="false" ht="12.75" hidden="false" customHeight="false" outlineLevel="0" collapsed="false">
      <c r="A25" s="0" t="s">
        <v>514</v>
      </c>
      <c r="B25" s="0" t="n">
        <f aca="false">GasDaily!N33</f>
        <v>3.62</v>
      </c>
      <c r="D25" s="0" t="s">
        <v>515</v>
      </c>
      <c r="E25" s="10" t="n">
        <f aca="false">NYMEX_SEP!I39</f>
        <v>28500.0000000001</v>
      </c>
      <c r="F25" s="17" t="n">
        <f aca="false">NYMEX_SEP!E37*10000</f>
        <v>-150000</v>
      </c>
      <c r="G25" s="18"/>
      <c r="H25" s="18"/>
      <c r="I25" s="10" t="n">
        <v>50099.9999999999</v>
      </c>
      <c r="J25" s="17" t="n">
        <v>-150000</v>
      </c>
      <c r="K25" s="9"/>
      <c r="L25" s="32" t="n">
        <f aca="false">E25-I25</f>
        <v>-21599.9999999999</v>
      </c>
      <c r="M25" s="30" t="n">
        <f aca="false">F25-J25</f>
        <v>0</v>
      </c>
      <c r="N25" s="19" t="n">
        <f aca="false">L25/J25</f>
        <v>0.143999999999999</v>
      </c>
      <c r="P25" s="11"/>
    </row>
    <row r="26" customFormat="false" ht="12.75" hidden="false" customHeight="false" outlineLevel="0" collapsed="false">
      <c r="D26" s="0" t="s">
        <v>516</v>
      </c>
      <c r="E26" s="10" t="n">
        <f aca="false">N_V!I39</f>
        <v>21525.0000000017</v>
      </c>
      <c r="F26" s="17" t="n">
        <f aca="false">N_V!E37*10000</f>
        <v>0</v>
      </c>
      <c r="G26" s="18" t="n">
        <f aca="false">F26/153</f>
        <v>0</v>
      </c>
      <c r="H26" s="18"/>
      <c r="I26" s="10" t="n">
        <v>1537.49999999969</v>
      </c>
      <c r="J26" s="17" t="n">
        <v>0</v>
      </c>
      <c r="K26" s="9"/>
      <c r="L26" s="32" t="n">
        <f aca="false">E26-I26</f>
        <v>19987.500000002</v>
      </c>
      <c r="M26" s="30" t="n">
        <f aca="false">F26-J26</f>
        <v>0</v>
      </c>
      <c r="N26" s="19"/>
      <c r="P26" s="11"/>
    </row>
    <row r="27" customFormat="false" ht="12.75" hidden="false" customHeight="false" outlineLevel="0" collapsed="false">
      <c r="B27" s="0" t="n">
        <v>9.775</v>
      </c>
      <c r="D27" s="0" t="s">
        <v>517</v>
      </c>
      <c r="E27" s="10" t="n">
        <f aca="false">X_H!I39</f>
        <v>-158549.999999999</v>
      </c>
      <c r="F27" s="17" t="n">
        <f aca="false">X_H!E37*10000</f>
        <v>0</v>
      </c>
      <c r="G27" s="18" t="n">
        <f aca="false">F27/151</f>
        <v>0</v>
      </c>
      <c r="H27" s="18"/>
      <c r="I27" s="10" t="n">
        <v>-158550.000000001</v>
      </c>
      <c r="J27" s="17" t="n">
        <v>0</v>
      </c>
      <c r="K27" s="9"/>
      <c r="L27" s="32" t="n">
        <f aca="false">E27-I27</f>
        <v>1.68802216649055E-009</v>
      </c>
      <c r="M27" s="18" t="n">
        <f aca="false">F27-J27</f>
        <v>0</v>
      </c>
      <c r="N27" s="19"/>
      <c r="P27" s="11"/>
    </row>
    <row r="28" customFormat="false" ht="12.75" hidden="false" customHeight="false" outlineLevel="0" collapsed="false">
      <c r="B28" s="0" t="n">
        <v>8.791</v>
      </c>
      <c r="E28" s="22" t="n">
        <f aca="false">SUM(E23:E27)</f>
        <v>209467.500000004</v>
      </c>
      <c r="F28" s="23" t="n">
        <f aca="false">SUM(F23:F27)</f>
        <v>-1365000</v>
      </c>
      <c r="G28" s="24"/>
      <c r="H28" s="24"/>
      <c r="I28" s="22" t="n">
        <v>443069.999999997</v>
      </c>
      <c r="J28" s="23" t="n">
        <v>-2605000</v>
      </c>
      <c r="K28" s="25"/>
      <c r="L28" s="26" t="n">
        <f aca="false">SUM(L23:L27)</f>
        <v>-233602.499999993</v>
      </c>
      <c r="M28" s="23" t="n">
        <f aca="false">SUM(M23:M27)</f>
        <v>1240000</v>
      </c>
      <c r="N28" s="19"/>
      <c r="P28" s="11"/>
    </row>
    <row r="29" customFormat="false" ht="12.75" hidden="false" customHeight="false" outlineLevel="0" collapsed="false">
      <c r="B29" s="0" t="n">
        <v>6.291</v>
      </c>
      <c r="D29" s="33" t="s">
        <v>518</v>
      </c>
      <c r="E29" s="34" t="n">
        <f aca="false">E15+E22+E28</f>
        <v>180623.050000004</v>
      </c>
      <c r="F29" s="35" t="n">
        <f aca="false">F15+F22+F28</f>
        <v>190606</v>
      </c>
      <c r="G29" s="36"/>
      <c r="H29" s="36"/>
      <c r="I29" s="34" t="n">
        <v>242420.069999997</v>
      </c>
      <c r="J29" s="35" t="n">
        <v>-1463772</v>
      </c>
      <c r="K29" s="35" t="e">
        <f aca="false">K15+K22+#REF!</f>
        <v>#REF!</v>
      </c>
      <c r="L29" s="37" t="n">
        <f aca="false">L15+L22+L28</f>
        <v>-61797.0199999927</v>
      </c>
      <c r="M29" s="38" t="n">
        <f aca="false">M15+M22+M28</f>
        <v>1654378</v>
      </c>
      <c r="N29" s="19" t="n">
        <f aca="false">L29/F29</f>
        <v>-0.324213403565432</v>
      </c>
      <c r="O29" s="0" t="n">
        <f aca="false">90.3+0.9+0.2+11.4</f>
        <v>102.8</v>
      </c>
      <c r="P29" s="11" t="n">
        <f aca="false">O29*10000/23</f>
        <v>44695.6521739131</v>
      </c>
    </row>
    <row r="30" customFormat="false" ht="12.75" hidden="false" customHeight="false" outlineLevel="0" collapsed="false">
      <c r="B30" s="0" t="n">
        <v>5.491</v>
      </c>
      <c r="E30" s="10"/>
      <c r="F30" s="30"/>
      <c r="J30" s="39"/>
      <c r="L30" s="10"/>
      <c r="P30" s="11"/>
    </row>
    <row r="31" customFormat="false" ht="12.75" hidden="false" customHeight="false" outlineLevel="0" collapsed="false">
      <c r="B31" s="0" t="n">
        <v>5.4</v>
      </c>
      <c r="E31" s="0" t="n">
        <v>23</v>
      </c>
      <c r="O31" s="0" t="n">
        <f aca="false">SUM(O5:O29)</f>
        <v>283</v>
      </c>
      <c r="P31" s="11" t="n">
        <f aca="false">SUM(P5:P29)</f>
        <v>123043.47826087</v>
      </c>
    </row>
    <row r="32" customFormat="false" ht="12.75" hidden="false" customHeight="false" outlineLevel="0" collapsed="false">
      <c r="B32" s="0" t="n">
        <v>8.28566666666667</v>
      </c>
      <c r="D32" s="0" t="s">
        <v>495</v>
      </c>
      <c r="E32" s="11" t="n">
        <f aca="false">F32/E31</f>
        <v>12711</v>
      </c>
      <c r="F32" s="30" t="n">
        <f aca="false">+KATHY_PHYS!P36</f>
        <v>292353</v>
      </c>
      <c r="G32" s="40"/>
      <c r="I32" s="30" t="n">
        <v>6098012.17</v>
      </c>
      <c r="J32" s="30" t="n">
        <f aca="false">F32-I32</f>
        <v>-5805659.17</v>
      </c>
      <c r="K32" s="30"/>
      <c r="L32" s="30" t="n">
        <v>-98500</v>
      </c>
      <c r="O32" s="0" t="n">
        <v>-39.1</v>
      </c>
      <c r="P32" s="0" t="n">
        <f aca="false">(P31/12)/10000</f>
        <v>1.02536231884058</v>
      </c>
    </row>
    <row r="33" customFormat="false" ht="12.75" hidden="false" customHeight="false" outlineLevel="0" collapsed="false">
      <c r="D33" s="0" t="s">
        <v>499</v>
      </c>
      <c r="E33" s="11" t="n">
        <f aca="false">F33/E31</f>
        <v>50793.6086956522</v>
      </c>
      <c r="F33" s="41" t="n">
        <f aca="false">HH_SWAP!AJ36+HSC_SWAP!P36+WAHA_swap!M36+KATY_SWAP!W36</f>
        <v>1168253</v>
      </c>
      <c r="G33" s="30"/>
      <c r="I33" s="30" t="n">
        <v>-4495000</v>
      </c>
      <c r="J33" s="30" t="n">
        <f aca="false">F33-I33</f>
        <v>5663253</v>
      </c>
      <c r="K33" s="30"/>
      <c r="L33" s="30" t="n">
        <v>310000</v>
      </c>
      <c r="O33" s="0" t="n">
        <f aca="false">SUM(O31:O32)</f>
        <v>243.9</v>
      </c>
    </row>
    <row r="34" customFormat="false" ht="12.75" hidden="false" customHeight="false" outlineLevel="0" collapsed="false">
      <c r="E34" s="42" t="n">
        <f aca="false">SUM(E32:E33)</f>
        <v>63504.6086956522</v>
      </c>
      <c r="F34" s="30" t="n">
        <f aca="false">SUM(F32:F33)</f>
        <v>1460606</v>
      </c>
      <c r="G34" s="30" t="n">
        <f aca="false">F34/E31</f>
        <v>63504.6086956522</v>
      </c>
      <c r="I34" s="30" t="n">
        <v>1603012.17</v>
      </c>
      <c r="J34" s="30" t="n">
        <f aca="false">F34-I34</f>
        <v>-142406.17</v>
      </c>
      <c r="K34" s="30"/>
      <c r="L34" s="30" t="n">
        <v>211500</v>
      </c>
    </row>
    <row r="35" customFormat="false" ht="13.5" hidden="false" customHeight="false" outlineLevel="0" collapsed="false">
      <c r="B35" s="0" t="n">
        <v>8.66</v>
      </c>
      <c r="D35" s="0" t="s">
        <v>519</v>
      </c>
      <c r="F35" s="43" t="n">
        <f aca="false">(NYMEX_juL1!E41)*10000+(NYMEX_AUG!E43)*10000+('JUL Swap'!E37)*10000+NYMEX_SEP!E37*10000+NYMEX_juL2!E44*10000+(X_H!E37)*10000+(N_V!E37)*10000</f>
        <v>-1365000</v>
      </c>
      <c r="G35" s="30"/>
      <c r="I35" s="30" t="n">
        <v>150000</v>
      </c>
      <c r="J35" s="30" t="n">
        <f aca="false">F35-I35</f>
        <v>-1515000</v>
      </c>
      <c r="K35" s="30"/>
      <c r="L35" s="30" t="n">
        <v>0</v>
      </c>
    </row>
    <row r="36" customFormat="false" ht="13.5" hidden="false" customHeight="false" outlineLevel="0" collapsed="false">
      <c r="E36" s="0" t="s">
        <v>520</v>
      </c>
      <c r="F36" s="30" t="n">
        <f aca="false">SUM(F34:F35)+F21</f>
        <v>190606</v>
      </c>
      <c r="I36" s="30" t="n">
        <v>672000</v>
      </c>
      <c r="J36" s="30" t="n">
        <f aca="false">F36-I36</f>
        <v>-481394</v>
      </c>
      <c r="K36" s="30"/>
      <c r="L36" s="30" t="n">
        <v>211500</v>
      </c>
      <c r="M36" s="0" t="n">
        <f aca="false">(225000*0.01)</f>
        <v>2250</v>
      </c>
    </row>
    <row r="37" customFormat="false" ht="12.75" hidden="false" customHeight="false" outlineLevel="0" collapsed="false">
      <c r="E37" s="0" t="s">
        <v>521</v>
      </c>
      <c r="F37" s="40"/>
    </row>
    <row r="38" customFormat="false" ht="12.75" hidden="false" customHeight="false" outlineLevel="0" collapsed="false">
      <c r="E38" s="0" t="s">
        <v>522</v>
      </c>
      <c r="F38" s="30"/>
      <c r="I38" s="0" t="n">
        <f aca="false">5023426-4713426</f>
        <v>310000</v>
      </c>
      <c r="M38" s="0" t="n">
        <f aca="false">8.65-8.08</f>
        <v>0.57</v>
      </c>
    </row>
    <row r="39" customFormat="false" ht="12.75" hidden="false" customHeight="false" outlineLevel="0" collapsed="false">
      <c r="F39" s="30" t="n">
        <f aca="false">SUM(F36:F38)</f>
        <v>190606</v>
      </c>
      <c r="G39" s="20" t="n">
        <f aca="false">F39/E31</f>
        <v>8287.21739130435</v>
      </c>
    </row>
    <row r="41" customFormat="false" ht="12.75" hidden="false" customHeight="false" outlineLevel="0" collapsed="false">
      <c r="F41" s="30" t="n">
        <f aca="false">SUM(F39:F40)</f>
        <v>190606</v>
      </c>
    </row>
    <row r="42" customFormat="false" ht="12.75" hidden="false" customHeight="false" outlineLevel="0" collapsed="false">
      <c r="F42" s="10"/>
    </row>
    <row r="44" customFormat="false" ht="12.75" hidden="false" customHeight="false" outlineLevel="0" collapsed="false">
      <c r="E44" s="0" t="n">
        <v>3.145</v>
      </c>
    </row>
    <row r="46" customFormat="false" ht="12.75" hidden="false" customHeight="false" outlineLevel="0" collapsed="false">
      <c r="F46" s="30"/>
    </row>
  </sheetData>
  <printOptions headings="false" gridLines="false" gridLinesSet="true" horizontalCentered="false" verticalCentered="false"/>
  <pageMargins left="1.24027777777778" right="0" top="1.2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37"/>
  <sheetViews>
    <sheetView showFormulas="false" showGridLines="true" showRowColHeaders="true" showZeros="true" rightToLeft="false" tabSelected="false" showOutlineSymbols="true" defaultGridColor="true" view="normal" topLeftCell="B2" colorId="64" zoomScale="85" zoomScaleNormal="85" zoomScalePageLayoutView="100" workbookViewId="0">
      <selection pane="topLeft" activeCell="P37" activeCellId="0" sqref="P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8" min="7" style="0" width="9.85"/>
    <col collapsed="false" customWidth="true" hidden="false" outlineLevel="0" max="13" min="13" style="0" width="7.28"/>
    <col collapsed="false" customWidth="true" hidden="false" outlineLevel="0" max="16" min="16" style="44" width="13.14"/>
    <col collapsed="false" customWidth="true" hidden="false" outlineLevel="0" max="17" min="17" style="45" width="2.84"/>
    <col collapsed="false" customWidth="true" hidden="false" outlineLevel="0" max="31" min="31" style="45" width="2.7"/>
    <col collapsed="false" customWidth="true" hidden="false" outlineLevel="0" max="32" min="32" style="0" width="10.85"/>
  </cols>
  <sheetData>
    <row r="1" customFormat="false" ht="12.75" hidden="false" customHeight="false" outlineLevel="0" collapsed="false">
      <c r="B1" s="44" t="s">
        <v>523</v>
      </c>
    </row>
    <row r="2" customFormat="false" ht="12.75" hidden="false" customHeight="false" outlineLevel="0" collapsed="false">
      <c r="B2" s="46" t="n">
        <v>5.3</v>
      </c>
      <c r="C2" s="47"/>
      <c r="P2" s="44" t="s">
        <v>524</v>
      </c>
    </row>
    <row r="3" customFormat="false" ht="12.75" hidden="false" customHeight="false" outlineLevel="0" collapsed="false">
      <c r="B3" s="48" t="n">
        <v>0</v>
      </c>
      <c r="C3" s="0" t="s">
        <v>525</v>
      </c>
      <c r="D3" s="48" t="n">
        <v>3.74</v>
      </c>
      <c r="E3" s="48" t="n">
        <v>3.64</v>
      </c>
      <c r="F3" s="48" t="n">
        <v>3.65</v>
      </c>
      <c r="G3" s="48" t="n">
        <v>3.66</v>
      </c>
      <c r="H3" s="48" t="n">
        <v>3.825</v>
      </c>
      <c r="I3" s="48"/>
      <c r="J3" s="48"/>
      <c r="K3" s="48"/>
      <c r="L3" s="48"/>
      <c r="M3" s="48"/>
      <c r="N3" s="48"/>
      <c r="O3" s="48"/>
      <c r="AF3" s="0" t="s">
        <v>526</v>
      </c>
    </row>
    <row r="4" customFormat="false" ht="12.75" hidden="false" customHeight="false" outlineLevel="0" collapsed="false">
      <c r="A4" s="49" t="n">
        <v>36951</v>
      </c>
      <c r="B4" s="0" t="n">
        <f aca="false">B$2+B$3</f>
        <v>5.3</v>
      </c>
      <c r="C4" s="48" t="n">
        <f aca="false">GasDaily!R4</f>
        <v>3.83</v>
      </c>
      <c r="D4" s="30" t="n">
        <v>29387</v>
      </c>
      <c r="E4" s="30" t="n">
        <v>-5000</v>
      </c>
      <c r="F4" s="30" t="n">
        <v>-5000</v>
      </c>
      <c r="G4" s="30" t="n">
        <v>-5000</v>
      </c>
      <c r="H4" s="30" t="n">
        <v>1000</v>
      </c>
      <c r="I4" s="30"/>
      <c r="J4" s="30"/>
      <c r="K4" s="30"/>
      <c r="L4" s="30"/>
      <c r="M4" s="30"/>
      <c r="N4" s="30"/>
      <c r="O4" s="30"/>
      <c r="P4" s="17" t="n">
        <f aca="false">SUM(D4:O4)</f>
        <v>15387</v>
      </c>
      <c r="Q4" s="50"/>
      <c r="R4" s="0" t="n">
        <f aca="false">D4*($C4-D$3)</f>
        <v>2644.83</v>
      </c>
      <c r="S4" s="0" t="n">
        <f aca="false">E4*($C4-E$3)</f>
        <v>-950</v>
      </c>
      <c r="T4" s="0" t="n">
        <f aca="false">F4*($C4-F$3)</f>
        <v>-900.000000000001</v>
      </c>
      <c r="U4" s="0" t="n">
        <f aca="false">G4*($C4-G$3)</f>
        <v>-850</v>
      </c>
      <c r="V4" s="0" t="n">
        <f aca="false">H4*($C4-H$3)</f>
        <v>4.99999999999989</v>
      </c>
      <c r="W4" s="0" t="n">
        <f aca="false">I4*($C4-I$3)</f>
        <v>0</v>
      </c>
      <c r="X4" s="0" t="n">
        <f aca="false">J4*($C4-J$3)</f>
        <v>0</v>
      </c>
      <c r="Y4" s="0" t="n">
        <f aca="false">K4*($C4-K$3)</f>
        <v>0</v>
      </c>
      <c r="Z4" s="0" t="n">
        <f aca="false">L4*($C4-L$3)</f>
        <v>0</v>
      </c>
      <c r="AA4" s="0" t="n">
        <f aca="false">M4*($C4-M$3)</f>
        <v>0</v>
      </c>
      <c r="AB4" s="0" t="n">
        <f aca="false">N4*($C4-N$3)</f>
        <v>0</v>
      </c>
      <c r="AF4" s="0" t="n">
        <f aca="false">SUM(R4:AB4)</f>
        <v>-50.1700000000045</v>
      </c>
    </row>
    <row r="5" customFormat="false" ht="12.75" hidden="false" customHeight="false" outlineLevel="0" collapsed="false">
      <c r="A5" s="49" t="n">
        <v>36952</v>
      </c>
      <c r="B5" s="0" t="n">
        <f aca="false">B$2+B$3</f>
        <v>5.3</v>
      </c>
      <c r="C5" s="48" t="n">
        <f aca="false">GasDaily!R5</f>
        <v>3.725</v>
      </c>
      <c r="D5" s="30" t="n">
        <v>29387</v>
      </c>
      <c r="E5" s="30" t="n">
        <v>-5000</v>
      </c>
      <c r="F5" s="30" t="n">
        <v>-5000</v>
      </c>
      <c r="G5" s="30" t="n">
        <v>-5000</v>
      </c>
      <c r="H5" s="30" t="n">
        <v>1000</v>
      </c>
      <c r="I5" s="30"/>
      <c r="J5" s="30"/>
      <c r="K5" s="30"/>
      <c r="L5" s="30"/>
      <c r="M5" s="30"/>
      <c r="N5" s="30"/>
      <c r="O5" s="30"/>
      <c r="P5" s="17" t="n">
        <f aca="false">SUM(D5:O5)</f>
        <v>15387</v>
      </c>
      <c r="Q5" s="50"/>
      <c r="R5" s="0" t="n">
        <f aca="false">D5*($C5-D$3)</f>
        <v>-440.805000000004</v>
      </c>
      <c r="S5" s="0" t="n">
        <f aca="false">E5*($C5-E$3)</f>
        <v>-425</v>
      </c>
      <c r="T5" s="0" t="n">
        <f aca="false">F5*($C5-F$3)</f>
        <v>-375.000000000001</v>
      </c>
      <c r="U5" s="0" t="n">
        <f aca="false">G5*($C5-G$3)</f>
        <v>-325</v>
      </c>
      <c r="V5" s="0" t="n">
        <f aca="false">H5*($C5-H$3)</f>
        <v>-100</v>
      </c>
      <c r="W5" s="0" t="n">
        <f aca="false">I5*($C5-I$3)</f>
        <v>0</v>
      </c>
      <c r="X5" s="0" t="n">
        <f aca="false">J5*($C5-J$3)</f>
        <v>0</v>
      </c>
      <c r="Y5" s="0" t="n">
        <f aca="false">K5*($C5-K$3)</f>
        <v>0</v>
      </c>
      <c r="Z5" s="0" t="n">
        <f aca="false">L5*($C5-L$3)</f>
        <v>0</v>
      </c>
      <c r="AA5" s="0" t="n">
        <f aca="false">M5*($C5-M$3)</f>
        <v>0</v>
      </c>
      <c r="AB5" s="0" t="n">
        <f aca="false">N5*($C5-N$3)</f>
        <v>0</v>
      </c>
      <c r="AF5" s="0" t="n">
        <f aca="false">SUM(R5:AB5)</f>
        <v>-1665.805</v>
      </c>
    </row>
    <row r="6" customFormat="false" ht="12.75" hidden="false" customHeight="false" outlineLevel="0" collapsed="false">
      <c r="A6" s="49" t="n">
        <v>36953</v>
      </c>
      <c r="B6" s="0" t="n">
        <f aca="false">B$2+B$3</f>
        <v>5.3</v>
      </c>
      <c r="C6" s="48" t="n">
        <f aca="false">GasDaily!R6</f>
        <v>3.725</v>
      </c>
      <c r="D6" s="30" t="n">
        <v>29387</v>
      </c>
      <c r="E6" s="30" t="n">
        <v>-5000</v>
      </c>
      <c r="F6" s="30" t="n">
        <v>-5000</v>
      </c>
      <c r="G6" s="30" t="n">
        <v>-5000</v>
      </c>
      <c r="H6" s="30" t="n">
        <v>1000</v>
      </c>
      <c r="I6" s="30"/>
      <c r="J6" s="30"/>
      <c r="K6" s="30"/>
      <c r="L6" s="30"/>
      <c r="M6" s="30"/>
      <c r="N6" s="30"/>
      <c r="O6" s="30"/>
      <c r="P6" s="17" t="n">
        <f aca="false">SUM(D6:O6)</f>
        <v>15387</v>
      </c>
      <c r="Q6" s="50"/>
      <c r="R6" s="0" t="n">
        <f aca="false">D6*($C6-D$3)</f>
        <v>-440.805000000004</v>
      </c>
      <c r="S6" s="0" t="n">
        <f aca="false">E6*($C6-E$3)</f>
        <v>-425</v>
      </c>
      <c r="T6" s="0" t="n">
        <f aca="false">F6*($C6-F$3)</f>
        <v>-375.000000000001</v>
      </c>
      <c r="U6" s="0" t="n">
        <f aca="false">G6*($C6-G$3)</f>
        <v>-325</v>
      </c>
      <c r="V6" s="0" t="n">
        <f aca="false">H6*($C6-H$3)</f>
        <v>-100</v>
      </c>
      <c r="W6" s="0" t="n">
        <f aca="false">I6*($C6-I$3)</f>
        <v>0</v>
      </c>
      <c r="X6" s="0" t="n">
        <f aca="false">J6*($C6-J$3)</f>
        <v>0</v>
      </c>
      <c r="Y6" s="0" t="n">
        <f aca="false">K6*($C6-K$3)</f>
        <v>0</v>
      </c>
      <c r="Z6" s="0" t="n">
        <f aca="false">L6*($C6-L$3)</f>
        <v>0</v>
      </c>
      <c r="AA6" s="0" t="n">
        <f aca="false">M6*($C6-M$3)</f>
        <v>0</v>
      </c>
      <c r="AB6" s="0" t="n">
        <f aca="false">N6*($C6-N$3)</f>
        <v>0</v>
      </c>
      <c r="AF6" s="0" t="n">
        <f aca="false">SUM(R6:AB6)</f>
        <v>-1665.805</v>
      </c>
    </row>
    <row r="7" customFormat="false" ht="12.75" hidden="false" customHeight="false" outlineLevel="0" collapsed="false">
      <c r="A7" s="49" t="n">
        <v>36954</v>
      </c>
      <c r="B7" s="0" t="n">
        <f aca="false">B$2+B$3</f>
        <v>5.3</v>
      </c>
      <c r="C7" s="48" t="n">
        <f aca="false">GasDaily!R7</f>
        <v>3.725</v>
      </c>
      <c r="D7" s="30" t="n">
        <v>29387</v>
      </c>
      <c r="E7" s="30" t="n">
        <v>-5000</v>
      </c>
      <c r="F7" s="30" t="n">
        <v>-5000</v>
      </c>
      <c r="G7" s="30" t="n">
        <v>-5000</v>
      </c>
      <c r="H7" s="30" t="n">
        <v>1000</v>
      </c>
      <c r="I7" s="30"/>
      <c r="J7" s="30"/>
      <c r="K7" s="30"/>
      <c r="L7" s="30"/>
      <c r="M7" s="30"/>
      <c r="N7" s="30"/>
      <c r="O7" s="30"/>
      <c r="P7" s="17" t="n">
        <f aca="false">SUM(D7:O7)</f>
        <v>15387</v>
      </c>
      <c r="Q7" s="50"/>
      <c r="R7" s="0" t="n">
        <f aca="false">D7*($C7-D$3)</f>
        <v>-440.805000000004</v>
      </c>
      <c r="S7" s="0" t="n">
        <f aca="false">E7*($C7-E$3)</f>
        <v>-425</v>
      </c>
      <c r="T7" s="0" t="n">
        <f aca="false">F7*($C7-F$3)</f>
        <v>-375.000000000001</v>
      </c>
      <c r="U7" s="0" t="n">
        <f aca="false">G7*($C7-G$3)</f>
        <v>-325</v>
      </c>
      <c r="V7" s="0" t="n">
        <f aca="false">H7*($C7-H$3)</f>
        <v>-100</v>
      </c>
      <c r="W7" s="0" t="n">
        <f aca="false">I7*($C7-I$3)</f>
        <v>0</v>
      </c>
      <c r="X7" s="0" t="n">
        <f aca="false">J7*($C7-J$3)</f>
        <v>0</v>
      </c>
      <c r="Y7" s="0" t="n">
        <f aca="false">K7*($C7-K$3)</f>
        <v>0</v>
      </c>
      <c r="Z7" s="0" t="n">
        <f aca="false">L7*($C7-L$3)</f>
        <v>0</v>
      </c>
      <c r="AA7" s="0" t="n">
        <f aca="false">M7*($C7-M$3)</f>
        <v>0</v>
      </c>
      <c r="AB7" s="0" t="n">
        <f aca="false">N7*($C7-N$3)</f>
        <v>0</v>
      </c>
      <c r="AF7" s="0" t="n">
        <f aca="false">SUM(R7:AB7)</f>
        <v>-1665.805</v>
      </c>
    </row>
    <row r="8" customFormat="false" ht="12.75" hidden="false" customHeight="false" outlineLevel="0" collapsed="false">
      <c r="A8" s="49" t="n">
        <v>36955</v>
      </c>
      <c r="B8" s="0" t="n">
        <f aca="false">B$2+B$3</f>
        <v>5.3</v>
      </c>
      <c r="C8" s="48" t="n">
        <f aca="false">GasDaily!R8</f>
        <v>3.965</v>
      </c>
      <c r="D8" s="30" t="n">
        <v>29387</v>
      </c>
      <c r="E8" s="30" t="n">
        <v>-5000</v>
      </c>
      <c r="F8" s="30" t="n">
        <v>-5000</v>
      </c>
      <c r="G8" s="30" t="n">
        <v>-5000</v>
      </c>
      <c r="H8" s="30" t="n">
        <v>1000</v>
      </c>
      <c r="I8" s="30"/>
      <c r="J8" s="30"/>
      <c r="K8" s="30"/>
      <c r="L8" s="30"/>
      <c r="M8" s="30"/>
      <c r="N8" s="30"/>
      <c r="O8" s="30"/>
      <c r="P8" s="17" t="n">
        <f aca="false">SUM(D8:O8)</f>
        <v>15387</v>
      </c>
      <c r="Q8" s="50"/>
      <c r="R8" s="0" t="n">
        <f aca="false">D8*($C8-D$3)</f>
        <v>6612.07499999999</v>
      </c>
      <c r="S8" s="0" t="n">
        <f aca="false">E8*($C8-E$3)</f>
        <v>-1625</v>
      </c>
      <c r="T8" s="0" t="n">
        <f aca="false">F8*($C8-F$3)</f>
        <v>-1575</v>
      </c>
      <c r="U8" s="0" t="n">
        <f aca="false">G8*($C8-G$3)</f>
        <v>-1525</v>
      </c>
      <c r="V8" s="0" t="n">
        <f aca="false">H8*($C8-H$3)</f>
        <v>140</v>
      </c>
      <c r="W8" s="0" t="n">
        <f aca="false">I8*($C8-I$3)</f>
        <v>0</v>
      </c>
      <c r="X8" s="0" t="n">
        <f aca="false">J8*($C8-J$3)</f>
        <v>0</v>
      </c>
      <c r="Y8" s="0" t="n">
        <f aca="false">K8*($C8-K$3)</f>
        <v>0</v>
      </c>
      <c r="Z8" s="0" t="n">
        <f aca="false">L8*($C8-L$3)</f>
        <v>0</v>
      </c>
      <c r="AA8" s="0" t="n">
        <f aca="false">M8*($C8-M$3)</f>
        <v>0</v>
      </c>
      <c r="AB8" s="0" t="n">
        <f aca="false">N8*($C8-N$3)</f>
        <v>0</v>
      </c>
      <c r="AF8" s="0" t="n">
        <f aca="false">SUM(R8:AB8)</f>
        <v>2027.07499999999</v>
      </c>
    </row>
    <row r="9" customFormat="false" ht="12.75" hidden="false" customHeight="false" outlineLevel="0" collapsed="false">
      <c r="A9" s="49" t="n">
        <v>36956</v>
      </c>
      <c r="B9" s="0" t="n">
        <f aca="false">B$2+B$3</f>
        <v>5.3</v>
      </c>
      <c r="C9" s="48" t="n">
        <f aca="false">GasDaily!R9</f>
        <v>4.035</v>
      </c>
      <c r="D9" s="30" t="n">
        <v>29387</v>
      </c>
      <c r="E9" s="30" t="n">
        <v>-5000</v>
      </c>
      <c r="F9" s="30" t="n">
        <v>-5000</v>
      </c>
      <c r="G9" s="30" t="n">
        <v>-5000</v>
      </c>
      <c r="H9" s="30" t="n">
        <v>1000</v>
      </c>
      <c r="I9" s="30"/>
      <c r="J9" s="30"/>
      <c r="K9" s="30"/>
      <c r="L9" s="30"/>
      <c r="M9" s="30"/>
      <c r="N9" s="30"/>
      <c r="O9" s="30"/>
      <c r="P9" s="17" t="n">
        <f aca="false">SUM(D9:O9)</f>
        <v>15387</v>
      </c>
      <c r="Q9" s="50"/>
      <c r="R9" s="0" t="n">
        <f aca="false">D9*($C9-D$3)</f>
        <v>8669.165</v>
      </c>
      <c r="S9" s="0" t="n">
        <f aca="false">E9*($C9-E$3)</f>
        <v>-1975</v>
      </c>
      <c r="T9" s="0" t="n">
        <f aca="false">F9*($C9-F$3)</f>
        <v>-1925</v>
      </c>
      <c r="U9" s="0" t="n">
        <f aca="false">G9*($C9-G$3)</f>
        <v>-1875</v>
      </c>
      <c r="V9" s="0" t="n">
        <f aca="false">H9*($C9-H$3)</f>
        <v>210</v>
      </c>
      <c r="W9" s="0" t="n">
        <f aca="false">I9*($C9-I$3)</f>
        <v>0</v>
      </c>
      <c r="X9" s="0" t="n">
        <f aca="false">J9*($C9-J$3)</f>
        <v>0</v>
      </c>
      <c r="Y9" s="0" t="n">
        <f aca="false">K9*($C9-K$3)</f>
        <v>0</v>
      </c>
      <c r="Z9" s="0" t="n">
        <f aca="false">L9*($C9-L$3)</f>
        <v>0</v>
      </c>
      <c r="AA9" s="0" t="n">
        <f aca="false">M9*($C9-M$3)</f>
        <v>0</v>
      </c>
      <c r="AB9" s="0" t="n">
        <f aca="false">N9*($C9-N$3)</f>
        <v>0</v>
      </c>
      <c r="AF9" s="0" t="n">
        <f aca="false">SUM(R9:AB9)</f>
        <v>3104.165</v>
      </c>
    </row>
    <row r="10" customFormat="false" ht="12.75" hidden="false" customHeight="false" outlineLevel="0" collapsed="false">
      <c r="A10" s="49" t="n">
        <v>36957</v>
      </c>
      <c r="B10" s="0" t="n">
        <f aca="false">B$2+B$3</f>
        <v>5.3</v>
      </c>
      <c r="C10" s="48" t="n">
        <f aca="false">GasDaily!R10</f>
        <v>3.76</v>
      </c>
      <c r="D10" s="30" t="n">
        <v>29387</v>
      </c>
      <c r="E10" s="30" t="n">
        <v>-5000</v>
      </c>
      <c r="F10" s="30" t="n">
        <v>-5000</v>
      </c>
      <c r="G10" s="30" t="n">
        <v>-5000</v>
      </c>
      <c r="H10" s="30" t="n">
        <v>1000</v>
      </c>
      <c r="I10" s="30"/>
      <c r="J10" s="30"/>
      <c r="K10" s="30"/>
      <c r="L10" s="30"/>
      <c r="M10" s="30"/>
      <c r="N10" s="30"/>
      <c r="O10" s="30"/>
      <c r="P10" s="17" t="n">
        <f aca="false">SUM(D10:O10)</f>
        <v>15387</v>
      </c>
      <c r="Q10" s="50"/>
      <c r="R10" s="0" t="n">
        <f aca="false">D10*($C10-D$3)</f>
        <v>587.739999999988</v>
      </c>
      <c r="S10" s="0" t="n">
        <f aca="false">E10*($C10-E$3)</f>
        <v>-599.999999999998</v>
      </c>
      <c r="T10" s="0" t="n">
        <f aca="false">F10*($C10-F$3)</f>
        <v>-549.999999999999</v>
      </c>
      <c r="U10" s="0" t="n">
        <f aca="false">G10*($C10-G$3)</f>
        <v>-499.999999999998</v>
      </c>
      <c r="V10" s="0" t="n">
        <f aca="false">H10*($C10-H$3)</f>
        <v>-65.0000000000004</v>
      </c>
      <c r="W10" s="0" t="n">
        <f aca="false">I10*($C10-I$3)</f>
        <v>0</v>
      </c>
      <c r="X10" s="0" t="n">
        <f aca="false">J10*($C10-J$3)</f>
        <v>0</v>
      </c>
      <c r="Y10" s="0" t="n">
        <f aca="false">K10*($C10-K$3)</f>
        <v>0</v>
      </c>
      <c r="Z10" s="0" t="n">
        <f aca="false">L10*($C10-L$3)</f>
        <v>0</v>
      </c>
      <c r="AA10" s="0" t="n">
        <f aca="false">M10*($C10-M$3)</f>
        <v>0</v>
      </c>
      <c r="AB10" s="0" t="n">
        <f aca="false">N10*($C10-N$3)</f>
        <v>0</v>
      </c>
      <c r="AF10" s="0" t="n">
        <f aca="false">SUM(R10:AB10)</f>
        <v>-1127.26000000001</v>
      </c>
    </row>
    <row r="11" customFormat="false" ht="12.75" hidden="false" customHeight="false" outlineLevel="0" collapsed="false">
      <c r="A11" s="49" t="n">
        <v>36958</v>
      </c>
      <c r="B11" s="0" t="n">
        <f aca="false">B$2+B$3</f>
        <v>5.3</v>
      </c>
      <c r="C11" s="48" t="n">
        <f aca="false">GasDaily!R11</f>
        <v>3.655</v>
      </c>
      <c r="D11" s="30" t="n">
        <v>29387</v>
      </c>
      <c r="E11" s="30" t="n">
        <v>-5000</v>
      </c>
      <c r="F11" s="30" t="n">
        <v>-5000</v>
      </c>
      <c r="G11" s="30" t="n">
        <v>-5000</v>
      </c>
      <c r="H11" s="30" t="n">
        <v>1000</v>
      </c>
      <c r="I11" s="30"/>
      <c r="J11" s="30"/>
      <c r="K11" s="30"/>
      <c r="L11" s="30"/>
      <c r="M11" s="30"/>
      <c r="N11" s="30"/>
      <c r="O11" s="30"/>
      <c r="P11" s="17" t="n">
        <f aca="false">SUM(D11:O11)</f>
        <v>15387</v>
      </c>
      <c r="Q11" s="50"/>
      <c r="R11" s="0" t="n">
        <f aca="false">D11*($C11-D$3)</f>
        <v>-2497.89500000001</v>
      </c>
      <c r="S11" s="0" t="n">
        <f aca="false">E11*($C11-E$3)</f>
        <v>-74.9999999999984</v>
      </c>
      <c r="T11" s="0" t="n">
        <f aca="false">F11*($C11-F$3)</f>
        <v>-24.9999999999995</v>
      </c>
      <c r="U11" s="0" t="n">
        <f aca="false">G11*($C11-G$3)</f>
        <v>25.0000000000017</v>
      </c>
      <c r="V11" s="0" t="n">
        <f aca="false">H11*($C11-H$3)</f>
        <v>-170</v>
      </c>
      <c r="W11" s="0" t="n">
        <f aca="false">I11*($C11-I$3)</f>
        <v>0</v>
      </c>
      <c r="X11" s="0" t="n">
        <f aca="false">J11*($C11-J$3)</f>
        <v>0</v>
      </c>
      <c r="Y11" s="0" t="n">
        <f aca="false">K11*($C11-K$3)</f>
        <v>0</v>
      </c>
      <c r="Z11" s="0" t="n">
        <f aca="false">L11*($C11-L$3)</f>
        <v>0</v>
      </c>
      <c r="AA11" s="0" t="n">
        <f aca="false">M11*($C11-M$3)</f>
        <v>0</v>
      </c>
      <c r="AB11" s="0" t="n">
        <f aca="false">N11*($C11-N$3)</f>
        <v>0</v>
      </c>
      <c r="AF11" s="0" t="n">
        <f aca="false">SUM(R11:AB11)</f>
        <v>-2742.89500000001</v>
      </c>
    </row>
    <row r="12" customFormat="false" ht="12.75" hidden="false" customHeight="false" outlineLevel="0" collapsed="false">
      <c r="A12" s="49" t="n">
        <v>36959</v>
      </c>
      <c r="B12" s="0" t="n">
        <f aca="false">B$2+B$3</f>
        <v>5.3</v>
      </c>
      <c r="C12" s="48" t="n">
        <f aca="false">GasDaily!R12</f>
        <v>3.6</v>
      </c>
      <c r="D12" s="30" t="n">
        <v>29387</v>
      </c>
      <c r="E12" s="30" t="n">
        <v>-5000</v>
      </c>
      <c r="F12" s="30" t="n">
        <v>-5000</v>
      </c>
      <c r="G12" s="30" t="n">
        <v>-5000</v>
      </c>
      <c r="H12" s="30" t="n">
        <v>1000</v>
      </c>
      <c r="I12" s="30"/>
      <c r="J12" s="30"/>
      <c r="K12" s="30"/>
      <c r="L12" s="30"/>
      <c r="M12" s="30"/>
      <c r="N12" s="30"/>
      <c r="O12" s="30"/>
      <c r="P12" s="17" t="n">
        <f aca="false">SUM(D12:O12)</f>
        <v>15387</v>
      </c>
      <c r="Q12" s="50"/>
      <c r="R12" s="0" t="n">
        <f aca="false">D12*($C12-D$3)</f>
        <v>-4114.18</v>
      </c>
      <c r="S12" s="0" t="n">
        <f aca="false">E12*($C12-E$3)</f>
        <v>200</v>
      </c>
      <c r="T12" s="0" t="n">
        <f aca="false">F12*($C12-F$3)</f>
        <v>249.999999999999</v>
      </c>
      <c r="U12" s="0" t="n">
        <f aca="false">G12*($C12-G$3)</f>
        <v>300</v>
      </c>
      <c r="V12" s="0" t="n">
        <f aca="false">H12*($C12-H$3)</f>
        <v>-225</v>
      </c>
      <c r="W12" s="0" t="n">
        <f aca="false">I12*($C12-I$3)</f>
        <v>0</v>
      </c>
      <c r="X12" s="0" t="n">
        <f aca="false">J12*($C12-J$3)</f>
        <v>0</v>
      </c>
      <c r="Y12" s="0" t="n">
        <f aca="false">K12*($C12-K$3)</f>
        <v>0</v>
      </c>
      <c r="Z12" s="0" t="n">
        <f aca="false">L12*($C12-L$3)</f>
        <v>0</v>
      </c>
      <c r="AA12" s="0" t="n">
        <f aca="false">M12*($C12-M$3)</f>
        <v>0</v>
      </c>
      <c r="AB12" s="0" t="n">
        <f aca="false">N12*($C12-N$3)</f>
        <v>0</v>
      </c>
      <c r="AF12" s="0" t="n">
        <f aca="false">SUM(R12:AB12)</f>
        <v>-3589.18</v>
      </c>
    </row>
    <row r="13" customFormat="false" ht="12.75" hidden="false" customHeight="false" outlineLevel="0" collapsed="false">
      <c r="A13" s="49" t="n">
        <v>36960</v>
      </c>
      <c r="B13" s="0" t="n">
        <f aca="false">B$2+B$3</f>
        <v>5.3</v>
      </c>
      <c r="C13" s="48" t="n">
        <f aca="false">GasDaily!R13</f>
        <v>3.6</v>
      </c>
      <c r="D13" s="30" t="n">
        <v>29387</v>
      </c>
      <c r="E13" s="30" t="n">
        <v>-5000</v>
      </c>
      <c r="F13" s="30" t="n">
        <v>-5000</v>
      </c>
      <c r="G13" s="30" t="n">
        <v>-5000</v>
      </c>
      <c r="H13" s="30" t="n">
        <v>1000</v>
      </c>
      <c r="I13" s="30"/>
      <c r="J13" s="30"/>
      <c r="K13" s="30"/>
      <c r="L13" s="30"/>
      <c r="M13" s="30"/>
      <c r="N13" s="30"/>
      <c r="O13" s="30"/>
      <c r="P13" s="17" t="n">
        <f aca="false">SUM(D13:O13)</f>
        <v>15387</v>
      </c>
      <c r="Q13" s="50"/>
      <c r="R13" s="0" t="n">
        <f aca="false">D13*($C13-D$3)</f>
        <v>-4114.18</v>
      </c>
      <c r="S13" s="0" t="n">
        <f aca="false">E13*($C13-E$3)</f>
        <v>200</v>
      </c>
      <c r="T13" s="0" t="n">
        <f aca="false">F13*($C13-F$3)</f>
        <v>249.999999999999</v>
      </c>
      <c r="U13" s="0" t="n">
        <f aca="false">G13*($C13-G$3)</f>
        <v>300</v>
      </c>
      <c r="V13" s="0" t="n">
        <f aca="false">H13*($C13-H$3)</f>
        <v>-225</v>
      </c>
      <c r="W13" s="0" t="n">
        <f aca="false">I13*($C13-I$3)</f>
        <v>0</v>
      </c>
      <c r="X13" s="0" t="n">
        <f aca="false">J13*($C13-J$3)</f>
        <v>0</v>
      </c>
      <c r="Y13" s="0" t="n">
        <f aca="false">K13*($C13-K$3)</f>
        <v>0</v>
      </c>
      <c r="Z13" s="0" t="n">
        <f aca="false">L13*($C13-L$3)</f>
        <v>0</v>
      </c>
      <c r="AA13" s="0" t="n">
        <f aca="false">M13*($C13-M$3)</f>
        <v>0</v>
      </c>
      <c r="AB13" s="0" t="n">
        <f aca="false">N13*($C13-N$3)</f>
        <v>0</v>
      </c>
      <c r="AF13" s="0" t="n">
        <f aca="false">SUM(R13:AB13)</f>
        <v>-3589.18</v>
      </c>
    </row>
    <row r="14" customFormat="false" ht="12.75" hidden="false" customHeight="false" outlineLevel="0" collapsed="false">
      <c r="A14" s="49" t="n">
        <v>36961</v>
      </c>
      <c r="B14" s="0" t="n">
        <f aca="false">B$2+B$3</f>
        <v>5.3</v>
      </c>
      <c r="C14" s="48" t="n">
        <f aca="false">GasDaily!R14</f>
        <v>3.6</v>
      </c>
      <c r="D14" s="30" t="n">
        <v>29387</v>
      </c>
      <c r="E14" s="30" t="n">
        <v>-5000</v>
      </c>
      <c r="F14" s="30" t="n">
        <v>-5000</v>
      </c>
      <c r="G14" s="30" t="n">
        <v>-5000</v>
      </c>
      <c r="H14" s="30" t="n">
        <v>1000</v>
      </c>
      <c r="I14" s="30"/>
      <c r="J14" s="30"/>
      <c r="K14" s="30"/>
      <c r="L14" s="30"/>
      <c r="M14" s="30"/>
      <c r="N14" s="30"/>
      <c r="O14" s="30"/>
      <c r="P14" s="17" t="n">
        <f aca="false">SUM(D14:O14)</f>
        <v>15387</v>
      </c>
      <c r="Q14" s="50"/>
      <c r="R14" s="0" t="n">
        <f aca="false">D14*($C14-D$3)</f>
        <v>-4114.18</v>
      </c>
      <c r="S14" s="0" t="n">
        <f aca="false">E14*($C14-E$3)</f>
        <v>200</v>
      </c>
      <c r="T14" s="0" t="n">
        <f aca="false">F14*($C14-F$3)</f>
        <v>249.999999999999</v>
      </c>
      <c r="U14" s="0" t="n">
        <f aca="false">G14*($C14-G$3)</f>
        <v>300</v>
      </c>
      <c r="V14" s="0" t="n">
        <f aca="false">H14*($C14-H$3)</f>
        <v>-225</v>
      </c>
      <c r="W14" s="0" t="n">
        <f aca="false">I14*($C14-I$3)</f>
        <v>0</v>
      </c>
      <c r="X14" s="0" t="n">
        <f aca="false">J14*($C14-J$3)</f>
        <v>0</v>
      </c>
      <c r="Y14" s="0" t="n">
        <f aca="false">K14*($C14-K$3)</f>
        <v>0</v>
      </c>
      <c r="Z14" s="0" t="n">
        <f aca="false">L14*($C14-L$3)</f>
        <v>0</v>
      </c>
      <c r="AA14" s="0" t="n">
        <f aca="false">M14*($C14-M$3)</f>
        <v>0</v>
      </c>
      <c r="AB14" s="0" t="n">
        <f aca="false">N14*($C14-N$3)</f>
        <v>0</v>
      </c>
      <c r="AF14" s="0" t="n">
        <f aca="false">SUM(R14:AB14)</f>
        <v>-3589.18</v>
      </c>
    </row>
    <row r="15" customFormat="false" ht="12.75" hidden="false" customHeight="false" outlineLevel="0" collapsed="false">
      <c r="A15" s="49" t="n">
        <v>36962</v>
      </c>
      <c r="B15" s="0" t="n">
        <f aca="false">B$2+B$3</f>
        <v>5.3</v>
      </c>
      <c r="C15" s="48" t="n">
        <f aca="false">GasDaily!R15</f>
        <v>3.79</v>
      </c>
      <c r="D15" s="30" t="n">
        <v>29387</v>
      </c>
      <c r="E15" s="30" t="n">
        <v>-5000</v>
      </c>
      <c r="F15" s="30" t="n">
        <v>-5000</v>
      </c>
      <c r="G15" s="30" t="n">
        <v>-5000</v>
      </c>
      <c r="H15" s="30" t="n">
        <v>1000</v>
      </c>
      <c r="I15" s="30"/>
      <c r="J15" s="30"/>
      <c r="K15" s="30"/>
      <c r="L15" s="30"/>
      <c r="M15" s="30"/>
      <c r="N15" s="30"/>
      <c r="O15" s="30"/>
      <c r="P15" s="17" t="n">
        <f aca="false">SUM(D15:O15)</f>
        <v>15387</v>
      </c>
      <c r="Q15" s="50"/>
      <c r="R15" s="0" t="n">
        <f aca="false">D15*($C15-D$3)</f>
        <v>1469.34999999999</v>
      </c>
      <c r="S15" s="0" t="n">
        <f aca="false">E15*($C15-E$3)</f>
        <v>-750</v>
      </c>
      <c r="T15" s="0" t="n">
        <f aca="false">F15*($C15-F$3)</f>
        <v>-700.000000000001</v>
      </c>
      <c r="U15" s="0" t="n">
        <f aca="false">G15*($C15-G$3)</f>
        <v>-649.999999999999</v>
      </c>
      <c r="V15" s="0" t="n">
        <f aca="false">H15*($C15-H$3)</f>
        <v>-35.0000000000001</v>
      </c>
      <c r="W15" s="0" t="n">
        <f aca="false">I15*($C15-I$3)</f>
        <v>0</v>
      </c>
      <c r="X15" s="0" t="n">
        <f aca="false">J15*($C15-J$3)</f>
        <v>0</v>
      </c>
      <c r="Y15" s="0" t="n">
        <f aca="false">K15*($C15-K$3)</f>
        <v>0</v>
      </c>
      <c r="Z15" s="0" t="n">
        <f aca="false">L15*($C15-L$3)</f>
        <v>0</v>
      </c>
      <c r="AA15" s="0" t="n">
        <f aca="false">M15*($C15-M$3)</f>
        <v>0</v>
      </c>
      <c r="AB15" s="0" t="n">
        <f aca="false">N15*($C15-N$3)</f>
        <v>0</v>
      </c>
      <c r="AF15" s="0" t="n">
        <f aca="false">SUM(R15:AB15)</f>
        <v>-665.650000000005</v>
      </c>
    </row>
    <row r="16" customFormat="false" ht="12.75" hidden="false" customHeight="false" outlineLevel="0" collapsed="false">
      <c r="A16" s="49" t="n">
        <v>36963</v>
      </c>
      <c r="B16" s="0" t="n">
        <f aca="false">B$2+B$3</f>
        <v>5.3</v>
      </c>
      <c r="C16" s="48" t="n">
        <f aca="false">GasDaily!R16</f>
        <v>3.79</v>
      </c>
      <c r="D16" s="30" t="n">
        <v>29387</v>
      </c>
      <c r="E16" s="30" t="n">
        <v>-5000</v>
      </c>
      <c r="F16" s="30" t="n">
        <v>-5000</v>
      </c>
      <c r="G16" s="30" t="n">
        <v>-5000</v>
      </c>
      <c r="H16" s="30" t="n">
        <v>1000</v>
      </c>
      <c r="I16" s="30"/>
      <c r="J16" s="30"/>
      <c r="K16" s="30"/>
      <c r="L16" s="30"/>
      <c r="M16" s="30"/>
      <c r="N16" s="30"/>
      <c r="O16" s="30"/>
      <c r="P16" s="17" t="n">
        <f aca="false">SUM(D16:O16)</f>
        <v>15387</v>
      </c>
      <c r="Q16" s="50"/>
      <c r="R16" s="0" t="n">
        <f aca="false">D16*($C16-D$3)</f>
        <v>1469.34999999999</v>
      </c>
      <c r="S16" s="0" t="n">
        <f aca="false">E16*($C16-E$3)</f>
        <v>-750</v>
      </c>
      <c r="T16" s="0" t="n">
        <f aca="false">F16*($C16-F$3)</f>
        <v>-700.000000000001</v>
      </c>
      <c r="U16" s="0" t="n">
        <f aca="false">G16*($C16-G$3)</f>
        <v>-649.999999999999</v>
      </c>
      <c r="V16" s="0" t="n">
        <f aca="false">H16*($C16-H$3)</f>
        <v>-35.0000000000001</v>
      </c>
      <c r="W16" s="0" t="n">
        <f aca="false">I16*($C16-I$3)</f>
        <v>0</v>
      </c>
      <c r="X16" s="0" t="n">
        <f aca="false">J16*($C16-J$3)</f>
        <v>0</v>
      </c>
      <c r="Y16" s="0" t="n">
        <f aca="false">K16*($C16-K$3)</f>
        <v>0</v>
      </c>
      <c r="Z16" s="0" t="n">
        <f aca="false">L16*($C16-L$3)</f>
        <v>0</v>
      </c>
      <c r="AA16" s="0" t="n">
        <f aca="false">M16*($C16-M$3)</f>
        <v>0</v>
      </c>
      <c r="AB16" s="0" t="n">
        <f aca="false">N16*($C16-N$3)</f>
        <v>0</v>
      </c>
      <c r="AF16" s="0" t="n">
        <f aca="false">SUM(R16:AB16)</f>
        <v>-665.650000000005</v>
      </c>
    </row>
    <row r="17" customFormat="false" ht="12.75" hidden="false" customHeight="false" outlineLevel="0" collapsed="false">
      <c r="A17" s="49" t="n">
        <v>36964</v>
      </c>
      <c r="B17" s="0" t="n">
        <f aca="false">B$2+B$3</f>
        <v>5.3</v>
      </c>
      <c r="C17" s="48" t="n">
        <f aca="false">GasDaily!R17</f>
        <v>3.79</v>
      </c>
      <c r="D17" s="30" t="n">
        <v>29387</v>
      </c>
      <c r="E17" s="30" t="n">
        <v>-5000</v>
      </c>
      <c r="F17" s="30" t="n">
        <v>-5000</v>
      </c>
      <c r="G17" s="30" t="n">
        <v>-5000</v>
      </c>
      <c r="H17" s="30" t="n">
        <v>1000</v>
      </c>
      <c r="I17" s="30"/>
      <c r="J17" s="30"/>
      <c r="K17" s="30"/>
      <c r="L17" s="30"/>
      <c r="M17" s="30"/>
      <c r="N17" s="30"/>
      <c r="O17" s="30"/>
      <c r="P17" s="17" t="n">
        <f aca="false">SUM(D17:O17)</f>
        <v>15387</v>
      </c>
      <c r="Q17" s="50"/>
      <c r="R17" s="0" t="n">
        <f aca="false">D17*($C17-D$3)</f>
        <v>1469.34999999999</v>
      </c>
      <c r="S17" s="0" t="n">
        <f aca="false">E17*($C17-E$3)</f>
        <v>-750</v>
      </c>
      <c r="T17" s="0" t="n">
        <f aca="false">F17*($C17-F$3)</f>
        <v>-700.000000000001</v>
      </c>
      <c r="U17" s="0" t="n">
        <f aca="false">G17*($C17-G$3)</f>
        <v>-649.999999999999</v>
      </c>
      <c r="V17" s="0" t="n">
        <f aca="false">H17*($C17-H$3)</f>
        <v>-35.0000000000001</v>
      </c>
      <c r="W17" s="0" t="n">
        <f aca="false">I17*($C17-I$3)</f>
        <v>0</v>
      </c>
      <c r="X17" s="0" t="n">
        <f aca="false">J17*($C17-J$3)</f>
        <v>0</v>
      </c>
      <c r="Y17" s="0" t="n">
        <f aca="false">K17*($C17-K$3)</f>
        <v>0</v>
      </c>
      <c r="Z17" s="0" t="n">
        <f aca="false">L17*($C17-L$3)</f>
        <v>0</v>
      </c>
      <c r="AA17" s="0" t="n">
        <f aca="false">M17*($C17-M$3)</f>
        <v>0</v>
      </c>
      <c r="AB17" s="0" t="n">
        <f aca="false">N17*($C17-N$3)</f>
        <v>0</v>
      </c>
      <c r="AF17" s="0" t="n">
        <f aca="false">SUM(R17:AB17)</f>
        <v>-665.650000000005</v>
      </c>
    </row>
    <row r="18" customFormat="false" ht="12.75" hidden="false" customHeight="false" outlineLevel="0" collapsed="false">
      <c r="A18" s="49" t="n">
        <v>36965</v>
      </c>
      <c r="B18" s="0" t="n">
        <f aca="false">B$2+B$3</f>
        <v>5.3</v>
      </c>
      <c r="C18" s="48" t="n">
        <f aca="false">GasDaily!R18</f>
        <v>3.79</v>
      </c>
      <c r="D18" s="30" t="n">
        <v>29387</v>
      </c>
      <c r="E18" s="30" t="n">
        <v>-5000</v>
      </c>
      <c r="F18" s="30" t="n">
        <v>-5000</v>
      </c>
      <c r="G18" s="30" t="n">
        <v>-5000</v>
      </c>
      <c r="H18" s="30" t="n">
        <v>1000</v>
      </c>
      <c r="I18" s="30"/>
      <c r="J18" s="30"/>
      <c r="K18" s="30"/>
      <c r="L18" s="30"/>
      <c r="M18" s="30"/>
      <c r="N18" s="30"/>
      <c r="O18" s="30"/>
      <c r="P18" s="17" t="n">
        <f aca="false">SUM(D18:O18)</f>
        <v>15387</v>
      </c>
      <c r="Q18" s="50"/>
      <c r="R18" s="0" t="n">
        <f aca="false">D18*($C18-D$3)</f>
        <v>1469.34999999999</v>
      </c>
      <c r="S18" s="0" t="n">
        <f aca="false">E18*($C18-E$3)</f>
        <v>-750</v>
      </c>
      <c r="T18" s="0" t="n">
        <f aca="false">F18*($C18-F$3)</f>
        <v>-700.000000000001</v>
      </c>
      <c r="U18" s="0" t="n">
        <f aca="false">G18*($C18-G$3)</f>
        <v>-649.999999999999</v>
      </c>
      <c r="V18" s="0" t="n">
        <f aca="false">H18*($C18-H$3)</f>
        <v>-35.0000000000001</v>
      </c>
      <c r="W18" s="0" t="n">
        <f aca="false">I18*($C18-I$3)</f>
        <v>0</v>
      </c>
      <c r="X18" s="0" t="n">
        <f aca="false">J18*($C18-J$3)</f>
        <v>0</v>
      </c>
      <c r="Y18" s="0" t="n">
        <f aca="false">K18*($C18-K$3)</f>
        <v>0</v>
      </c>
      <c r="Z18" s="0" t="n">
        <f aca="false">L18*($C18-L$3)</f>
        <v>0</v>
      </c>
      <c r="AA18" s="0" t="n">
        <f aca="false">M18*($C18-M$3)</f>
        <v>0</v>
      </c>
      <c r="AB18" s="0" t="n">
        <f aca="false">N18*($C18-N$3)</f>
        <v>0</v>
      </c>
      <c r="AF18" s="0" t="n">
        <f aca="false">SUM(R18:AB18)</f>
        <v>-665.650000000005</v>
      </c>
    </row>
    <row r="19" customFormat="false" ht="12.75" hidden="false" customHeight="false" outlineLevel="0" collapsed="false">
      <c r="A19" s="49" t="n">
        <v>36966</v>
      </c>
      <c r="B19" s="0" t="n">
        <f aca="false">B$2+B$3</f>
        <v>5.3</v>
      </c>
      <c r="C19" s="48" t="n">
        <f aca="false">GasDaily!R19</f>
        <v>3.79</v>
      </c>
      <c r="D19" s="30" t="n">
        <v>29387</v>
      </c>
      <c r="E19" s="30" t="n">
        <v>-5000</v>
      </c>
      <c r="F19" s="30" t="n">
        <v>-5000</v>
      </c>
      <c r="G19" s="30" t="n">
        <v>-5000</v>
      </c>
      <c r="H19" s="30" t="n">
        <v>1000</v>
      </c>
      <c r="I19" s="30"/>
      <c r="J19" s="30"/>
      <c r="K19" s="30"/>
      <c r="L19" s="30"/>
      <c r="M19" s="30"/>
      <c r="N19" s="30"/>
      <c r="O19" s="30"/>
      <c r="P19" s="17" t="n">
        <f aca="false">SUM(D19:O19)</f>
        <v>15387</v>
      </c>
      <c r="Q19" s="50"/>
      <c r="R19" s="0" t="n">
        <f aca="false">D19*($C19-D$3)</f>
        <v>1469.34999999999</v>
      </c>
      <c r="S19" s="0" t="n">
        <f aca="false">E19*($C19-E$3)</f>
        <v>-750</v>
      </c>
      <c r="T19" s="0" t="n">
        <f aca="false">F19*($C19-F$3)</f>
        <v>-700.000000000001</v>
      </c>
      <c r="U19" s="0" t="n">
        <f aca="false">G19*($C19-G$3)</f>
        <v>-649.999999999999</v>
      </c>
      <c r="V19" s="0" t="n">
        <f aca="false">H19*($C19-H$3)</f>
        <v>-35.0000000000001</v>
      </c>
      <c r="W19" s="0" t="n">
        <f aca="false">I19*($C19-I$3)</f>
        <v>0</v>
      </c>
      <c r="X19" s="0" t="n">
        <f aca="false">J19*($C19-J$3)</f>
        <v>0</v>
      </c>
      <c r="Y19" s="0" t="n">
        <f aca="false">K19*($C19-K$3)</f>
        <v>0</v>
      </c>
      <c r="Z19" s="0" t="n">
        <f aca="false">L19*($C19-L$3)</f>
        <v>0</v>
      </c>
      <c r="AA19" s="0" t="n">
        <f aca="false">M19*($C19-M$3)</f>
        <v>0</v>
      </c>
      <c r="AB19" s="0" t="n">
        <f aca="false">N19*($C19-N$3)</f>
        <v>0</v>
      </c>
      <c r="AF19" s="0" t="n">
        <f aca="false">SUM(R19:AB19)</f>
        <v>-665.650000000005</v>
      </c>
    </row>
    <row r="20" customFormat="false" ht="12.75" hidden="false" customHeight="false" outlineLevel="0" collapsed="false">
      <c r="A20" s="49" t="n">
        <v>36967</v>
      </c>
      <c r="B20" s="0" t="n">
        <f aca="false">B$2+B$3</f>
        <v>5.3</v>
      </c>
      <c r="C20" s="48" t="n">
        <f aca="false">GasDaily!R20</f>
        <v>3.79</v>
      </c>
      <c r="D20" s="30" t="n">
        <v>29387</v>
      </c>
      <c r="E20" s="30" t="n">
        <v>-5000</v>
      </c>
      <c r="F20" s="30" t="n">
        <v>-5000</v>
      </c>
      <c r="G20" s="30" t="n">
        <v>-5000</v>
      </c>
      <c r="H20" s="30" t="n">
        <v>1000</v>
      </c>
      <c r="I20" s="30"/>
      <c r="J20" s="30"/>
      <c r="K20" s="30"/>
      <c r="L20" s="30"/>
      <c r="M20" s="30"/>
      <c r="N20" s="30"/>
      <c r="O20" s="30"/>
      <c r="P20" s="17" t="n">
        <f aca="false">SUM(D20:O20)</f>
        <v>15387</v>
      </c>
      <c r="Q20" s="50"/>
      <c r="R20" s="0" t="n">
        <f aca="false">D20*($C20-D$3)</f>
        <v>1469.34999999999</v>
      </c>
      <c r="S20" s="0" t="n">
        <f aca="false">E20*($C20-E$3)</f>
        <v>-750</v>
      </c>
      <c r="T20" s="0" t="n">
        <f aca="false">F20*($C20-F$3)</f>
        <v>-700.000000000001</v>
      </c>
      <c r="U20" s="0" t="n">
        <f aca="false">G20*($C20-G$3)</f>
        <v>-649.999999999999</v>
      </c>
      <c r="V20" s="0" t="n">
        <f aca="false">H20*($C20-H$3)</f>
        <v>-35.0000000000001</v>
      </c>
      <c r="W20" s="0" t="n">
        <f aca="false">I20*($C20-I$3)</f>
        <v>0</v>
      </c>
      <c r="X20" s="0" t="n">
        <f aca="false">J20*($C20-J$3)</f>
        <v>0</v>
      </c>
      <c r="Y20" s="0" t="n">
        <f aca="false">K20*($C20-K$3)</f>
        <v>0</v>
      </c>
      <c r="Z20" s="0" t="n">
        <f aca="false">L20*($C20-L$3)</f>
        <v>0</v>
      </c>
      <c r="AA20" s="0" t="n">
        <f aca="false">M20*($C20-M$3)</f>
        <v>0</v>
      </c>
      <c r="AB20" s="0" t="n">
        <f aca="false">N20*($C20-N$3)</f>
        <v>0</v>
      </c>
      <c r="AF20" s="0" t="n">
        <f aca="false">SUM(R20:AB20)</f>
        <v>-665.650000000005</v>
      </c>
    </row>
    <row r="21" customFormat="false" ht="12.75" hidden="false" customHeight="false" outlineLevel="0" collapsed="false">
      <c r="A21" s="49" t="n">
        <v>36968</v>
      </c>
      <c r="B21" s="0" t="n">
        <f aca="false">B$2+B$3</f>
        <v>5.3</v>
      </c>
      <c r="C21" s="48" t="n">
        <f aca="false">GasDaily!R21</f>
        <v>3.79</v>
      </c>
      <c r="D21" s="30" t="n">
        <v>29387</v>
      </c>
      <c r="E21" s="30" t="n">
        <v>-5000</v>
      </c>
      <c r="F21" s="30" t="n">
        <v>-5000</v>
      </c>
      <c r="G21" s="30" t="n">
        <v>-5000</v>
      </c>
      <c r="H21" s="30" t="n">
        <v>1000</v>
      </c>
      <c r="I21" s="30"/>
      <c r="J21" s="30"/>
      <c r="K21" s="30"/>
      <c r="L21" s="30"/>
      <c r="M21" s="30"/>
      <c r="N21" s="30"/>
      <c r="O21" s="30"/>
      <c r="P21" s="17" t="n">
        <f aca="false">SUM(D21:O21)</f>
        <v>15387</v>
      </c>
      <c r="Q21" s="50"/>
      <c r="R21" s="0" t="n">
        <f aca="false">D21*($C21-D$3)</f>
        <v>1469.34999999999</v>
      </c>
      <c r="S21" s="0" t="n">
        <f aca="false">E21*($C21-E$3)</f>
        <v>-750</v>
      </c>
      <c r="T21" s="0" t="n">
        <f aca="false">F21*($C21-F$3)</f>
        <v>-700.000000000001</v>
      </c>
      <c r="U21" s="0" t="n">
        <f aca="false">G21*($C21-G$3)</f>
        <v>-649.999999999999</v>
      </c>
      <c r="V21" s="0" t="n">
        <f aca="false">H21*($C21-H$3)</f>
        <v>-35.0000000000001</v>
      </c>
      <c r="W21" s="0" t="n">
        <f aca="false">I21*($C21-I$3)</f>
        <v>0</v>
      </c>
      <c r="X21" s="0" t="n">
        <f aca="false">J21*($C21-J$3)</f>
        <v>0</v>
      </c>
      <c r="Y21" s="0" t="n">
        <f aca="false">K21*($C21-K$3)</f>
        <v>0</v>
      </c>
      <c r="Z21" s="0" t="n">
        <f aca="false">L21*($C21-L$3)</f>
        <v>0</v>
      </c>
      <c r="AA21" s="0" t="n">
        <f aca="false">M21*($C21-M$3)</f>
        <v>0</v>
      </c>
      <c r="AB21" s="0" t="n">
        <f aca="false">N21*($C21-N$3)</f>
        <v>0</v>
      </c>
      <c r="AF21" s="0" t="n">
        <f aca="false">SUM(R21:AB21)</f>
        <v>-665.650000000005</v>
      </c>
    </row>
    <row r="22" customFormat="false" ht="12.75" hidden="false" customHeight="false" outlineLevel="0" collapsed="false">
      <c r="A22" s="49" t="n">
        <v>36969</v>
      </c>
      <c r="B22" s="0" t="n">
        <f aca="false">B$2+B$3</f>
        <v>5.3</v>
      </c>
      <c r="C22" s="48" t="n">
        <f aca="false">GasDaily!R22</f>
        <v>3.79</v>
      </c>
      <c r="D22" s="30" t="n">
        <v>29387</v>
      </c>
      <c r="E22" s="30" t="n">
        <v>-5000</v>
      </c>
      <c r="F22" s="30" t="n">
        <v>-5000</v>
      </c>
      <c r="G22" s="30" t="n">
        <v>-5000</v>
      </c>
      <c r="H22" s="30" t="n">
        <v>1000</v>
      </c>
      <c r="I22" s="30"/>
      <c r="J22" s="30"/>
      <c r="K22" s="30"/>
      <c r="L22" s="30"/>
      <c r="M22" s="30"/>
      <c r="N22" s="30"/>
      <c r="O22" s="30"/>
      <c r="P22" s="17" t="n">
        <f aca="false">SUM(D22:O22)</f>
        <v>15387</v>
      </c>
      <c r="Q22" s="50"/>
      <c r="R22" s="0" t="n">
        <f aca="false">D22*($C22-D$3)</f>
        <v>1469.34999999999</v>
      </c>
      <c r="S22" s="0" t="n">
        <f aca="false">E22*($C22-E$3)</f>
        <v>-750</v>
      </c>
      <c r="T22" s="0" t="n">
        <f aca="false">F22*($C22-F$3)</f>
        <v>-700.000000000001</v>
      </c>
      <c r="U22" s="0" t="n">
        <f aca="false">G22*($C22-G$3)</f>
        <v>-649.999999999999</v>
      </c>
      <c r="V22" s="0" t="n">
        <f aca="false">H22*($C22-H$3)</f>
        <v>-35.0000000000001</v>
      </c>
      <c r="W22" s="0" t="n">
        <f aca="false">I22*($C22-I$3)</f>
        <v>0</v>
      </c>
      <c r="X22" s="0" t="n">
        <f aca="false">J22*($C22-J$3)</f>
        <v>0</v>
      </c>
      <c r="Y22" s="0" t="n">
        <f aca="false">K22*($C22-K$3)</f>
        <v>0</v>
      </c>
      <c r="Z22" s="0" t="n">
        <f aca="false">L22*($C22-L$3)</f>
        <v>0</v>
      </c>
      <c r="AA22" s="0" t="n">
        <f aca="false">M22*($C22-M$3)</f>
        <v>0</v>
      </c>
      <c r="AB22" s="0" t="n">
        <f aca="false">N22*($C22-N$3)</f>
        <v>0</v>
      </c>
      <c r="AF22" s="0" t="n">
        <f aca="false">SUM(R22:AB22)</f>
        <v>-665.650000000005</v>
      </c>
    </row>
    <row r="23" customFormat="false" ht="12.75" hidden="false" customHeight="false" outlineLevel="0" collapsed="false">
      <c r="A23" s="49" t="n">
        <v>36970</v>
      </c>
      <c r="B23" s="0" t="n">
        <f aca="false">B$2+B$3</f>
        <v>5.3</v>
      </c>
      <c r="C23" s="48" t="n">
        <f aca="false">GasDaily!R23</f>
        <v>3.79</v>
      </c>
      <c r="D23" s="30" t="n">
        <v>29387</v>
      </c>
      <c r="E23" s="30" t="n">
        <v>-5000</v>
      </c>
      <c r="F23" s="30" t="n">
        <v>-5000</v>
      </c>
      <c r="G23" s="30" t="n">
        <v>-5000</v>
      </c>
      <c r="H23" s="30" t="n">
        <v>1000</v>
      </c>
      <c r="I23" s="30"/>
      <c r="J23" s="30"/>
      <c r="K23" s="30"/>
      <c r="L23" s="30"/>
      <c r="M23" s="30"/>
      <c r="N23" s="30"/>
      <c r="O23" s="30"/>
      <c r="P23" s="17" t="n">
        <f aca="false">SUM(D23:O23)</f>
        <v>15387</v>
      </c>
      <c r="Q23" s="50"/>
      <c r="R23" s="0" t="n">
        <f aca="false">D23*($C23-D$3)</f>
        <v>1469.34999999999</v>
      </c>
      <c r="S23" s="0" t="n">
        <f aca="false">E23*($C23-E$3)</f>
        <v>-750</v>
      </c>
      <c r="T23" s="0" t="n">
        <f aca="false">F23*($C23-F$3)</f>
        <v>-700.000000000001</v>
      </c>
      <c r="U23" s="0" t="n">
        <f aca="false">G23*($C23-G$3)</f>
        <v>-649.999999999999</v>
      </c>
      <c r="V23" s="0" t="n">
        <f aca="false">H23*($C23-H$3)</f>
        <v>-35.0000000000001</v>
      </c>
      <c r="W23" s="0" t="n">
        <f aca="false">I23*($C23-I$3)</f>
        <v>0</v>
      </c>
      <c r="X23" s="0" t="n">
        <f aca="false">J23*($C23-J$3)</f>
        <v>0</v>
      </c>
      <c r="Y23" s="0" t="n">
        <f aca="false">K23*($C23-K$3)</f>
        <v>0</v>
      </c>
      <c r="Z23" s="0" t="n">
        <f aca="false">L23*($C23-L$3)</f>
        <v>0</v>
      </c>
      <c r="AA23" s="0" t="n">
        <f aca="false">M23*($C23-M$3)</f>
        <v>0</v>
      </c>
      <c r="AB23" s="0" t="n">
        <f aca="false">N23*($C23-N$3)</f>
        <v>0</v>
      </c>
      <c r="AF23" s="0" t="n">
        <f aca="false">SUM(R23:AB23)</f>
        <v>-665.650000000005</v>
      </c>
    </row>
    <row r="24" customFormat="false" ht="12.75" hidden="false" customHeight="false" outlineLevel="0" collapsed="false">
      <c r="A24" s="49" t="n">
        <v>36971</v>
      </c>
      <c r="B24" s="0" t="n">
        <f aca="false">B$2+B$3</f>
        <v>5.3</v>
      </c>
      <c r="C24" s="48" t="n">
        <f aca="false">GasDaily!R24</f>
        <v>3.79</v>
      </c>
      <c r="D24" s="30" t="n">
        <v>29387</v>
      </c>
      <c r="E24" s="30" t="n">
        <v>-5000</v>
      </c>
      <c r="F24" s="30" t="n">
        <v>-5000</v>
      </c>
      <c r="G24" s="30" t="n">
        <v>-5000</v>
      </c>
      <c r="H24" s="30" t="n">
        <v>1000</v>
      </c>
      <c r="I24" s="30"/>
      <c r="J24" s="30"/>
      <c r="K24" s="30"/>
      <c r="L24" s="30"/>
      <c r="M24" s="30"/>
      <c r="N24" s="30"/>
      <c r="O24" s="30"/>
      <c r="P24" s="17" t="n">
        <f aca="false">SUM(D24:O24)</f>
        <v>15387</v>
      </c>
      <c r="Q24" s="50"/>
      <c r="R24" s="0" t="n">
        <f aca="false">D24*($C24-D$3)</f>
        <v>1469.34999999999</v>
      </c>
      <c r="S24" s="0" t="n">
        <f aca="false">E24*($C24-E$3)</f>
        <v>-750</v>
      </c>
      <c r="T24" s="0" t="n">
        <f aca="false">F24*($C24-F$3)</f>
        <v>-700.000000000001</v>
      </c>
      <c r="U24" s="0" t="n">
        <f aca="false">G24*($C24-G$3)</f>
        <v>-649.999999999999</v>
      </c>
      <c r="V24" s="0" t="n">
        <f aca="false">H24*($C24-H$3)</f>
        <v>-35.0000000000001</v>
      </c>
      <c r="W24" s="0" t="n">
        <f aca="false">I24*($C24-I$3)</f>
        <v>0</v>
      </c>
      <c r="X24" s="0" t="n">
        <f aca="false">J24*($C24-J$3)</f>
        <v>0</v>
      </c>
      <c r="Y24" s="0" t="n">
        <f aca="false">K24*($C24-K$3)</f>
        <v>0</v>
      </c>
      <c r="Z24" s="0" t="n">
        <f aca="false">L24*($C24-L$3)</f>
        <v>0</v>
      </c>
      <c r="AA24" s="0" t="n">
        <f aca="false">M24*($C24-M$3)</f>
        <v>0</v>
      </c>
      <c r="AB24" s="0" t="n">
        <f aca="false">N24*($C24-N$3)</f>
        <v>0</v>
      </c>
      <c r="AF24" s="0" t="n">
        <f aca="false">SUM(R24:AB24)</f>
        <v>-665.650000000005</v>
      </c>
    </row>
    <row r="25" customFormat="false" ht="12.75" hidden="false" customHeight="false" outlineLevel="0" collapsed="false">
      <c r="A25" s="49" t="n">
        <v>36972</v>
      </c>
      <c r="B25" s="0" t="n">
        <f aca="false">B$2+B$3</f>
        <v>5.3</v>
      </c>
      <c r="C25" s="48" t="n">
        <f aca="false">GasDaily!R25</f>
        <v>3.79</v>
      </c>
      <c r="D25" s="30" t="n">
        <v>29387</v>
      </c>
      <c r="E25" s="30" t="n">
        <v>-5000</v>
      </c>
      <c r="F25" s="30" t="n">
        <v>-5000</v>
      </c>
      <c r="G25" s="30" t="n">
        <v>-5000</v>
      </c>
      <c r="H25" s="30" t="n">
        <v>1000</v>
      </c>
      <c r="I25" s="30"/>
      <c r="J25" s="30"/>
      <c r="K25" s="30"/>
      <c r="L25" s="30"/>
      <c r="M25" s="30"/>
      <c r="N25" s="30"/>
      <c r="O25" s="30"/>
      <c r="P25" s="17" t="n">
        <f aca="false">SUM(D25:O25)</f>
        <v>15387</v>
      </c>
      <c r="Q25" s="50"/>
      <c r="R25" s="0" t="n">
        <f aca="false">D25*($C25-D$3)</f>
        <v>1469.34999999999</v>
      </c>
      <c r="S25" s="0" t="n">
        <f aca="false">E25*($C25-E$3)</f>
        <v>-750</v>
      </c>
      <c r="T25" s="0" t="n">
        <f aca="false">F25*($C25-F$3)</f>
        <v>-700.000000000001</v>
      </c>
      <c r="U25" s="0" t="n">
        <f aca="false">G25*($C25-G$3)</f>
        <v>-649.999999999999</v>
      </c>
      <c r="V25" s="0" t="n">
        <f aca="false">H25*($C25-H$3)</f>
        <v>-35.0000000000001</v>
      </c>
      <c r="W25" s="0" t="n">
        <f aca="false">I25*($C25-I$3)</f>
        <v>0</v>
      </c>
      <c r="X25" s="0" t="n">
        <f aca="false">J25*($C25-J$3)</f>
        <v>0</v>
      </c>
      <c r="Y25" s="0" t="n">
        <f aca="false">K25*($C25-K$3)</f>
        <v>0</v>
      </c>
      <c r="Z25" s="0" t="n">
        <f aca="false">L25*($C25-L$3)</f>
        <v>0</v>
      </c>
      <c r="AA25" s="0" t="n">
        <f aca="false">M25*($C25-M$3)</f>
        <v>0</v>
      </c>
      <c r="AB25" s="0" t="n">
        <f aca="false">N25*($C25-N$3)</f>
        <v>0</v>
      </c>
      <c r="AF25" s="0" t="n">
        <f aca="false">SUM(R25:AB25)</f>
        <v>-665.650000000005</v>
      </c>
    </row>
    <row r="26" customFormat="false" ht="12.75" hidden="false" customHeight="false" outlineLevel="0" collapsed="false">
      <c r="A26" s="49" t="n">
        <v>36973</v>
      </c>
      <c r="B26" s="0" t="n">
        <f aca="false">B$2+B$3</f>
        <v>5.3</v>
      </c>
      <c r="C26" s="48" t="n">
        <f aca="false">GasDaily!R26</f>
        <v>3.79</v>
      </c>
      <c r="D26" s="30" t="n">
        <v>29387</v>
      </c>
      <c r="E26" s="30" t="n">
        <v>-5000</v>
      </c>
      <c r="F26" s="30" t="n">
        <v>-5000</v>
      </c>
      <c r="G26" s="30" t="n">
        <v>-5000</v>
      </c>
      <c r="H26" s="30" t="n">
        <v>1000</v>
      </c>
      <c r="I26" s="30"/>
      <c r="J26" s="30"/>
      <c r="K26" s="30"/>
      <c r="L26" s="30"/>
      <c r="M26" s="30"/>
      <c r="N26" s="30"/>
      <c r="O26" s="30"/>
      <c r="P26" s="17" t="n">
        <f aca="false">SUM(D26:O26)</f>
        <v>15387</v>
      </c>
      <c r="Q26" s="50"/>
      <c r="R26" s="0" t="n">
        <f aca="false">D26*($C26-D$3)</f>
        <v>1469.34999999999</v>
      </c>
      <c r="S26" s="0" t="n">
        <f aca="false">E26*($C26-E$3)</f>
        <v>-750</v>
      </c>
      <c r="T26" s="0" t="n">
        <f aca="false">F26*($C26-F$3)</f>
        <v>-700.000000000001</v>
      </c>
      <c r="U26" s="0" t="n">
        <f aca="false">G26*($C26-G$3)</f>
        <v>-649.999999999999</v>
      </c>
      <c r="V26" s="0" t="n">
        <f aca="false">H26*($C26-H$3)</f>
        <v>-35.0000000000001</v>
      </c>
      <c r="W26" s="0" t="n">
        <f aca="false">I26*($C26-I$3)</f>
        <v>0</v>
      </c>
      <c r="X26" s="0" t="n">
        <f aca="false">J26*($C26-J$3)</f>
        <v>0</v>
      </c>
      <c r="Y26" s="0" t="n">
        <f aca="false">K26*($C26-K$3)</f>
        <v>0</v>
      </c>
      <c r="Z26" s="0" t="n">
        <f aca="false">L26*($C26-L$3)</f>
        <v>0</v>
      </c>
      <c r="AA26" s="0" t="n">
        <f aca="false">M26*($C26-M$3)</f>
        <v>0</v>
      </c>
      <c r="AB26" s="0" t="n">
        <f aca="false">N26*($C26-N$3)</f>
        <v>0</v>
      </c>
      <c r="AF26" s="0" t="n">
        <f aca="false">SUM(R26:AB26)</f>
        <v>-665.650000000005</v>
      </c>
    </row>
    <row r="27" customFormat="false" ht="12.75" hidden="false" customHeight="false" outlineLevel="0" collapsed="false">
      <c r="A27" s="49" t="n">
        <v>36974</v>
      </c>
      <c r="B27" s="0" t="n">
        <f aca="false">B$2+B$3</f>
        <v>5.3</v>
      </c>
      <c r="C27" s="48" t="n">
        <f aca="false">GasDaily!R27</f>
        <v>3.79</v>
      </c>
      <c r="D27" s="30" t="n">
        <v>29387</v>
      </c>
      <c r="E27" s="30" t="n">
        <v>-5000</v>
      </c>
      <c r="F27" s="30" t="n">
        <v>-5000</v>
      </c>
      <c r="G27" s="30" t="n">
        <v>-5000</v>
      </c>
      <c r="H27" s="30" t="n">
        <v>1000</v>
      </c>
      <c r="I27" s="30"/>
      <c r="J27" s="30"/>
      <c r="K27" s="30"/>
      <c r="L27" s="30"/>
      <c r="M27" s="30"/>
      <c r="N27" s="30"/>
      <c r="O27" s="30"/>
      <c r="P27" s="17" t="n">
        <f aca="false">SUM(D27:O27)</f>
        <v>15387</v>
      </c>
      <c r="Q27" s="50"/>
      <c r="R27" s="0" t="n">
        <f aca="false">D27*($C27-D$3)</f>
        <v>1469.34999999999</v>
      </c>
      <c r="S27" s="0" t="n">
        <f aca="false">E27*($C27-E$3)</f>
        <v>-750</v>
      </c>
      <c r="T27" s="0" t="n">
        <f aca="false">F27*($C27-F$3)</f>
        <v>-700.000000000001</v>
      </c>
      <c r="U27" s="0" t="n">
        <f aca="false">G27*($C27-G$3)</f>
        <v>-649.999999999999</v>
      </c>
      <c r="V27" s="0" t="n">
        <f aca="false">H27*($C27-H$3)</f>
        <v>-35.0000000000001</v>
      </c>
      <c r="W27" s="0" t="n">
        <f aca="false">I27*($C27-I$3)</f>
        <v>0</v>
      </c>
      <c r="X27" s="0" t="n">
        <f aca="false">J27*($C27-J$3)</f>
        <v>0</v>
      </c>
      <c r="Y27" s="0" t="n">
        <f aca="false">K27*($C27-K$3)</f>
        <v>0</v>
      </c>
      <c r="Z27" s="0" t="n">
        <f aca="false">L27*($C27-L$3)</f>
        <v>0</v>
      </c>
      <c r="AA27" s="0" t="n">
        <f aca="false">M27*($C27-M$3)</f>
        <v>0</v>
      </c>
      <c r="AB27" s="0" t="n">
        <f aca="false">N27*($C27-N$3)</f>
        <v>0</v>
      </c>
      <c r="AF27" s="0" t="n">
        <f aca="false">SUM(R27:AB27)</f>
        <v>-665.650000000005</v>
      </c>
    </row>
    <row r="28" customFormat="false" ht="12.75" hidden="false" customHeight="false" outlineLevel="0" collapsed="false">
      <c r="A28" s="49" t="n">
        <v>36975</v>
      </c>
      <c r="B28" s="0" t="n">
        <f aca="false">B$2+B$3</f>
        <v>5.3</v>
      </c>
      <c r="C28" s="48" t="n">
        <f aca="false">GasDaily!R28</f>
        <v>3.79</v>
      </c>
      <c r="D28" s="30" t="n">
        <v>29387</v>
      </c>
      <c r="E28" s="30" t="n">
        <v>-5000</v>
      </c>
      <c r="F28" s="30" t="n">
        <v>-5000</v>
      </c>
      <c r="G28" s="30" t="n">
        <v>-5000</v>
      </c>
      <c r="H28" s="30" t="n">
        <v>1000</v>
      </c>
      <c r="I28" s="30"/>
      <c r="J28" s="30"/>
      <c r="K28" s="30"/>
      <c r="L28" s="30"/>
      <c r="M28" s="30"/>
      <c r="N28" s="30"/>
      <c r="O28" s="30"/>
      <c r="P28" s="17" t="n">
        <f aca="false">SUM(D28:O28)</f>
        <v>15387</v>
      </c>
      <c r="Q28" s="50"/>
      <c r="R28" s="0" t="n">
        <f aca="false">D28*($C28-D$3)</f>
        <v>1469.34999999999</v>
      </c>
      <c r="S28" s="0" t="n">
        <f aca="false">E28*($C28-E$3)</f>
        <v>-750</v>
      </c>
      <c r="T28" s="0" t="n">
        <f aca="false">F28*($C28-F$3)</f>
        <v>-700.000000000001</v>
      </c>
      <c r="U28" s="0" t="n">
        <f aca="false">G28*($C28-G$3)</f>
        <v>-649.999999999999</v>
      </c>
      <c r="V28" s="0" t="n">
        <f aca="false">H28*($C28-H$3)</f>
        <v>-35.0000000000001</v>
      </c>
      <c r="W28" s="0" t="n">
        <f aca="false">I28*($C28-I$3)</f>
        <v>0</v>
      </c>
      <c r="X28" s="0" t="n">
        <f aca="false">J28*($C28-J$3)</f>
        <v>0</v>
      </c>
      <c r="Y28" s="0" t="n">
        <f aca="false">K28*($C28-K$3)</f>
        <v>0</v>
      </c>
      <c r="Z28" s="0" t="n">
        <f aca="false">L28*($C28-L$3)</f>
        <v>0</v>
      </c>
      <c r="AA28" s="0" t="n">
        <f aca="false">M28*($C28-M$3)</f>
        <v>0</v>
      </c>
      <c r="AB28" s="0" t="n">
        <f aca="false">N28*($C28-N$3)</f>
        <v>0</v>
      </c>
      <c r="AF28" s="0" t="n">
        <f aca="false">SUM(R28:AB28)</f>
        <v>-665.650000000005</v>
      </c>
    </row>
    <row r="29" customFormat="false" ht="12.75" hidden="false" customHeight="false" outlineLevel="0" collapsed="false">
      <c r="A29" s="49" t="n">
        <v>36976</v>
      </c>
      <c r="B29" s="0" t="n">
        <f aca="false">B$2+B$3</f>
        <v>5.3</v>
      </c>
      <c r="C29" s="48" t="n">
        <f aca="false">GasDaily!R29</f>
        <v>3.79</v>
      </c>
      <c r="D29" s="30" t="n">
        <v>29387</v>
      </c>
      <c r="E29" s="30" t="n">
        <v>-5000</v>
      </c>
      <c r="F29" s="30" t="n">
        <v>-5000</v>
      </c>
      <c r="G29" s="30" t="n">
        <v>-5000</v>
      </c>
      <c r="H29" s="30" t="n">
        <v>1000</v>
      </c>
      <c r="I29" s="30"/>
      <c r="J29" s="30"/>
      <c r="K29" s="30"/>
      <c r="L29" s="30"/>
      <c r="M29" s="30"/>
      <c r="N29" s="30"/>
      <c r="O29" s="30"/>
      <c r="P29" s="17" t="n">
        <f aca="false">SUM(D29:O29)</f>
        <v>15387</v>
      </c>
      <c r="Q29" s="50"/>
      <c r="R29" s="0" t="n">
        <f aca="false">D29*($C29-D$3)</f>
        <v>1469.34999999999</v>
      </c>
      <c r="S29" s="0" t="n">
        <f aca="false">E29*($C29-E$3)</f>
        <v>-750</v>
      </c>
      <c r="T29" s="0" t="n">
        <f aca="false">F29*($C29-F$3)</f>
        <v>-700.000000000001</v>
      </c>
      <c r="U29" s="0" t="n">
        <f aca="false">G29*($C29-G$3)</f>
        <v>-649.999999999999</v>
      </c>
      <c r="V29" s="0" t="n">
        <f aca="false">H29*($C29-H$3)</f>
        <v>-35.0000000000001</v>
      </c>
      <c r="W29" s="0" t="n">
        <f aca="false">I29*($C29-I$3)</f>
        <v>0</v>
      </c>
      <c r="X29" s="0" t="n">
        <f aca="false">J29*($C29-J$3)</f>
        <v>0</v>
      </c>
      <c r="Y29" s="0" t="n">
        <f aca="false">K29*($C29-K$3)</f>
        <v>0</v>
      </c>
      <c r="Z29" s="0" t="n">
        <f aca="false">L29*($C29-L$3)</f>
        <v>0</v>
      </c>
      <c r="AA29" s="0" t="n">
        <f aca="false">M29*($C29-M$3)</f>
        <v>0</v>
      </c>
      <c r="AB29" s="0" t="n">
        <f aca="false">N29*($C29-N$3)</f>
        <v>0</v>
      </c>
      <c r="AF29" s="0" t="n">
        <f aca="false">SUM(R29:AB29)</f>
        <v>-665.650000000005</v>
      </c>
    </row>
    <row r="30" customFormat="false" ht="12.75" hidden="false" customHeight="false" outlineLevel="0" collapsed="false">
      <c r="A30" s="49" t="n">
        <v>36977</v>
      </c>
      <c r="B30" s="0" t="n">
        <f aca="false">B$2+B$3</f>
        <v>5.3</v>
      </c>
      <c r="C30" s="48" t="n">
        <f aca="false">GasDaily!R30</f>
        <v>3.79</v>
      </c>
      <c r="D30" s="30" t="n">
        <v>29387</v>
      </c>
      <c r="E30" s="30" t="n">
        <v>-5000</v>
      </c>
      <c r="F30" s="30" t="n">
        <v>-5000</v>
      </c>
      <c r="G30" s="30" t="n">
        <v>-5000</v>
      </c>
      <c r="H30" s="30" t="n">
        <v>1000</v>
      </c>
      <c r="I30" s="30"/>
      <c r="J30" s="30"/>
      <c r="K30" s="30"/>
      <c r="L30" s="30"/>
      <c r="M30" s="30"/>
      <c r="N30" s="30"/>
      <c r="O30" s="30"/>
      <c r="P30" s="17" t="n">
        <f aca="false">SUM(D30:O30)</f>
        <v>15387</v>
      </c>
      <c r="Q30" s="50"/>
      <c r="R30" s="0" t="n">
        <f aca="false">D30*($C30-D$3)</f>
        <v>1469.34999999999</v>
      </c>
      <c r="S30" s="0" t="n">
        <f aca="false">E30*($C30-E$3)</f>
        <v>-750</v>
      </c>
      <c r="T30" s="0" t="n">
        <f aca="false">F30*($C30-F$3)</f>
        <v>-700.000000000001</v>
      </c>
      <c r="U30" s="0" t="n">
        <f aca="false">G30*($C30-G$3)</f>
        <v>-649.999999999999</v>
      </c>
      <c r="V30" s="0" t="n">
        <f aca="false">H30*($C30-H$3)</f>
        <v>-35.0000000000001</v>
      </c>
      <c r="W30" s="0" t="n">
        <f aca="false">I30*($C30-I$3)</f>
        <v>0</v>
      </c>
      <c r="X30" s="0" t="n">
        <f aca="false">J30*($C30-J$3)</f>
        <v>0</v>
      </c>
      <c r="Y30" s="0" t="n">
        <f aca="false">K30*($C30-K$3)</f>
        <v>0</v>
      </c>
      <c r="Z30" s="0" t="n">
        <f aca="false">L30*($C30-L$3)</f>
        <v>0</v>
      </c>
      <c r="AA30" s="0" t="n">
        <f aca="false">M30*($C30-M$3)</f>
        <v>0</v>
      </c>
      <c r="AB30" s="0" t="n">
        <f aca="false">N30*($C30-N$3)</f>
        <v>0</v>
      </c>
      <c r="AF30" s="0" t="n">
        <f aca="false">SUM(R30:AB30)</f>
        <v>-665.650000000005</v>
      </c>
    </row>
    <row r="31" customFormat="false" ht="12.75" hidden="false" customHeight="false" outlineLevel="0" collapsed="false">
      <c r="A31" s="49" t="n">
        <v>36978</v>
      </c>
      <c r="B31" s="0" t="n">
        <f aca="false">B$2+B$3</f>
        <v>5.3</v>
      </c>
      <c r="C31" s="48" t="n">
        <f aca="false">GasDaily!R31</f>
        <v>3.79</v>
      </c>
      <c r="D31" s="30" t="n">
        <v>29387</v>
      </c>
      <c r="E31" s="30" t="n">
        <v>-5000</v>
      </c>
      <c r="F31" s="30" t="n">
        <v>-5000</v>
      </c>
      <c r="G31" s="30" t="n">
        <v>-5000</v>
      </c>
      <c r="H31" s="30" t="n">
        <v>1000</v>
      </c>
      <c r="I31" s="30"/>
      <c r="J31" s="30"/>
      <c r="K31" s="30"/>
      <c r="L31" s="30"/>
      <c r="M31" s="30"/>
      <c r="N31" s="30"/>
      <c r="O31" s="30"/>
      <c r="P31" s="17" t="n">
        <f aca="false">SUM(D31:O31)</f>
        <v>15387</v>
      </c>
      <c r="Q31" s="50"/>
      <c r="R31" s="0" t="n">
        <f aca="false">D31*($C31-D$3)</f>
        <v>1469.34999999999</v>
      </c>
      <c r="S31" s="0" t="n">
        <f aca="false">E31*($C31-E$3)</f>
        <v>-750</v>
      </c>
      <c r="T31" s="0" t="n">
        <f aca="false">F31*($C31-F$3)</f>
        <v>-700.000000000001</v>
      </c>
      <c r="U31" s="0" t="n">
        <f aca="false">G31*($C31-G$3)</f>
        <v>-649.999999999999</v>
      </c>
      <c r="V31" s="0" t="n">
        <f aca="false">H31*($C31-H$3)</f>
        <v>-35.0000000000001</v>
      </c>
      <c r="W31" s="0" t="n">
        <f aca="false">I31*($C31-I$3)</f>
        <v>0</v>
      </c>
      <c r="X31" s="0" t="n">
        <f aca="false">J31*($C31-J$3)</f>
        <v>0</v>
      </c>
      <c r="Y31" s="0" t="n">
        <f aca="false">K31*($C31-K$3)</f>
        <v>0</v>
      </c>
      <c r="Z31" s="0" t="n">
        <f aca="false">L31*($C31-L$3)</f>
        <v>0</v>
      </c>
      <c r="AA31" s="0" t="n">
        <f aca="false">M31*($C31-M$3)</f>
        <v>0</v>
      </c>
      <c r="AB31" s="0" t="n">
        <f aca="false">N31*($C31-N$3)</f>
        <v>0</v>
      </c>
      <c r="AF31" s="0" t="n">
        <f aca="false">SUM(R31:AB31)</f>
        <v>-665.650000000005</v>
      </c>
    </row>
    <row r="32" customFormat="false" ht="12.75" hidden="false" customHeight="false" outlineLevel="0" collapsed="false">
      <c r="A32" s="49" t="n">
        <v>36979</v>
      </c>
      <c r="B32" s="0" t="n">
        <f aca="false">B$2+B$3</f>
        <v>5.3</v>
      </c>
      <c r="C32" s="48" t="n">
        <f aca="false">GasDaily!R32</f>
        <v>3.79</v>
      </c>
      <c r="D32" s="30" t="n">
        <v>29387</v>
      </c>
      <c r="E32" s="30" t="n">
        <v>-5000</v>
      </c>
      <c r="F32" s="30" t="n">
        <v>-5000</v>
      </c>
      <c r="G32" s="30" t="n">
        <v>-5000</v>
      </c>
      <c r="H32" s="30" t="n">
        <v>1000</v>
      </c>
      <c r="I32" s="30"/>
      <c r="J32" s="30"/>
      <c r="K32" s="30"/>
      <c r="L32" s="30"/>
      <c r="M32" s="30"/>
      <c r="N32" s="30"/>
      <c r="O32" s="30"/>
      <c r="P32" s="17" t="n">
        <f aca="false">SUM(D32:O32)</f>
        <v>15387</v>
      </c>
      <c r="Q32" s="50"/>
      <c r="R32" s="0" t="n">
        <f aca="false">D32*(C32-D$3)</f>
        <v>1469.34999999999</v>
      </c>
      <c r="S32" s="0" t="n">
        <f aca="false">E32*($C32-E$3)</f>
        <v>-750</v>
      </c>
      <c r="T32" s="0" t="n">
        <f aca="false">F32*($C32-F$3)</f>
        <v>-700.000000000001</v>
      </c>
      <c r="U32" s="0" t="n">
        <f aca="false">G32*($C32-G$3)</f>
        <v>-649.999999999999</v>
      </c>
      <c r="V32" s="0" t="n">
        <f aca="false">H32*($C32-H$3)</f>
        <v>-35.0000000000001</v>
      </c>
      <c r="W32" s="0" t="n">
        <f aca="false">I32*($C32-I$3)</f>
        <v>0</v>
      </c>
      <c r="X32" s="0" t="n">
        <f aca="false">J32*($C32-J$3)</f>
        <v>0</v>
      </c>
      <c r="Y32" s="0" t="n">
        <f aca="false">K32*($C32-K$3)</f>
        <v>0</v>
      </c>
      <c r="Z32" s="0" t="n">
        <f aca="false">L32*($C32-L$3)</f>
        <v>0</v>
      </c>
      <c r="AA32" s="0" t="n">
        <f aca="false">M32*($C32-M$3)</f>
        <v>0</v>
      </c>
      <c r="AB32" s="0" t="n">
        <f aca="false">N32*($C32-N$3)</f>
        <v>0</v>
      </c>
      <c r="AF32" s="0" t="n">
        <f aca="false">SUM(R32:AB32)</f>
        <v>-665.650000000005</v>
      </c>
    </row>
    <row r="33" customFormat="false" ht="12.75" hidden="false" customHeight="false" outlineLevel="0" collapsed="false">
      <c r="A33" s="49" t="n">
        <v>36980</v>
      </c>
      <c r="B33" s="0" t="n">
        <f aca="false">B$2+B$3</f>
        <v>5.3</v>
      </c>
      <c r="C33" s="48" t="n">
        <f aca="false">GasDaily!R33</f>
        <v>3.79</v>
      </c>
      <c r="D33" s="30" t="n">
        <v>29387</v>
      </c>
      <c r="E33" s="30" t="n">
        <v>-5000</v>
      </c>
      <c r="F33" s="30" t="n">
        <v>-5000</v>
      </c>
      <c r="G33" s="30" t="n">
        <v>-5000</v>
      </c>
      <c r="H33" s="30" t="n">
        <v>1000</v>
      </c>
      <c r="I33" s="30"/>
      <c r="J33" s="30"/>
      <c r="K33" s="30"/>
      <c r="L33" s="30"/>
      <c r="M33" s="30"/>
      <c r="N33" s="30"/>
      <c r="P33" s="17" t="n">
        <f aca="false">SUM(D33:O33)</f>
        <v>15387</v>
      </c>
      <c r="R33" s="0" t="n">
        <f aca="false">D33*(C33-D$3)</f>
        <v>1469.34999999999</v>
      </c>
      <c r="S33" s="0" t="n">
        <f aca="false">E33*($C33-E$3)</f>
        <v>-750</v>
      </c>
      <c r="T33" s="0" t="n">
        <f aca="false">F33*($C33-F$3)</f>
        <v>-700.000000000001</v>
      </c>
      <c r="U33" s="0" t="n">
        <f aca="false">G33*($C33-G$3)</f>
        <v>-649.999999999999</v>
      </c>
      <c r="V33" s="0" t="n">
        <f aca="false">H33*($C33-H$3)</f>
        <v>-35.0000000000001</v>
      </c>
      <c r="W33" s="0" t="n">
        <f aca="false">I33*($C33-I$3)</f>
        <v>0</v>
      </c>
      <c r="X33" s="0" t="n">
        <f aca="false">J33*($C33-J$3)</f>
        <v>0</v>
      </c>
      <c r="Y33" s="0" t="n">
        <f aca="false">K33*($C33-K$3)</f>
        <v>0</v>
      </c>
      <c r="Z33" s="0" t="n">
        <f aca="false">L33*($C33-L$3)</f>
        <v>0</v>
      </c>
      <c r="AA33" s="0" t="n">
        <f aca="false">M33*($C33-M$3)</f>
        <v>0</v>
      </c>
      <c r="AB33" s="0" t="n">
        <f aca="false">N33*($C33-N$3)</f>
        <v>0</v>
      </c>
      <c r="AF33" s="0" t="n">
        <f aca="false">SUM(R33:AB33)</f>
        <v>-665.650000000005</v>
      </c>
    </row>
    <row r="34" customFormat="false" ht="12.75" hidden="false" customHeight="false" outlineLevel="0" collapsed="false">
      <c r="A34" s="49" t="n">
        <v>36981</v>
      </c>
      <c r="B34" s="0" t="n">
        <f aca="false">B$2+B$3</f>
        <v>5.3</v>
      </c>
      <c r="C34" s="48" t="n">
        <f aca="false">GasDaily!F34</f>
        <v>0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P34" s="17" t="n">
        <f aca="false">SUM(D34:O34)</f>
        <v>0</v>
      </c>
      <c r="R34" s="0" t="n">
        <f aca="false">D34*(C34-D$3)</f>
        <v>-0</v>
      </c>
      <c r="S34" s="0" t="n">
        <f aca="false">E34*($C34-E$3)</f>
        <v>-0</v>
      </c>
      <c r="T34" s="0" t="n">
        <f aca="false">F34*($C34-F$3)</f>
        <v>-0</v>
      </c>
      <c r="U34" s="0" t="n">
        <f aca="false">G34*($C34-G$3)</f>
        <v>-0</v>
      </c>
      <c r="V34" s="0" t="n">
        <f aca="false">H34*($C34-H$3)</f>
        <v>-0</v>
      </c>
      <c r="W34" s="0" t="n">
        <f aca="false">I34*($C34-I$3)</f>
        <v>0</v>
      </c>
      <c r="X34" s="0" t="n">
        <f aca="false">J34*($C34-J$3)</f>
        <v>0</v>
      </c>
      <c r="Y34" s="0" t="n">
        <f aca="false">K34*($C34-K$3)</f>
        <v>0</v>
      </c>
      <c r="Z34" s="0" t="n">
        <f aca="false">L34*($C34-L$3)</f>
        <v>0</v>
      </c>
      <c r="AA34" s="0" t="n">
        <f aca="false">M34*($C34-M$3)</f>
        <v>0</v>
      </c>
      <c r="AB34" s="0" t="n">
        <f aca="false">N34*($C34-N$3)</f>
        <v>0</v>
      </c>
      <c r="AF34" s="0" t="n">
        <f aca="false">SUM(R34:AB34)</f>
        <v>0</v>
      </c>
    </row>
    <row r="35" customFormat="false" ht="12.75" hidden="false" customHeight="false" outlineLevel="0" collapsed="false">
      <c r="A35" s="51"/>
      <c r="C35" s="48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customFormat="false" ht="12.75" hidden="false" customHeight="false" outlineLevel="0" collapsed="false">
      <c r="P36" s="17" t="n">
        <f aca="false">SUM(P15:P34)</f>
        <v>292353</v>
      </c>
      <c r="AF36" s="52" t="n">
        <f aca="false">SUM(AF4:AF34)</f>
        <v>-27201.3900000002</v>
      </c>
    </row>
    <row r="37" customFormat="false" ht="12.75" hidden="false" customHeight="false" outlineLevel="0" collapsed="false">
      <c r="A37" s="0" t="n">
        <f aca="false">COUNT(A4:A33)</f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37"/>
  <sheetViews>
    <sheetView showFormulas="false" showGridLines="tru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13" min="13" style="44" width="13.14"/>
    <col collapsed="false" customWidth="true" hidden="false" outlineLevel="0" max="14" min="14" style="45" width="2.84"/>
    <col collapsed="false" customWidth="true" hidden="false" outlineLevel="0" max="25" min="25" style="45" width="2.7"/>
    <col collapsed="false" customWidth="true" hidden="false" outlineLevel="0" max="26" min="26" style="0" width="10.85"/>
  </cols>
  <sheetData>
    <row r="1" customFormat="false" ht="12.75" hidden="false" customHeight="false" outlineLevel="0" collapsed="false">
      <c r="B1" s="44" t="s">
        <v>523</v>
      </c>
    </row>
    <row r="2" customFormat="false" ht="12.75" hidden="false" customHeight="false" outlineLevel="0" collapsed="false">
      <c r="B2" s="46" t="n">
        <v>5.31</v>
      </c>
      <c r="C2" s="47"/>
      <c r="M2" s="44" t="s">
        <v>524</v>
      </c>
    </row>
    <row r="3" customFormat="false" ht="12.75" hidden="false" customHeight="false" outlineLevel="0" collapsed="false">
      <c r="B3" s="48"/>
      <c r="C3" s="0" t="s">
        <v>525</v>
      </c>
      <c r="D3" s="0" t="n">
        <v>3.77</v>
      </c>
      <c r="E3" s="0" t="n">
        <v>3.975</v>
      </c>
      <c r="F3" s="0" t="n">
        <v>3.52</v>
      </c>
      <c r="G3" s="0" t="n">
        <v>3.62</v>
      </c>
      <c r="Z3" s="0" t="s">
        <v>526</v>
      </c>
    </row>
    <row r="4" customFormat="false" ht="12.75" hidden="false" customHeight="false" outlineLevel="0" collapsed="false">
      <c r="A4" s="49" t="n">
        <v>36861</v>
      </c>
      <c r="B4" s="0" t="n">
        <f aca="false">B$2+B$3</f>
        <v>5.31</v>
      </c>
      <c r="C4" s="48" t="n">
        <f aca="false">GasDaily!V4</f>
        <v>3.63</v>
      </c>
      <c r="D4" s="30" t="n">
        <v>-20000</v>
      </c>
      <c r="E4" s="30"/>
      <c r="F4" s="30"/>
      <c r="G4" s="30"/>
      <c r="H4" s="30"/>
      <c r="I4" s="30"/>
      <c r="J4" s="30"/>
      <c r="K4" s="30"/>
      <c r="L4" s="30"/>
      <c r="M4" s="17" t="n">
        <f aca="false">SUM(D4:L4)</f>
        <v>-20000</v>
      </c>
      <c r="N4" s="50"/>
      <c r="O4" s="0" t="n">
        <f aca="false">D4*($C4-D$3)</f>
        <v>2800</v>
      </c>
      <c r="P4" s="0" t="n">
        <f aca="false">E4*($C4-E$3)</f>
        <v>-0</v>
      </c>
      <c r="Q4" s="0" t="n">
        <f aca="false">F4*($C4-F$3)</f>
        <v>0</v>
      </c>
      <c r="R4" s="0" t="n">
        <f aca="false">G4*($C4-G$3)</f>
        <v>0</v>
      </c>
      <c r="S4" s="0" t="n">
        <f aca="false">H4*($C4-H$3)</f>
        <v>0</v>
      </c>
      <c r="T4" s="0" t="n">
        <f aca="false">I4*($C4-I$3)</f>
        <v>0</v>
      </c>
      <c r="U4" s="0" t="n">
        <f aca="false">J4*($C4-J$3)</f>
        <v>0</v>
      </c>
      <c r="V4" s="0" t="n">
        <f aca="false">K4*($C4-K$3)</f>
        <v>0</v>
      </c>
      <c r="Z4" s="0" t="n">
        <f aca="false">SUM(O4:Y4)</f>
        <v>2800</v>
      </c>
    </row>
    <row r="5" customFormat="false" ht="12.75" hidden="false" customHeight="false" outlineLevel="0" collapsed="false">
      <c r="A5" s="49" t="n">
        <v>36862</v>
      </c>
      <c r="B5" s="0" t="n">
        <f aca="false">B$2+B$3</f>
        <v>5.31</v>
      </c>
      <c r="C5" s="48" t="n">
        <f aca="false">GasDaily!V5</f>
        <v>3.55</v>
      </c>
      <c r="D5" s="30" t="n">
        <v>-20000</v>
      </c>
      <c r="E5" s="30"/>
      <c r="F5" s="30"/>
      <c r="G5" s="30"/>
      <c r="H5" s="30"/>
      <c r="I5" s="30"/>
      <c r="J5" s="30"/>
      <c r="K5" s="30"/>
      <c r="L5" s="30"/>
      <c r="M5" s="17" t="n">
        <f aca="false">SUM(D5:L5)</f>
        <v>-20000</v>
      </c>
      <c r="N5" s="50"/>
      <c r="O5" s="0" t="n">
        <f aca="false">D5*($C5-D$3)</f>
        <v>4400</v>
      </c>
      <c r="P5" s="0" t="n">
        <f aca="false">E5*($C5-E$3)</f>
        <v>-0</v>
      </c>
      <c r="Q5" s="0" t="n">
        <f aca="false">F5*($C5-F$3)</f>
        <v>0</v>
      </c>
      <c r="R5" s="0" t="n">
        <f aca="false">G5*($C5-G$3)</f>
        <v>-0</v>
      </c>
      <c r="S5" s="0" t="n">
        <f aca="false">H5*($C5-H$3)</f>
        <v>0</v>
      </c>
      <c r="T5" s="0" t="n">
        <f aca="false">I5*($C5-I$3)</f>
        <v>0</v>
      </c>
      <c r="U5" s="0" t="n">
        <f aca="false">J5*($C5-J$3)</f>
        <v>0</v>
      </c>
      <c r="V5" s="0" t="n">
        <f aca="false">K5*($C5-K$3)</f>
        <v>0</v>
      </c>
      <c r="Z5" s="0" t="n">
        <f aca="false">SUM(O5:Y5)</f>
        <v>4400</v>
      </c>
    </row>
    <row r="6" customFormat="false" ht="12.75" hidden="false" customHeight="false" outlineLevel="0" collapsed="false">
      <c r="A6" s="49" t="n">
        <v>36863</v>
      </c>
      <c r="B6" s="0" t="n">
        <f aca="false">B$2+B$3</f>
        <v>5.31</v>
      </c>
      <c r="C6" s="48" t="n">
        <f aca="false">GasDaily!V6</f>
        <v>3.55</v>
      </c>
      <c r="D6" s="30" t="n">
        <v>-20000</v>
      </c>
      <c r="E6" s="30"/>
      <c r="F6" s="30"/>
      <c r="G6" s="30"/>
      <c r="H6" s="30"/>
      <c r="I6" s="30"/>
      <c r="J6" s="30"/>
      <c r="K6" s="30"/>
      <c r="L6" s="30"/>
      <c r="M6" s="17" t="n">
        <f aca="false">SUM(D6:L6)</f>
        <v>-20000</v>
      </c>
      <c r="N6" s="50"/>
      <c r="O6" s="0" t="n">
        <f aca="false">D6*($C6-D$3)</f>
        <v>4400</v>
      </c>
      <c r="P6" s="0" t="n">
        <f aca="false">E6*($C6-E$3)</f>
        <v>-0</v>
      </c>
      <c r="Q6" s="0" t="n">
        <f aca="false">F6*($C6-F$3)</f>
        <v>0</v>
      </c>
      <c r="R6" s="0" t="n">
        <f aca="false">G6*($C6-G$3)</f>
        <v>-0</v>
      </c>
      <c r="S6" s="0" t="n">
        <f aca="false">H6*($C6-H$3)</f>
        <v>0</v>
      </c>
      <c r="T6" s="0" t="n">
        <f aca="false">I6*($C6-I$3)</f>
        <v>0</v>
      </c>
      <c r="U6" s="0" t="n">
        <f aca="false">J6*($C6-J$3)</f>
        <v>0</v>
      </c>
      <c r="V6" s="0" t="n">
        <f aca="false">K6*($C6-K$3)</f>
        <v>0</v>
      </c>
      <c r="Z6" s="0" t="n">
        <f aca="false">SUM(O6:Y6)</f>
        <v>4400</v>
      </c>
    </row>
    <row r="7" customFormat="false" ht="12.75" hidden="false" customHeight="false" outlineLevel="0" collapsed="false">
      <c r="A7" s="49" t="n">
        <v>36864</v>
      </c>
      <c r="B7" s="0" t="n">
        <f aca="false">B$2+B$3</f>
        <v>5.31</v>
      </c>
      <c r="C7" s="48" t="n">
        <f aca="false">GasDaily!V7</f>
        <v>3.55</v>
      </c>
      <c r="D7" s="30" t="n">
        <v>-20000</v>
      </c>
      <c r="E7" s="30"/>
      <c r="F7" s="30"/>
      <c r="G7" s="30"/>
      <c r="H7" s="30"/>
      <c r="I7" s="30"/>
      <c r="J7" s="30"/>
      <c r="K7" s="30"/>
      <c r="L7" s="30"/>
      <c r="M7" s="17" t="n">
        <f aca="false">SUM(D7:L7)</f>
        <v>-20000</v>
      </c>
      <c r="N7" s="50"/>
      <c r="O7" s="0" t="n">
        <f aca="false">D7*($C7-D$3)</f>
        <v>4400</v>
      </c>
      <c r="P7" s="0" t="n">
        <f aca="false">E7*($C7-E$3)</f>
        <v>-0</v>
      </c>
      <c r="Q7" s="0" t="n">
        <f aca="false">F7*($C7-F$3)</f>
        <v>0</v>
      </c>
      <c r="R7" s="0" t="n">
        <f aca="false">G7*($C7-G$3)</f>
        <v>-0</v>
      </c>
      <c r="S7" s="0" t="n">
        <f aca="false">H7*($C7-H$3)</f>
        <v>0</v>
      </c>
      <c r="T7" s="0" t="n">
        <f aca="false">I7*($C7-I$3)</f>
        <v>0</v>
      </c>
      <c r="U7" s="0" t="n">
        <f aca="false">J7*($C7-J$3)</f>
        <v>0</v>
      </c>
      <c r="V7" s="0" t="n">
        <f aca="false">K7*($C7-K$3)</f>
        <v>0</v>
      </c>
      <c r="Z7" s="0" t="n">
        <f aca="false">SUM(O7:Y7)</f>
        <v>4400</v>
      </c>
    </row>
    <row r="8" customFormat="false" ht="12.75" hidden="false" customHeight="false" outlineLevel="0" collapsed="false">
      <c r="A8" s="49" t="n">
        <v>36865</v>
      </c>
      <c r="B8" s="0" t="n">
        <f aca="false">B$2+B$3</f>
        <v>5.31</v>
      </c>
      <c r="C8" s="48" t="n">
        <f aca="false">GasDaily!V8</f>
        <v>3.88</v>
      </c>
      <c r="D8" s="30" t="n">
        <v>-20000</v>
      </c>
      <c r="E8" s="30" t="n">
        <v>-10000</v>
      </c>
      <c r="F8" s="30"/>
      <c r="G8" s="30"/>
      <c r="H8" s="30"/>
      <c r="I8" s="30"/>
      <c r="J8" s="30"/>
      <c r="K8" s="30"/>
      <c r="L8" s="30"/>
      <c r="M8" s="17" t="n">
        <f aca="false">SUM(D8:L8)</f>
        <v>-30000</v>
      </c>
      <c r="N8" s="50"/>
      <c r="O8" s="0" t="n">
        <f aca="false">D8*($C8-D$3)</f>
        <v>-2200</v>
      </c>
      <c r="P8" s="0" t="n">
        <f aca="false">E8*($C8-E$3)</f>
        <v>950.000000000002</v>
      </c>
      <c r="Q8" s="0" t="n">
        <f aca="false">F8*($C8-F$3)</f>
        <v>0</v>
      </c>
      <c r="R8" s="0" t="n">
        <f aca="false">G8*($C8-G$3)</f>
        <v>0</v>
      </c>
      <c r="S8" s="0" t="n">
        <f aca="false">H8*($C8-H$3)</f>
        <v>0</v>
      </c>
      <c r="T8" s="0" t="n">
        <f aca="false">I8*($C8-I$3)</f>
        <v>0</v>
      </c>
      <c r="U8" s="0" t="n">
        <f aca="false">J8*($C8-J$3)</f>
        <v>0</v>
      </c>
      <c r="V8" s="0" t="n">
        <f aca="false">K8*($C8-K$3)</f>
        <v>0</v>
      </c>
      <c r="Z8" s="0" t="n">
        <f aca="false">SUM(O8:Y8)</f>
        <v>-1250</v>
      </c>
    </row>
    <row r="9" customFormat="false" ht="12.75" hidden="false" customHeight="false" outlineLevel="0" collapsed="false">
      <c r="A9" s="49" t="n">
        <v>36866</v>
      </c>
      <c r="B9" s="0" t="n">
        <f aca="false">B$2+B$3</f>
        <v>5.31</v>
      </c>
      <c r="C9" s="48" t="n">
        <f aca="false">GasDaily!V9</f>
        <v>3.99</v>
      </c>
      <c r="D9" s="30" t="n">
        <v>-20000</v>
      </c>
      <c r="E9" s="30" t="n">
        <v>-10000</v>
      </c>
      <c r="F9" s="30"/>
      <c r="G9" s="30"/>
      <c r="H9" s="30"/>
      <c r="I9" s="30"/>
      <c r="J9" s="30"/>
      <c r="K9" s="30"/>
      <c r="L9" s="30"/>
      <c r="M9" s="17" t="n">
        <f aca="false">SUM(D9:L9)</f>
        <v>-30000</v>
      </c>
      <c r="N9" s="50"/>
      <c r="O9" s="0" t="n">
        <f aca="false">D9*($C9-D$3)</f>
        <v>-4400</v>
      </c>
      <c r="P9" s="0" t="n">
        <f aca="false">E9*($C9-E$3)</f>
        <v>-150.000000000001</v>
      </c>
      <c r="Q9" s="0" t="n">
        <f aca="false">F9*($C9-F$3)</f>
        <v>0</v>
      </c>
      <c r="R9" s="0" t="n">
        <f aca="false">G9*($C9-G$3)</f>
        <v>0</v>
      </c>
      <c r="S9" s="0" t="n">
        <f aca="false">H9*($C9-H$3)</f>
        <v>0</v>
      </c>
      <c r="T9" s="0" t="n">
        <f aca="false">I9*($C9-I$3)</f>
        <v>0</v>
      </c>
      <c r="U9" s="0" t="n">
        <f aca="false">J9*($C9-J$3)</f>
        <v>0</v>
      </c>
      <c r="V9" s="0" t="n">
        <f aca="false">K9*($C9-K$3)</f>
        <v>0</v>
      </c>
      <c r="Z9" s="0" t="n">
        <f aca="false">SUM(O9:Y9)</f>
        <v>-4550.00000000001</v>
      </c>
    </row>
    <row r="10" customFormat="false" ht="12.75" hidden="false" customHeight="false" outlineLevel="0" collapsed="false">
      <c r="A10" s="49" t="n">
        <v>36867</v>
      </c>
      <c r="B10" s="0" t="n">
        <f aca="false">B$2+B$3</f>
        <v>5.31</v>
      </c>
      <c r="C10" s="48" t="n">
        <f aca="false">GasDaily!V10</f>
        <v>3.665</v>
      </c>
      <c r="D10" s="30" t="n">
        <v>-20000</v>
      </c>
      <c r="E10" s="30" t="n">
        <v>-10000</v>
      </c>
      <c r="F10" s="30"/>
      <c r="G10" s="30"/>
      <c r="H10" s="30"/>
      <c r="I10" s="30"/>
      <c r="J10" s="30"/>
      <c r="K10" s="30"/>
      <c r="L10" s="30"/>
      <c r="M10" s="17" t="n">
        <f aca="false">SUM(D10:L10)</f>
        <v>-30000</v>
      </c>
      <c r="N10" s="50"/>
      <c r="O10" s="0" t="n">
        <f aca="false">D10*($C10-D$3)</f>
        <v>2100</v>
      </c>
      <c r="P10" s="0" t="n">
        <f aca="false">E10*($C10-E$3)</f>
        <v>3100</v>
      </c>
      <c r="Q10" s="0" t="n">
        <f aca="false">F10*($C10-F$3)</f>
        <v>0</v>
      </c>
      <c r="R10" s="0" t="n">
        <f aca="false">G10*($C10-G$3)</f>
        <v>0</v>
      </c>
      <c r="S10" s="0" t="n">
        <f aca="false">H10*($C10-H$3)</f>
        <v>0</v>
      </c>
      <c r="T10" s="0" t="n">
        <f aca="false">I10*($C10-I$3)</f>
        <v>0</v>
      </c>
      <c r="U10" s="0" t="n">
        <f aca="false">J10*($C10-J$3)</f>
        <v>0</v>
      </c>
      <c r="V10" s="0" t="n">
        <f aca="false">K10*($C10-K$3)</f>
        <v>0</v>
      </c>
      <c r="Z10" s="0" t="n">
        <f aca="false">SUM(O10:Y10)</f>
        <v>5200</v>
      </c>
    </row>
    <row r="11" customFormat="false" ht="12.75" hidden="false" customHeight="false" outlineLevel="0" collapsed="false">
      <c r="A11" s="49" t="n">
        <v>36868</v>
      </c>
      <c r="B11" s="0" t="n">
        <f aca="false">B$2+B$3</f>
        <v>5.31</v>
      </c>
      <c r="C11" s="48" t="n">
        <f aca="false">GasDaily!V11</f>
        <v>3.525</v>
      </c>
      <c r="D11" s="30" t="n">
        <v>-20000</v>
      </c>
      <c r="E11" s="30" t="n">
        <v>-10000</v>
      </c>
      <c r="F11" s="30" t="n">
        <v>15000</v>
      </c>
      <c r="G11" s="30"/>
      <c r="H11" s="30"/>
      <c r="I11" s="30"/>
      <c r="J11" s="30"/>
      <c r="K11" s="30"/>
      <c r="L11" s="30"/>
      <c r="M11" s="17" t="n">
        <f aca="false">SUM(D11:L11)</f>
        <v>-15000</v>
      </c>
      <c r="N11" s="50"/>
      <c r="O11" s="0" t="n">
        <f aca="false">D11*($C11-D$3)</f>
        <v>4900</v>
      </c>
      <c r="P11" s="0" t="n">
        <f aca="false">E11*($C11-E$3)</f>
        <v>4500</v>
      </c>
      <c r="Q11" s="0" t="n">
        <f aca="false">F11*($C11-F$3)</f>
        <v>74.9999999999984</v>
      </c>
      <c r="R11" s="0" t="n">
        <f aca="false">G11*($C11-G$3)</f>
        <v>-0</v>
      </c>
      <c r="S11" s="0" t="n">
        <f aca="false">H11*($C11-H$3)</f>
        <v>0</v>
      </c>
      <c r="T11" s="0" t="n">
        <f aca="false">I11*($C11-I$3)</f>
        <v>0</v>
      </c>
      <c r="U11" s="0" t="n">
        <f aca="false">J11*($C11-J$3)</f>
        <v>0</v>
      </c>
      <c r="V11" s="0" t="n">
        <f aca="false">K11*($C11-K$3)</f>
        <v>0</v>
      </c>
      <c r="Z11" s="0" t="n">
        <f aca="false">SUM(O11:Y11)</f>
        <v>9475</v>
      </c>
    </row>
    <row r="12" customFormat="false" ht="12.75" hidden="false" customHeight="false" outlineLevel="0" collapsed="false">
      <c r="A12" s="49" t="n">
        <v>36869</v>
      </c>
      <c r="B12" s="0" t="n">
        <f aca="false">B$2+B$3</f>
        <v>5.31</v>
      </c>
      <c r="C12" s="48" t="n">
        <f aca="false">GasDaily!V12</f>
        <v>3.35</v>
      </c>
      <c r="D12" s="30" t="n">
        <v>-20000</v>
      </c>
      <c r="E12" s="30" t="n">
        <v>-10000</v>
      </c>
      <c r="F12" s="30" t="n">
        <v>15000</v>
      </c>
      <c r="G12" s="30"/>
      <c r="H12" s="30"/>
      <c r="I12" s="30"/>
      <c r="J12" s="30"/>
      <c r="K12" s="30"/>
      <c r="L12" s="30"/>
      <c r="M12" s="17" t="n">
        <f aca="false">SUM(D12:L12)</f>
        <v>-15000</v>
      </c>
      <c r="N12" s="50"/>
      <c r="O12" s="0" t="n">
        <f aca="false">D12*($C12-D$3)</f>
        <v>8400</v>
      </c>
      <c r="P12" s="0" t="n">
        <f aca="false">E12*($C12-E$3)</f>
        <v>6250</v>
      </c>
      <c r="Q12" s="0" t="n">
        <f aca="false">F12*($C12-F$3)</f>
        <v>-2550</v>
      </c>
      <c r="R12" s="0" t="n">
        <f aca="false">G12*($C12-G$3)</f>
        <v>-0</v>
      </c>
      <c r="S12" s="0" t="n">
        <f aca="false">H12*($C12-H$3)</f>
        <v>0</v>
      </c>
      <c r="T12" s="0" t="n">
        <f aca="false">I12*($C12-I$3)</f>
        <v>0</v>
      </c>
      <c r="U12" s="0" t="n">
        <f aca="false">J12*($C12-J$3)</f>
        <v>0</v>
      </c>
      <c r="V12" s="0" t="n">
        <f aca="false">K12*($C12-K$3)</f>
        <v>0</v>
      </c>
      <c r="Z12" s="0" t="n">
        <f aca="false">SUM(O12:Y12)</f>
        <v>12100</v>
      </c>
    </row>
    <row r="13" customFormat="false" ht="12.75" hidden="false" customHeight="false" outlineLevel="0" collapsed="false">
      <c r="A13" s="49" t="n">
        <v>36870</v>
      </c>
      <c r="B13" s="0" t="n">
        <f aca="false">B$2+B$3</f>
        <v>5.31</v>
      </c>
      <c r="C13" s="48" t="n">
        <f aca="false">GasDaily!V13</f>
        <v>3.35</v>
      </c>
      <c r="D13" s="30" t="n">
        <v>-20000</v>
      </c>
      <c r="E13" s="30" t="n">
        <v>-10000</v>
      </c>
      <c r="F13" s="30" t="n">
        <v>15000</v>
      </c>
      <c r="G13" s="30"/>
      <c r="H13" s="30"/>
      <c r="I13" s="30"/>
      <c r="J13" s="30"/>
      <c r="K13" s="30"/>
      <c r="L13" s="30"/>
      <c r="M13" s="17" t="n">
        <f aca="false">SUM(D13:L13)</f>
        <v>-15000</v>
      </c>
      <c r="N13" s="50"/>
      <c r="O13" s="0" t="n">
        <f aca="false">D13*($C13-D$3)</f>
        <v>8400</v>
      </c>
      <c r="P13" s="0" t="n">
        <f aca="false">E13*($C13-E$3)</f>
        <v>6250</v>
      </c>
      <c r="Q13" s="0" t="n">
        <f aca="false">F13*($C13-F$3)</f>
        <v>-2550</v>
      </c>
      <c r="R13" s="0" t="n">
        <f aca="false">G13*($C13-G$3)</f>
        <v>-0</v>
      </c>
      <c r="S13" s="0" t="n">
        <f aca="false">H13*($C13-H$3)</f>
        <v>0</v>
      </c>
      <c r="T13" s="0" t="n">
        <f aca="false">I13*($C13-I$3)</f>
        <v>0</v>
      </c>
      <c r="U13" s="0" t="n">
        <f aca="false">J13*($C13-J$3)</f>
        <v>0</v>
      </c>
      <c r="V13" s="0" t="n">
        <f aca="false">K13*($C13-K$3)</f>
        <v>0</v>
      </c>
      <c r="Z13" s="0" t="n">
        <f aca="false">SUM(O13:Y13)</f>
        <v>12100</v>
      </c>
    </row>
    <row r="14" customFormat="false" ht="12.75" hidden="false" customHeight="false" outlineLevel="0" collapsed="false">
      <c r="A14" s="49" t="n">
        <v>36871</v>
      </c>
      <c r="B14" s="0" t="n">
        <f aca="false">B$2+B$3</f>
        <v>5.31</v>
      </c>
      <c r="C14" s="48" t="n">
        <f aca="false">GasDaily!V14</f>
        <v>3.35</v>
      </c>
      <c r="D14" s="30" t="n">
        <v>-20000</v>
      </c>
      <c r="E14" s="30" t="n">
        <v>-10000</v>
      </c>
      <c r="F14" s="30" t="n">
        <v>15000</v>
      </c>
      <c r="G14" s="30" t="n">
        <v>10000</v>
      </c>
      <c r="H14" s="30"/>
      <c r="I14" s="30"/>
      <c r="J14" s="30"/>
      <c r="K14" s="30"/>
      <c r="L14" s="30"/>
      <c r="M14" s="17" t="n">
        <f aca="false">SUM(D14:L14)</f>
        <v>-5000</v>
      </c>
      <c r="N14" s="50"/>
      <c r="O14" s="0" t="n">
        <f aca="false">D14*($C14-D$3)</f>
        <v>8400</v>
      </c>
      <c r="P14" s="0" t="n">
        <f aca="false">E14*($C14-E$3)</f>
        <v>6250</v>
      </c>
      <c r="Q14" s="0" t="n">
        <f aca="false">F14*($C14-F$3)</f>
        <v>-2550</v>
      </c>
      <c r="R14" s="0" t="n">
        <f aca="false">G14*($C14-G$3)</f>
        <v>-2700</v>
      </c>
      <c r="S14" s="0" t="n">
        <f aca="false">H14*($C14-H$3)</f>
        <v>0</v>
      </c>
      <c r="T14" s="0" t="n">
        <f aca="false">I14*($C14-I$3)</f>
        <v>0</v>
      </c>
      <c r="U14" s="0" t="n">
        <f aca="false">J14*($C14-J$3)</f>
        <v>0</v>
      </c>
      <c r="V14" s="0" t="n">
        <f aca="false">K14*($C14-K$3)</f>
        <v>0</v>
      </c>
      <c r="Z14" s="0" t="n">
        <f aca="false">SUM(O14:Y14)</f>
        <v>9400</v>
      </c>
    </row>
    <row r="15" customFormat="false" ht="12.75" hidden="false" customHeight="false" outlineLevel="0" collapsed="false">
      <c r="A15" s="49" t="n">
        <v>36872</v>
      </c>
      <c r="B15" s="0" t="n">
        <f aca="false">B$2+B$3</f>
        <v>5.31</v>
      </c>
      <c r="C15" s="48" t="n">
        <f aca="false">GasDaily!V15</f>
        <v>3.655</v>
      </c>
      <c r="D15" s="30" t="n">
        <v>-20000</v>
      </c>
      <c r="E15" s="30" t="n">
        <v>-10000</v>
      </c>
      <c r="F15" s="30" t="n">
        <v>15000</v>
      </c>
      <c r="G15" s="30" t="n">
        <v>10000</v>
      </c>
      <c r="H15" s="30"/>
      <c r="I15" s="30"/>
      <c r="J15" s="30"/>
      <c r="K15" s="30"/>
      <c r="L15" s="30"/>
      <c r="M15" s="17" t="n">
        <f aca="false">SUM(D15:L15)</f>
        <v>-5000</v>
      </c>
      <c r="N15" s="50"/>
      <c r="O15" s="0" t="n">
        <f aca="false">D15*($C15-D$3)</f>
        <v>2300</v>
      </c>
      <c r="P15" s="0" t="n">
        <f aca="false">E15*($C15-E$3)</f>
        <v>3200</v>
      </c>
      <c r="Q15" s="0" t="n">
        <f aca="false">F15*($C15-F$3)</f>
        <v>2025</v>
      </c>
      <c r="R15" s="0" t="n">
        <f aca="false">G15*($C15-G$3)</f>
        <v>349.999999999997</v>
      </c>
      <c r="S15" s="0" t="n">
        <f aca="false">H15*($C15-H$3)</f>
        <v>0</v>
      </c>
      <c r="T15" s="0" t="n">
        <f aca="false">I15*($C15-I$3)</f>
        <v>0</v>
      </c>
      <c r="U15" s="0" t="n">
        <f aca="false">J15*($C15-J$3)</f>
        <v>0</v>
      </c>
      <c r="V15" s="0" t="n">
        <f aca="false">K15*($C15-K$3)</f>
        <v>0</v>
      </c>
      <c r="Z15" s="0" t="n">
        <f aca="false">SUM(O15:Y15)</f>
        <v>7875</v>
      </c>
    </row>
    <row r="16" customFormat="false" ht="12.75" hidden="false" customHeight="false" outlineLevel="0" collapsed="false">
      <c r="A16" s="49" t="n">
        <v>36873</v>
      </c>
      <c r="B16" s="0" t="n">
        <f aca="false">B$2+B$3</f>
        <v>5.31</v>
      </c>
      <c r="C16" s="48" t="n">
        <f aca="false">GasDaily!V16</f>
        <v>3.655</v>
      </c>
      <c r="D16" s="30" t="n">
        <v>-20000</v>
      </c>
      <c r="E16" s="30" t="n">
        <v>-10000</v>
      </c>
      <c r="F16" s="30" t="n">
        <v>15000</v>
      </c>
      <c r="G16" s="30" t="n">
        <v>10000</v>
      </c>
      <c r="H16" s="30"/>
      <c r="I16" s="30"/>
      <c r="J16" s="30"/>
      <c r="K16" s="30"/>
      <c r="L16" s="30"/>
      <c r="M16" s="17" t="n">
        <f aca="false">SUM(D16:L16)</f>
        <v>-5000</v>
      </c>
      <c r="N16" s="50"/>
      <c r="O16" s="0" t="n">
        <f aca="false">D16*($C16-D$3)</f>
        <v>2300</v>
      </c>
      <c r="P16" s="0" t="n">
        <f aca="false">E16*($C16-E$3)</f>
        <v>3200</v>
      </c>
      <c r="Q16" s="0" t="n">
        <f aca="false">F16*($C16-F$3)</f>
        <v>2025</v>
      </c>
      <c r="R16" s="0" t="n">
        <f aca="false">G16*($C16-G$3)</f>
        <v>349.999999999997</v>
      </c>
      <c r="S16" s="0" t="n">
        <f aca="false">H16*($C16-H$3)</f>
        <v>0</v>
      </c>
      <c r="T16" s="0" t="n">
        <f aca="false">I16*($C16-I$3)</f>
        <v>0</v>
      </c>
      <c r="U16" s="0" t="n">
        <f aca="false">J16*($C16-J$3)</f>
        <v>0</v>
      </c>
      <c r="V16" s="0" t="n">
        <f aca="false">K16*($C16-K$3)</f>
        <v>0</v>
      </c>
      <c r="Z16" s="0" t="n">
        <f aca="false">SUM(O16:Y16)</f>
        <v>7875</v>
      </c>
    </row>
    <row r="17" customFormat="false" ht="12.75" hidden="false" customHeight="false" outlineLevel="0" collapsed="false">
      <c r="A17" s="49" t="n">
        <v>36874</v>
      </c>
      <c r="B17" s="0" t="n">
        <f aca="false">B$2+B$3</f>
        <v>5.31</v>
      </c>
      <c r="C17" s="48" t="n">
        <f aca="false">GasDaily!V17</f>
        <v>3.655</v>
      </c>
      <c r="D17" s="30" t="n">
        <v>-20000</v>
      </c>
      <c r="E17" s="30" t="n">
        <v>-10000</v>
      </c>
      <c r="F17" s="30" t="n">
        <v>15000</v>
      </c>
      <c r="G17" s="30" t="n">
        <v>10000</v>
      </c>
      <c r="H17" s="30"/>
      <c r="I17" s="30"/>
      <c r="J17" s="30"/>
      <c r="K17" s="30"/>
      <c r="L17" s="30"/>
      <c r="M17" s="17" t="n">
        <f aca="false">SUM(D17:L17)</f>
        <v>-5000</v>
      </c>
      <c r="N17" s="50"/>
      <c r="O17" s="0" t="n">
        <f aca="false">D17*($C17-D$3)</f>
        <v>2300</v>
      </c>
      <c r="P17" s="0" t="n">
        <f aca="false">E17*($C17-E$3)</f>
        <v>3200</v>
      </c>
      <c r="Q17" s="0" t="n">
        <f aca="false">F17*($C17-F$3)</f>
        <v>2025</v>
      </c>
      <c r="R17" s="0" t="n">
        <f aca="false">G17*($C17-G$3)</f>
        <v>349.999999999997</v>
      </c>
      <c r="S17" s="0" t="n">
        <f aca="false">H17*($C17-H$3)</f>
        <v>0</v>
      </c>
      <c r="T17" s="0" t="n">
        <f aca="false">I17*($C17-I$3)</f>
        <v>0</v>
      </c>
      <c r="U17" s="0" t="n">
        <f aca="false">J17*($C17-J$3)</f>
        <v>0</v>
      </c>
      <c r="V17" s="0" t="n">
        <f aca="false">K17*($C17-K$3)</f>
        <v>0</v>
      </c>
      <c r="Z17" s="0" t="n">
        <f aca="false">SUM(O17:Y17)</f>
        <v>7875</v>
      </c>
    </row>
    <row r="18" customFormat="false" ht="12.75" hidden="false" customHeight="false" outlineLevel="0" collapsed="false">
      <c r="A18" s="49" t="n">
        <v>36875</v>
      </c>
      <c r="B18" s="0" t="n">
        <f aca="false">B$2+B$3</f>
        <v>5.31</v>
      </c>
      <c r="C18" s="48" t="n">
        <f aca="false">GasDaily!V18</f>
        <v>3.655</v>
      </c>
      <c r="D18" s="30" t="n">
        <v>-20000</v>
      </c>
      <c r="E18" s="30" t="n">
        <v>-10000</v>
      </c>
      <c r="F18" s="30" t="n">
        <v>15000</v>
      </c>
      <c r="G18" s="30" t="n">
        <v>10000</v>
      </c>
      <c r="H18" s="30"/>
      <c r="I18" s="30"/>
      <c r="J18" s="30"/>
      <c r="K18" s="30"/>
      <c r="L18" s="30"/>
      <c r="M18" s="17" t="n">
        <f aca="false">SUM(D18:L18)</f>
        <v>-5000</v>
      </c>
      <c r="N18" s="50"/>
      <c r="O18" s="0" t="n">
        <f aca="false">D18*($C18-D$3)</f>
        <v>2300</v>
      </c>
      <c r="P18" s="0" t="n">
        <f aca="false">E18*($C18-E$3)</f>
        <v>3200</v>
      </c>
      <c r="Q18" s="0" t="n">
        <f aca="false">F18*($C18-F$3)</f>
        <v>2025</v>
      </c>
      <c r="R18" s="0" t="n">
        <f aca="false">G18*($C18-G$3)</f>
        <v>349.999999999997</v>
      </c>
      <c r="S18" s="0" t="n">
        <f aca="false">H18*($C18-H$3)</f>
        <v>0</v>
      </c>
      <c r="T18" s="0" t="n">
        <f aca="false">I18*($C18-I$3)</f>
        <v>0</v>
      </c>
      <c r="U18" s="0" t="n">
        <f aca="false">J18*($C18-J$3)</f>
        <v>0</v>
      </c>
      <c r="V18" s="0" t="n">
        <f aca="false">K18*($C18-K$3)</f>
        <v>0</v>
      </c>
      <c r="Z18" s="0" t="n">
        <f aca="false">SUM(O18:Y18)</f>
        <v>7875</v>
      </c>
    </row>
    <row r="19" customFormat="false" ht="12.75" hidden="false" customHeight="false" outlineLevel="0" collapsed="false">
      <c r="A19" s="49" t="n">
        <v>36876</v>
      </c>
      <c r="B19" s="0" t="n">
        <f aca="false">B$2+B$3</f>
        <v>5.31</v>
      </c>
      <c r="C19" s="48" t="n">
        <f aca="false">GasDaily!V19</f>
        <v>3.655</v>
      </c>
      <c r="D19" s="30" t="n">
        <v>-20000</v>
      </c>
      <c r="E19" s="30" t="n">
        <v>-10000</v>
      </c>
      <c r="F19" s="30" t="n">
        <v>15000</v>
      </c>
      <c r="G19" s="30" t="n">
        <v>10000</v>
      </c>
      <c r="H19" s="30"/>
      <c r="I19" s="30"/>
      <c r="J19" s="30"/>
      <c r="K19" s="30"/>
      <c r="L19" s="30"/>
      <c r="M19" s="17" t="n">
        <f aca="false">SUM(D19:L19)</f>
        <v>-5000</v>
      </c>
      <c r="N19" s="50"/>
      <c r="O19" s="0" t="n">
        <f aca="false">D19*($C19-D$3)</f>
        <v>2300</v>
      </c>
      <c r="P19" s="0" t="n">
        <f aca="false">E19*($C19-E$3)</f>
        <v>3200</v>
      </c>
      <c r="Q19" s="0" t="n">
        <f aca="false">F19*($C19-F$3)</f>
        <v>2025</v>
      </c>
      <c r="R19" s="0" t="n">
        <f aca="false">G19*($C19-G$3)</f>
        <v>349.999999999997</v>
      </c>
      <c r="S19" s="0" t="n">
        <f aca="false">H19*($C19-H$3)</f>
        <v>0</v>
      </c>
      <c r="T19" s="0" t="n">
        <f aca="false">I19*($C19-I$3)</f>
        <v>0</v>
      </c>
      <c r="U19" s="0" t="n">
        <f aca="false">J19*($C19-J$3)</f>
        <v>0</v>
      </c>
      <c r="V19" s="0" t="n">
        <f aca="false">K19*($C19-K$3)</f>
        <v>0</v>
      </c>
      <c r="Z19" s="0" t="n">
        <f aca="false">SUM(O19:Y19)</f>
        <v>7875</v>
      </c>
    </row>
    <row r="20" customFormat="false" ht="12.75" hidden="false" customHeight="false" outlineLevel="0" collapsed="false">
      <c r="A20" s="49" t="n">
        <v>36877</v>
      </c>
      <c r="B20" s="0" t="n">
        <f aca="false">B$2+B$3</f>
        <v>5.31</v>
      </c>
      <c r="C20" s="48" t="n">
        <f aca="false">GasDaily!V20</f>
        <v>3.655</v>
      </c>
      <c r="D20" s="30" t="n">
        <v>-20000</v>
      </c>
      <c r="E20" s="30" t="n">
        <v>-10000</v>
      </c>
      <c r="F20" s="30" t="n">
        <v>15000</v>
      </c>
      <c r="G20" s="30" t="n">
        <v>10000</v>
      </c>
      <c r="H20" s="30"/>
      <c r="I20" s="30"/>
      <c r="J20" s="30"/>
      <c r="K20" s="30"/>
      <c r="L20" s="30"/>
      <c r="M20" s="17" t="n">
        <f aca="false">SUM(D20:L20)</f>
        <v>-5000</v>
      </c>
      <c r="N20" s="50"/>
      <c r="O20" s="0" t="n">
        <f aca="false">D20*($C20-D$3)</f>
        <v>2300</v>
      </c>
      <c r="P20" s="0" t="n">
        <f aca="false">E20*($C20-E$3)</f>
        <v>3200</v>
      </c>
      <c r="Q20" s="0" t="n">
        <f aca="false">F20*($C20-F$3)</f>
        <v>2025</v>
      </c>
      <c r="R20" s="0" t="n">
        <f aca="false">G20*($C20-G$3)</f>
        <v>349.999999999997</v>
      </c>
      <c r="S20" s="0" t="n">
        <f aca="false">H20*($C20-H$3)</f>
        <v>0</v>
      </c>
      <c r="T20" s="0" t="n">
        <f aca="false">I20*($C20-I$3)</f>
        <v>0</v>
      </c>
      <c r="U20" s="0" t="n">
        <f aca="false">J20*($C20-J$3)</f>
        <v>0</v>
      </c>
      <c r="V20" s="0" t="n">
        <f aca="false">K20*($C20-K$3)</f>
        <v>0</v>
      </c>
      <c r="Z20" s="0" t="n">
        <f aca="false">SUM(O20:Y20)</f>
        <v>7875</v>
      </c>
    </row>
    <row r="21" customFormat="false" ht="12.75" hidden="false" customHeight="false" outlineLevel="0" collapsed="false">
      <c r="A21" s="49" t="n">
        <v>36878</v>
      </c>
      <c r="B21" s="0" t="n">
        <f aca="false">B$2+B$3</f>
        <v>5.31</v>
      </c>
      <c r="C21" s="48" t="n">
        <f aca="false">GasDaily!V21</f>
        <v>3.655</v>
      </c>
      <c r="D21" s="30" t="n">
        <v>-20000</v>
      </c>
      <c r="E21" s="30" t="n">
        <v>-10000</v>
      </c>
      <c r="F21" s="30" t="n">
        <v>15000</v>
      </c>
      <c r="G21" s="30" t="n">
        <v>10000</v>
      </c>
      <c r="H21" s="30"/>
      <c r="I21" s="30"/>
      <c r="J21" s="30"/>
      <c r="K21" s="30"/>
      <c r="L21" s="30"/>
      <c r="M21" s="17" t="n">
        <f aca="false">SUM(D21:L21)</f>
        <v>-5000</v>
      </c>
      <c r="N21" s="50"/>
      <c r="O21" s="0" t="n">
        <f aca="false">D21*($C21-D$3)</f>
        <v>2300</v>
      </c>
      <c r="P21" s="0" t="n">
        <f aca="false">E21*($C21-E$3)</f>
        <v>3200</v>
      </c>
      <c r="Q21" s="0" t="n">
        <f aca="false">F21*($C21-F$3)</f>
        <v>2025</v>
      </c>
      <c r="R21" s="0" t="n">
        <f aca="false">G21*($C21-G$3)</f>
        <v>349.999999999997</v>
      </c>
      <c r="S21" s="0" t="n">
        <f aca="false">H21*($C21-H$3)</f>
        <v>0</v>
      </c>
      <c r="T21" s="0" t="n">
        <f aca="false">I21*($C21-I$3)</f>
        <v>0</v>
      </c>
      <c r="U21" s="0" t="n">
        <f aca="false">J21*($C21-J$3)</f>
        <v>0</v>
      </c>
      <c r="V21" s="0" t="n">
        <f aca="false">K21*($C21-K$3)</f>
        <v>0</v>
      </c>
      <c r="Z21" s="0" t="n">
        <f aca="false">SUM(O21:Y21)</f>
        <v>7875</v>
      </c>
    </row>
    <row r="22" customFormat="false" ht="12.75" hidden="false" customHeight="false" outlineLevel="0" collapsed="false">
      <c r="A22" s="49" t="n">
        <v>36879</v>
      </c>
      <c r="B22" s="0" t="n">
        <f aca="false">B$2+B$3</f>
        <v>5.31</v>
      </c>
      <c r="C22" s="48" t="n">
        <f aca="false">GasDaily!V22</f>
        <v>3.655</v>
      </c>
      <c r="D22" s="30" t="n">
        <v>-20000</v>
      </c>
      <c r="E22" s="30" t="n">
        <v>-10000</v>
      </c>
      <c r="F22" s="30" t="n">
        <v>15000</v>
      </c>
      <c r="G22" s="30" t="n">
        <v>10000</v>
      </c>
      <c r="H22" s="30"/>
      <c r="I22" s="30"/>
      <c r="J22" s="30"/>
      <c r="K22" s="30"/>
      <c r="L22" s="30"/>
      <c r="M22" s="17" t="n">
        <f aca="false">SUM(D22:L22)</f>
        <v>-5000</v>
      </c>
      <c r="N22" s="50"/>
      <c r="O22" s="0" t="n">
        <f aca="false">D22*($C22-D$3)</f>
        <v>2300</v>
      </c>
      <c r="P22" s="0" t="n">
        <f aca="false">E22*($C22-E$3)</f>
        <v>3200</v>
      </c>
      <c r="Q22" s="0" t="n">
        <f aca="false">F22*($C22-F$3)</f>
        <v>2025</v>
      </c>
      <c r="R22" s="0" t="n">
        <f aca="false">G22*($C22-G$3)</f>
        <v>349.999999999997</v>
      </c>
      <c r="S22" s="0" t="n">
        <f aca="false">H22*($C22-H$3)</f>
        <v>0</v>
      </c>
      <c r="T22" s="0" t="n">
        <f aca="false">I22*($C22-I$3)</f>
        <v>0</v>
      </c>
      <c r="U22" s="0" t="n">
        <f aca="false">J22*($C22-J$3)</f>
        <v>0</v>
      </c>
      <c r="V22" s="0" t="n">
        <f aca="false">K22*($C22-K$3)</f>
        <v>0</v>
      </c>
      <c r="Z22" s="0" t="n">
        <f aca="false">SUM(O22:Y22)</f>
        <v>7875</v>
      </c>
    </row>
    <row r="23" customFormat="false" ht="12.75" hidden="false" customHeight="false" outlineLevel="0" collapsed="false">
      <c r="A23" s="49" t="n">
        <v>36880</v>
      </c>
      <c r="B23" s="0" t="n">
        <f aca="false">B$2+B$3</f>
        <v>5.31</v>
      </c>
      <c r="C23" s="48" t="n">
        <f aca="false">GasDaily!V23</f>
        <v>3.655</v>
      </c>
      <c r="D23" s="30" t="n">
        <v>-20000</v>
      </c>
      <c r="E23" s="30" t="n">
        <v>-10000</v>
      </c>
      <c r="F23" s="30" t="n">
        <v>15000</v>
      </c>
      <c r="G23" s="30" t="n">
        <v>10000</v>
      </c>
      <c r="H23" s="30"/>
      <c r="I23" s="30"/>
      <c r="J23" s="30"/>
      <c r="K23" s="30"/>
      <c r="L23" s="30"/>
      <c r="M23" s="17" t="n">
        <f aca="false">SUM(D23:L23)</f>
        <v>-5000</v>
      </c>
      <c r="N23" s="50"/>
      <c r="O23" s="0" t="n">
        <f aca="false">D23*($C23-D$3)</f>
        <v>2300</v>
      </c>
      <c r="P23" s="0" t="n">
        <f aca="false">E23*($C23-E$3)</f>
        <v>3200</v>
      </c>
      <c r="Q23" s="0" t="n">
        <f aca="false">F23*($C23-F$3)</f>
        <v>2025</v>
      </c>
      <c r="R23" s="0" t="n">
        <f aca="false">G23*($C23-G$3)</f>
        <v>349.999999999997</v>
      </c>
      <c r="S23" s="0" t="n">
        <f aca="false">H23*($C23-H$3)</f>
        <v>0</v>
      </c>
      <c r="T23" s="0" t="n">
        <f aca="false">I23*($C23-I$3)</f>
        <v>0</v>
      </c>
      <c r="U23" s="0" t="n">
        <f aca="false">J23*($C23-J$3)</f>
        <v>0</v>
      </c>
      <c r="V23" s="0" t="n">
        <f aca="false">K23*($C23-K$3)</f>
        <v>0</v>
      </c>
      <c r="Z23" s="0" t="n">
        <f aca="false">SUM(O23:Y23)</f>
        <v>7875</v>
      </c>
    </row>
    <row r="24" customFormat="false" ht="12.75" hidden="false" customHeight="false" outlineLevel="0" collapsed="false">
      <c r="A24" s="49" t="n">
        <v>36881</v>
      </c>
      <c r="B24" s="0" t="n">
        <f aca="false">B$2+B$3</f>
        <v>5.31</v>
      </c>
      <c r="C24" s="48" t="n">
        <f aca="false">GasDaily!V24</f>
        <v>3.655</v>
      </c>
      <c r="D24" s="30" t="n">
        <v>-20000</v>
      </c>
      <c r="E24" s="30" t="n">
        <v>-10000</v>
      </c>
      <c r="F24" s="30" t="n">
        <v>15000</v>
      </c>
      <c r="G24" s="30" t="n">
        <v>10000</v>
      </c>
      <c r="H24" s="30"/>
      <c r="I24" s="30"/>
      <c r="J24" s="30"/>
      <c r="K24" s="30"/>
      <c r="L24" s="30"/>
      <c r="M24" s="17" t="n">
        <f aca="false">SUM(D24:L24)</f>
        <v>-5000</v>
      </c>
      <c r="N24" s="50"/>
      <c r="O24" s="0" t="n">
        <f aca="false">D24*($C24-D$3)</f>
        <v>2300</v>
      </c>
      <c r="P24" s="0" t="n">
        <f aca="false">E24*($C24-E$3)</f>
        <v>3200</v>
      </c>
      <c r="Q24" s="0" t="n">
        <f aca="false">F24*($C24-F$3)</f>
        <v>2025</v>
      </c>
      <c r="R24" s="0" t="n">
        <f aca="false">G24*($C24-G$3)</f>
        <v>349.999999999997</v>
      </c>
      <c r="S24" s="0" t="n">
        <f aca="false">H24*($C24-H$3)</f>
        <v>0</v>
      </c>
      <c r="T24" s="0" t="n">
        <f aca="false">I24*($C24-I$3)</f>
        <v>0</v>
      </c>
      <c r="U24" s="0" t="n">
        <f aca="false">J24*($C24-J$3)</f>
        <v>0</v>
      </c>
      <c r="V24" s="0" t="n">
        <f aca="false">K24*($C24-K$3)</f>
        <v>0</v>
      </c>
      <c r="Z24" s="0" t="n">
        <f aca="false">SUM(O24:Y24)</f>
        <v>7875</v>
      </c>
    </row>
    <row r="25" customFormat="false" ht="12.75" hidden="false" customHeight="false" outlineLevel="0" collapsed="false">
      <c r="A25" s="49" t="n">
        <v>36882</v>
      </c>
      <c r="B25" s="0" t="n">
        <f aca="false">B$2+B$3</f>
        <v>5.31</v>
      </c>
      <c r="C25" s="48" t="n">
        <f aca="false">GasDaily!V25</f>
        <v>3.655</v>
      </c>
      <c r="D25" s="30" t="n">
        <v>-20000</v>
      </c>
      <c r="E25" s="30" t="n">
        <v>-10000</v>
      </c>
      <c r="F25" s="30" t="n">
        <v>15000</v>
      </c>
      <c r="G25" s="30" t="n">
        <v>10000</v>
      </c>
      <c r="H25" s="30"/>
      <c r="I25" s="30"/>
      <c r="J25" s="30"/>
      <c r="K25" s="30"/>
      <c r="L25" s="30"/>
      <c r="M25" s="17" t="n">
        <f aca="false">SUM(D25:L25)</f>
        <v>-5000</v>
      </c>
      <c r="N25" s="50"/>
      <c r="O25" s="0" t="n">
        <f aca="false">D25*($C25-D$3)</f>
        <v>2300</v>
      </c>
      <c r="P25" s="0" t="n">
        <f aca="false">E25*($C25-E$3)</f>
        <v>3200</v>
      </c>
      <c r="Q25" s="0" t="n">
        <f aca="false">F25*($C25-F$3)</f>
        <v>2025</v>
      </c>
      <c r="R25" s="0" t="n">
        <f aca="false">G25*($C25-G$3)</f>
        <v>349.999999999997</v>
      </c>
      <c r="S25" s="0" t="n">
        <f aca="false">H25*($C25-H$3)</f>
        <v>0</v>
      </c>
      <c r="T25" s="0" t="n">
        <f aca="false">I25*($C25-I$3)</f>
        <v>0</v>
      </c>
      <c r="U25" s="0" t="n">
        <f aca="false">J25*($C25-J$3)</f>
        <v>0</v>
      </c>
      <c r="V25" s="0" t="n">
        <f aca="false">K25*($C25-K$3)</f>
        <v>0</v>
      </c>
      <c r="Z25" s="0" t="n">
        <f aca="false">SUM(O25:Y25)</f>
        <v>7875</v>
      </c>
    </row>
    <row r="26" customFormat="false" ht="12.75" hidden="false" customHeight="false" outlineLevel="0" collapsed="false">
      <c r="A26" s="49" t="n">
        <v>36883</v>
      </c>
      <c r="B26" s="0" t="n">
        <f aca="false">B$2+B$3</f>
        <v>5.31</v>
      </c>
      <c r="C26" s="48" t="n">
        <f aca="false">GasDaily!V26</f>
        <v>3.655</v>
      </c>
      <c r="D26" s="30" t="n">
        <v>-20000</v>
      </c>
      <c r="E26" s="30" t="n">
        <v>-10000</v>
      </c>
      <c r="F26" s="30" t="n">
        <v>15000</v>
      </c>
      <c r="G26" s="30" t="n">
        <v>10000</v>
      </c>
      <c r="H26" s="30"/>
      <c r="I26" s="30"/>
      <c r="J26" s="30"/>
      <c r="K26" s="30"/>
      <c r="L26" s="30"/>
      <c r="M26" s="17" t="n">
        <f aca="false">SUM(D26:L26)</f>
        <v>-5000</v>
      </c>
      <c r="N26" s="50"/>
      <c r="O26" s="0" t="n">
        <f aca="false">D26*($C26-D$3)</f>
        <v>2300</v>
      </c>
      <c r="P26" s="0" t="n">
        <f aca="false">E26*($C26-E$3)</f>
        <v>3200</v>
      </c>
      <c r="Q26" s="0" t="n">
        <f aca="false">F26*($C26-F$3)</f>
        <v>2025</v>
      </c>
      <c r="R26" s="0" t="n">
        <f aca="false">G26*($C26-G$3)</f>
        <v>349.999999999997</v>
      </c>
      <c r="S26" s="0" t="n">
        <f aca="false">H26*($C26-H$3)</f>
        <v>0</v>
      </c>
      <c r="T26" s="0" t="n">
        <f aca="false">I26*($C26-I$3)</f>
        <v>0</v>
      </c>
      <c r="U26" s="0" t="n">
        <f aca="false">J26*($C26-J$3)</f>
        <v>0</v>
      </c>
      <c r="V26" s="0" t="n">
        <f aca="false">K26*($C26-K$3)</f>
        <v>0</v>
      </c>
      <c r="Z26" s="0" t="n">
        <f aca="false">SUM(O26:Y26)</f>
        <v>7875</v>
      </c>
    </row>
    <row r="27" customFormat="false" ht="12.75" hidden="false" customHeight="false" outlineLevel="0" collapsed="false">
      <c r="A27" s="49" t="n">
        <v>36884</v>
      </c>
      <c r="B27" s="0" t="n">
        <f aca="false">B$2+B$3</f>
        <v>5.31</v>
      </c>
      <c r="C27" s="48" t="n">
        <f aca="false">GasDaily!V27</f>
        <v>3.655</v>
      </c>
      <c r="D27" s="30" t="n">
        <v>-20000</v>
      </c>
      <c r="E27" s="30" t="n">
        <v>-10000</v>
      </c>
      <c r="F27" s="30" t="n">
        <v>15000</v>
      </c>
      <c r="G27" s="30" t="n">
        <v>10000</v>
      </c>
      <c r="H27" s="30"/>
      <c r="I27" s="30"/>
      <c r="J27" s="30"/>
      <c r="K27" s="30"/>
      <c r="L27" s="30"/>
      <c r="M27" s="17" t="n">
        <f aca="false">SUM(D27:L27)</f>
        <v>-5000</v>
      </c>
      <c r="N27" s="50"/>
      <c r="O27" s="0" t="n">
        <f aca="false">D27*($C27-D$3)</f>
        <v>2300</v>
      </c>
      <c r="P27" s="0" t="n">
        <f aca="false">E27*($C27-E$3)</f>
        <v>3200</v>
      </c>
      <c r="Q27" s="0" t="n">
        <f aca="false">F27*($C27-F$3)</f>
        <v>2025</v>
      </c>
      <c r="R27" s="0" t="n">
        <f aca="false">G27*($C27-G$3)</f>
        <v>349.999999999997</v>
      </c>
      <c r="S27" s="0" t="n">
        <f aca="false">H27*($C27-H$3)</f>
        <v>0</v>
      </c>
      <c r="T27" s="0" t="n">
        <f aca="false">I27*($C27-I$3)</f>
        <v>0</v>
      </c>
      <c r="U27" s="0" t="n">
        <f aca="false">J27*($C27-J$3)</f>
        <v>0</v>
      </c>
      <c r="V27" s="0" t="n">
        <f aca="false">K27*($C27-K$3)</f>
        <v>0</v>
      </c>
      <c r="Z27" s="0" t="n">
        <f aca="false">SUM(O27:Y27)</f>
        <v>7875</v>
      </c>
    </row>
    <row r="28" customFormat="false" ht="12.75" hidden="false" customHeight="false" outlineLevel="0" collapsed="false">
      <c r="A28" s="49" t="n">
        <v>36885</v>
      </c>
      <c r="B28" s="0" t="n">
        <f aca="false">B$2+B$3</f>
        <v>5.31</v>
      </c>
      <c r="C28" s="48" t="n">
        <f aca="false">GasDaily!V28</f>
        <v>3.655</v>
      </c>
      <c r="D28" s="30" t="n">
        <v>-20000</v>
      </c>
      <c r="E28" s="30" t="n">
        <v>-10000</v>
      </c>
      <c r="F28" s="30" t="n">
        <v>15000</v>
      </c>
      <c r="G28" s="30" t="n">
        <v>10000</v>
      </c>
      <c r="H28" s="30"/>
      <c r="I28" s="30"/>
      <c r="J28" s="30"/>
      <c r="K28" s="30"/>
      <c r="L28" s="30"/>
      <c r="M28" s="17" t="n">
        <f aca="false">SUM(D28:L28)</f>
        <v>-5000</v>
      </c>
      <c r="N28" s="50"/>
      <c r="O28" s="0" t="n">
        <f aca="false">D28*($C28-D$3)</f>
        <v>2300</v>
      </c>
      <c r="P28" s="0" t="n">
        <f aca="false">E28*($C28-E$3)</f>
        <v>3200</v>
      </c>
      <c r="Q28" s="0" t="n">
        <f aca="false">F28*($C28-F$3)</f>
        <v>2025</v>
      </c>
      <c r="R28" s="0" t="n">
        <f aca="false">G28*($C28-G$3)</f>
        <v>349.999999999997</v>
      </c>
      <c r="S28" s="0" t="n">
        <f aca="false">H28*($C28-H$3)</f>
        <v>0</v>
      </c>
      <c r="T28" s="0" t="n">
        <f aca="false">I28*($C28-I$3)</f>
        <v>0</v>
      </c>
      <c r="U28" s="0" t="n">
        <f aca="false">J28*($C28-J$3)</f>
        <v>0</v>
      </c>
      <c r="V28" s="0" t="n">
        <f aca="false">K28*($C28-K$3)</f>
        <v>0</v>
      </c>
      <c r="Z28" s="0" t="n">
        <f aca="false">SUM(O28:Y28)</f>
        <v>7875</v>
      </c>
    </row>
    <row r="29" customFormat="false" ht="12.75" hidden="false" customHeight="false" outlineLevel="0" collapsed="false">
      <c r="A29" s="49" t="n">
        <v>36886</v>
      </c>
      <c r="B29" s="0" t="n">
        <f aca="false">B$2+B$3</f>
        <v>5.31</v>
      </c>
      <c r="C29" s="48" t="n">
        <f aca="false">GasDaily!V29</f>
        <v>3.655</v>
      </c>
      <c r="D29" s="30" t="n">
        <v>-20000</v>
      </c>
      <c r="E29" s="30" t="n">
        <v>-10000</v>
      </c>
      <c r="F29" s="30" t="n">
        <v>15000</v>
      </c>
      <c r="G29" s="30" t="n">
        <v>10000</v>
      </c>
      <c r="H29" s="30"/>
      <c r="I29" s="30"/>
      <c r="J29" s="30"/>
      <c r="K29" s="30"/>
      <c r="L29" s="30"/>
      <c r="M29" s="17" t="n">
        <f aca="false">SUM(D29:L29)</f>
        <v>-5000</v>
      </c>
      <c r="N29" s="50"/>
      <c r="O29" s="0" t="n">
        <f aca="false">D29*($C29-D$3)</f>
        <v>2300</v>
      </c>
      <c r="P29" s="0" t="n">
        <f aca="false">E29*($C29-E$3)</f>
        <v>3200</v>
      </c>
      <c r="Q29" s="0" t="n">
        <f aca="false">F29*($C29-F$3)</f>
        <v>2025</v>
      </c>
      <c r="R29" s="0" t="n">
        <f aca="false">G29*($C29-G$3)</f>
        <v>349.999999999997</v>
      </c>
      <c r="S29" s="0" t="n">
        <f aca="false">H29*($C29-H$3)</f>
        <v>0</v>
      </c>
      <c r="T29" s="0" t="n">
        <f aca="false">I29*($C29-I$3)</f>
        <v>0</v>
      </c>
      <c r="U29" s="0" t="n">
        <f aca="false">J29*($C29-J$3)</f>
        <v>0</v>
      </c>
      <c r="V29" s="0" t="n">
        <f aca="false">K29*($C29-K$3)</f>
        <v>0</v>
      </c>
      <c r="Z29" s="0" t="n">
        <f aca="false">SUM(O29:Y29)</f>
        <v>7875</v>
      </c>
    </row>
    <row r="30" customFormat="false" ht="12.75" hidden="false" customHeight="false" outlineLevel="0" collapsed="false">
      <c r="A30" s="49" t="n">
        <v>36887</v>
      </c>
      <c r="B30" s="0" t="n">
        <f aca="false">B$2+B$3</f>
        <v>5.31</v>
      </c>
      <c r="C30" s="48" t="n">
        <f aca="false">GasDaily!V30</f>
        <v>3.655</v>
      </c>
      <c r="D30" s="30" t="n">
        <v>-20000</v>
      </c>
      <c r="E30" s="30" t="n">
        <v>-10000</v>
      </c>
      <c r="F30" s="30" t="n">
        <v>15000</v>
      </c>
      <c r="G30" s="30" t="n">
        <v>10000</v>
      </c>
      <c r="H30" s="30"/>
      <c r="I30" s="30"/>
      <c r="J30" s="30"/>
      <c r="K30" s="30"/>
      <c r="L30" s="30"/>
      <c r="M30" s="17" t="n">
        <f aca="false">SUM(D30:L30)</f>
        <v>-5000</v>
      </c>
      <c r="N30" s="50"/>
      <c r="O30" s="0" t="n">
        <f aca="false">D30*($C30-D$3)</f>
        <v>2300</v>
      </c>
      <c r="P30" s="0" t="n">
        <f aca="false">E30*($C30-E$3)</f>
        <v>3200</v>
      </c>
      <c r="Q30" s="0" t="n">
        <f aca="false">F30*($C30-F$3)</f>
        <v>2025</v>
      </c>
      <c r="R30" s="0" t="n">
        <f aca="false">G30*($C30-G$3)</f>
        <v>349.999999999997</v>
      </c>
      <c r="S30" s="0" t="n">
        <f aca="false">H30*($C30-H$3)</f>
        <v>0</v>
      </c>
      <c r="T30" s="0" t="n">
        <f aca="false">I30*($C30-I$3)</f>
        <v>0</v>
      </c>
      <c r="U30" s="0" t="n">
        <f aca="false">J30*($C30-J$3)</f>
        <v>0</v>
      </c>
      <c r="V30" s="0" t="n">
        <f aca="false">K30*($C30-K$3)</f>
        <v>0</v>
      </c>
      <c r="Z30" s="0" t="n">
        <f aca="false">SUM(O30:Y30)</f>
        <v>7875</v>
      </c>
    </row>
    <row r="31" customFormat="false" ht="12.75" hidden="false" customHeight="false" outlineLevel="0" collapsed="false">
      <c r="A31" s="49" t="n">
        <v>36888</v>
      </c>
      <c r="B31" s="0" t="n">
        <f aca="false">B$2+B$3</f>
        <v>5.31</v>
      </c>
      <c r="C31" s="48" t="n">
        <f aca="false">GasDaily!V31</f>
        <v>3.655</v>
      </c>
      <c r="D31" s="30" t="n">
        <v>-20000</v>
      </c>
      <c r="E31" s="30" t="n">
        <v>-10000</v>
      </c>
      <c r="F31" s="30" t="n">
        <v>15000</v>
      </c>
      <c r="G31" s="30" t="n">
        <v>10000</v>
      </c>
      <c r="H31" s="30"/>
      <c r="I31" s="30"/>
      <c r="J31" s="30"/>
      <c r="K31" s="30"/>
      <c r="L31" s="30"/>
      <c r="M31" s="17" t="n">
        <f aca="false">SUM(D31:L31)</f>
        <v>-5000</v>
      </c>
      <c r="N31" s="50"/>
      <c r="O31" s="0" t="n">
        <f aca="false">D31*($C31-D$3)</f>
        <v>2300</v>
      </c>
      <c r="P31" s="0" t="n">
        <f aca="false">E31*($C31-E$3)</f>
        <v>3200</v>
      </c>
      <c r="Q31" s="0" t="n">
        <f aca="false">F31*($C31-F$3)</f>
        <v>2025</v>
      </c>
      <c r="R31" s="0" t="n">
        <f aca="false">G31*($C31-G$3)</f>
        <v>349.999999999997</v>
      </c>
      <c r="S31" s="0" t="n">
        <f aca="false">H31*($C31-H$3)</f>
        <v>0</v>
      </c>
      <c r="T31" s="0" t="n">
        <f aca="false">I31*($C31-I$3)</f>
        <v>0</v>
      </c>
      <c r="U31" s="0" t="n">
        <f aca="false">J31*($C31-J$3)</f>
        <v>0</v>
      </c>
      <c r="V31" s="0" t="n">
        <f aca="false">K31*($C31-K$3)</f>
        <v>0</v>
      </c>
      <c r="Z31" s="0" t="n">
        <f aca="false">SUM(O31:Y31)</f>
        <v>7875</v>
      </c>
    </row>
    <row r="32" customFormat="false" ht="12.75" hidden="false" customHeight="false" outlineLevel="0" collapsed="false">
      <c r="A32" s="49" t="n">
        <v>36889</v>
      </c>
      <c r="B32" s="0" t="n">
        <f aca="false">B$2+B$3</f>
        <v>5.31</v>
      </c>
      <c r="C32" s="48" t="n">
        <f aca="false">GasDaily!V32</f>
        <v>3.655</v>
      </c>
      <c r="D32" s="30" t="n">
        <v>-20000</v>
      </c>
      <c r="E32" s="30" t="n">
        <v>-10000</v>
      </c>
      <c r="F32" s="30" t="n">
        <v>15000</v>
      </c>
      <c r="G32" s="30" t="n">
        <v>10000</v>
      </c>
      <c r="H32" s="30"/>
      <c r="I32" s="30"/>
      <c r="J32" s="30"/>
      <c r="K32" s="30"/>
      <c r="L32" s="30"/>
      <c r="M32" s="17" t="n">
        <f aca="false">SUM(D32:L32)</f>
        <v>-5000</v>
      </c>
      <c r="N32" s="50"/>
      <c r="O32" s="0" t="n">
        <f aca="false">D32*(C32-D$3)</f>
        <v>2300</v>
      </c>
      <c r="P32" s="0" t="n">
        <f aca="false">E32*($C32-E$3)</f>
        <v>3200</v>
      </c>
      <c r="Q32" s="0" t="n">
        <f aca="false">F32*($C32-F$3)</f>
        <v>2025</v>
      </c>
      <c r="R32" s="0" t="n">
        <f aca="false">G32*($C32-G$3)</f>
        <v>349.999999999997</v>
      </c>
      <c r="S32" s="0" t="n">
        <f aca="false">H32*($C32-H$3)</f>
        <v>0</v>
      </c>
      <c r="T32" s="0" t="n">
        <f aca="false">I32*($C32-I$3)</f>
        <v>0</v>
      </c>
      <c r="U32" s="0" t="n">
        <f aca="false">J32*($C32-J$3)</f>
        <v>0</v>
      </c>
      <c r="V32" s="0" t="n">
        <f aca="false">K32*($C32-K$3)</f>
        <v>0</v>
      </c>
      <c r="Z32" s="0" t="n">
        <f aca="false">SUM(O32:Y32)</f>
        <v>7875</v>
      </c>
    </row>
    <row r="33" customFormat="false" ht="12.75" hidden="false" customHeight="false" outlineLevel="0" collapsed="false">
      <c r="A33" s="49" t="n">
        <v>36890</v>
      </c>
      <c r="B33" s="0" t="n">
        <f aca="false">B$2+B$3</f>
        <v>5.31</v>
      </c>
      <c r="C33" s="48" t="n">
        <f aca="false">GasDaily!V33</f>
        <v>3.655</v>
      </c>
      <c r="D33" s="30" t="n">
        <v>-20000</v>
      </c>
      <c r="E33" s="30" t="n">
        <v>-10000</v>
      </c>
      <c r="F33" s="30" t="n">
        <v>15000</v>
      </c>
      <c r="G33" s="30" t="n">
        <v>10000</v>
      </c>
      <c r="H33" s="30"/>
      <c r="I33" s="30"/>
      <c r="J33" s="30"/>
      <c r="K33" s="30"/>
      <c r="M33" s="17" t="n">
        <f aca="false">SUM(D33:L33)</f>
        <v>-5000</v>
      </c>
      <c r="N33" s="50"/>
      <c r="O33" s="0" t="n">
        <f aca="false">D33*(C33-D$3)</f>
        <v>2300</v>
      </c>
      <c r="P33" s="0" t="n">
        <f aca="false">E33*($C33-E$3)</f>
        <v>3200</v>
      </c>
      <c r="Q33" s="0" t="n">
        <f aca="false">F33*($C33-F$3)</f>
        <v>2025</v>
      </c>
      <c r="R33" s="0" t="n">
        <f aca="false">G33*($C33-G$3)</f>
        <v>349.999999999997</v>
      </c>
      <c r="S33" s="0" t="n">
        <f aca="false">H33*($C33-H$3)</f>
        <v>0</v>
      </c>
      <c r="T33" s="0" t="n">
        <f aca="false">I33*($C33-I$3)</f>
        <v>0</v>
      </c>
      <c r="U33" s="0" t="n">
        <f aca="false">J33*($C33-J$3)</f>
        <v>0</v>
      </c>
      <c r="V33" s="0" t="n">
        <f aca="false">K33*($C33-K$3)</f>
        <v>0</v>
      </c>
      <c r="Z33" s="0" t="n">
        <f aca="false">SUM(O33:Y33)</f>
        <v>7875</v>
      </c>
    </row>
    <row r="34" customFormat="false" ht="12.75" hidden="false" customHeight="false" outlineLevel="0" collapsed="false">
      <c r="A34" s="49" t="n">
        <v>36891</v>
      </c>
      <c r="B34" s="0" t="n">
        <f aca="false">B$2+B$3</f>
        <v>5.31</v>
      </c>
      <c r="C34" s="48"/>
      <c r="D34" s="30"/>
      <c r="E34" s="30"/>
      <c r="F34" s="30"/>
      <c r="G34" s="30"/>
      <c r="H34" s="30"/>
      <c r="I34" s="30"/>
      <c r="J34" s="30"/>
      <c r="K34" s="30"/>
      <c r="M34" s="17" t="n">
        <f aca="false">SUM(D34:L34)</f>
        <v>0</v>
      </c>
      <c r="N34" s="50"/>
      <c r="O34" s="0" t="n">
        <f aca="false">D34*(C34-D$3)</f>
        <v>-0</v>
      </c>
      <c r="P34" s="0" t="n">
        <f aca="false">E34*($C34-E$3)</f>
        <v>-0</v>
      </c>
      <c r="Q34" s="0" t="n">
        <f aca="false">F34*($C34-F$3)</f>
        <v>-0</v>
      </c>
      <c r="R34" s="0" t="n">
        <f aca="false">G34*($C34-G$3)</f>
        <v>-0</v>
      </c>
      <c r="S34" s="0" t="n">
        <f aca="false">H34*($C34-H$3)</f>
        <v>0</v>
      </c>
      <c r="T34" s="0" t="n">
        <f aca="false">I34*($C34-I$3)</f>
        <v>0</v>
      </c>
      <c r="U34" s="0" t="n">
        <f aca="false">J34*($C34-J$3)</f>
        <v>0</v>
      </c>
      <c r="V34" s="0" t="n">
        <f aca="false">K34*($C34-K$3)</f>
        <v>0</v>
      </c>
      <c r="Z34" s="0" t="n">
        <f aca="false">SUM(O34:Y34)</f>
        <v>0</v>
      </c>
    </row>
    <row r="35" customFormat="false" ht="12.75" hidden="false" customHeight="false" outlineLevel="0" collapsed="false">
      <c r="A35" s="51"/>
      <c r="C35" s="48"/>
      <c r="D35" s="30"/>
      <c r="E35" s="30"/>
      <c r="F35" s="30"/>
      <c r="G35" s="30"/>
      <c r="H35" s="30" t="n">
        <f aca="false">(102.3*10000)/22</f>
        <v>46500</v>
      </c>
      <c r="I35" s="30"/>
      <c r="J35" s="30"/>
      <c r="K35" s="30"/>
    </row>
    <row r="36" customFormat="false" ht="12.75" hidden="false" customHeight="false" outlineLevel="0" collapsed="false">
      <c r="M36" s="17" t="n">
        <f aca="false">SUM(M15:M34)</f>
        <v>-95000</v>
      </c>
      <c r="Z36" s="52" t="n">
        <f aca="false">SUM(Z4:Z34)</f>
        <v>208100</v>
      </c>
    </row>
    <row r="37" customFormat="false" ht="12.75" hidden="false" customHeight="false" outlineLevel="0" collapsed="false">
      <c r="A37" s="0" t="n">
        <f aca="false">COUNT(A13:A33)</f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37"/>
  <sheetViews>
    <sheetView showFormulas="false" showGridLines="true" showRowColHeaders="true" showZeros="true" rightToLeft="false" tabSelected="false" showOutlineSymbols="true" defaultGridColor="true" view="normal" topLeftCell="A2" colorId="64" zoomScale="85" zoomScaleNormal="85" zoomScalePageLayoutView="100" workbookViewId="0">
      <pane xSplit="1" ySplit="0" topLeftCell="M1" activePane="topRight" state="frozen"/>
      <selection pane="topLeft" activeCell="A2" activeCellId="0" sqref="A2"/>
      <selection pane="topRight" activeCell="W37" activeCellId="0" sqref="W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3" min="23" style="44" width="13.14"/>
    <col collapsed="false" customWidth="true" hidden="false" outlineLevel="0" max="24" min="24" style="45" width="2.84"/>
    <col collapsed="false" customWidth="true" hidden="false" outlineLevel="0" max="45" min="45" style="45" width="2.7"/>
    <col collapsed="false" customWidth="true" hidden="false" outlineLevel="0" max="46" min="46" style="0" width="10.85"/>
  </cols>
  <sheetData>
    <row r="1" customFormat="false" ht="12.75" hidden="false" customHeight="false" outlineLevel="0" collapsed="false">
      <c r="B1" s="44" t="s">
        <v>523</v>
      </c>
    </row>
    <row r="2" customFormat="false" ht="12.75" hidden="false" customHeight="false" outlineLevel="0" collapsed="false">
      <c r="B2" s="46" t="n">
        <v>5.25</v>
      </c>
      <c r="C2" s="47"/>
      <c r="W2" s="44" t="s">
        <v>524</v>
      </c>
    </row>
    <row r="3" customFormat="false" ht="12.75" hidden="false" customHeight="false" outlineLevel="0" collapsed="false">
      <c r="B3" s="48" t="n">
        <v>0</v>
      </c>
      <c r="C3" s="0" t="s">
        <v>525</v>
      </c>
      <c r="D3" s="0" t="n">
        <v>3.645</v>
      </c>
      <c r="E3" s="0" t="n">
        <v>3.6275</v>
      </c>
      <c r="F3" s="0" t="n">
        <v>3.84</v>
      </c>
      <c r="G3" s="0" t="n">
        <v>3.78</v>
      </c>
      <c r="H3" s="0" t="n">
        <v>3.75</v>
      </c>
      <c r="I3" s="0" t="n">
        <v>3.865</v>
      </c>
      <c r="J3" s="0" t="n">
        <v>3.995</v>
      </c>
      <c r="K3" s="0" t="n">
        <v>4.045</v>
      </c>
      <c r="L3" s="0" t="n">
        <v>4.055</v>
      </c>
      <c r="M3" s="0" t="n">
        <v>4.035</v>
      </c>
      <c r="N3" s="0" t="n">
        <v>3.97</v>
      </c>
      <c r="O3" s="0" t="n">
        <v>3.88</v>
      </c>
      <c r="P3" s="0" t="n">
        <v>3.835</v>
      </c>
      <c r="Q3" s="0" t="n">
        <v>3.69</v>
      </c>
      <c r="R3" s="0" t="n">
        <v>3.68</v>
      </c>
      <c r="AT3" s="0" t="s">
        <v>526</v>
      </c>
    </row>
    <row r="4" customFormat="false" ht="12.75" hidden="false" customHeight="false" outlineLevel="0" collapsed="false">
      <c r="A4" s="49" t="n">
        <v>37012</v>
      </c>
      <c r="B4" s="0" t="n">
        <f aca="false">B$2+B$3</f>
        <v>5.25</v>
      </c>
      <c r="C4" s="48" t="n">
        <f aca="false">GasDaily!R4</f>
        <v>3.83</v>
      </c>
      <c r="D4" s="30" t="n">
        <v>10000</v>
      </c>
      <c r="E4" s="30" t="n">
        <v>-10000</v>
      </c>
      <c r="F4" s="30" t="n">
        <v>-10000</v>
      </c>
      <c r="G4" s="30" t="n">
        <v>10000</v>
      </c>
      <c r="H4" s="30" t="n">
        <v>-10000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7" t="n">
        <f aca="false">SUM(D4:Q4)</f>
        <v>-10000</v>
      </c>
      <c r="X4" s="50"/>
      <c r="Y4" s="0" t="n">
        <f aca="false">D4*($C4-D$3)</f>
        <v>1850</v>
      </c>
      <c r="Z4" s="0" t="n">
        <f aca="false">E4*($C4-E$3)</f>
        <v>-2025</v>
      </c>
      <c r="AA4" s="0" t="n">
        <f aca="false">F4*($C4-F$3)</f>
        <v>99.9999999999979</v>
      </c>
      <c r="AB4" s="0" t="n">
        <f aca="false">G4*($C4-G$3)</f>
        <v>500.000000000003</v>
      </c>
      <c r="AC4" s="0" t="n">
        <f aca="false">H4*($C4-H$3)</f>
        <v>-800.000000000001</v>
      </c>
      <c r="AD4" s="0" t="n">
        <f aca="false">I4*($C4-I$3)</f>
        <v>-0</v>
      </c>
      <c r="AE4" s="0" t="n">
        <f aca="false">J4*($C4-J$3)</f>
        <v>-0</v>
      </c>
      <c r="AF4" s="0" t="n">
        <f aca="false">K4*($C4-K$3)</f>
        <v>-0</v>
      </c>
      <c r="AG4" s="0" t="n">
        <f aca="false">L4*($C4-L$3)</f>
        <v>-0</v>
      </c>
      <c r="AH4" s="30" t="n">
        <f aca="false">M4*($C4-M$3)</f>
        <v>-0</v>
      </c>
      <c r="AI4" s="0" t="n">
        <f aca="false">N4*($C4-N$3)</f>
        <v>-0</v>
      </c>
      <c r="AJ4" s="30" t="n">
        <f aca="false">O4*($C4-O$3)</f>
        <v>-0</v>
      </c>
      <c r="AK4" s="30" t="n">
        <f aca="false">P4*($C4-P$3)</f>
        <v>-0</v>
      </c>
      <c r="AL4" s="30" t="n">
        <f aca="false">Q4*($C4-Q$3)</f>
        <v>0</v>
      </c>
      <c r="AM4" s="30" t="n">
        <f aca="false">R4*($C4-R$3)</f>
        <v>0</v>
      </c>
      <c r="AN4" s="30" t="n">
        <f aca="false">S4*($C4-S$3)</f>
        <v>0</v>
      </c>
      <c r="AO4" s="30" t="n">
        <f aca="false">T4*($C4-T$3)</f>
        <v>0</v>
      </c>
      <c r="AP4" s="30" t="n">
        <f aca="false">V4*($C4-V$3)</f>
        <v>0</v>
      </c>
      <c r="AT4" s="0" t="n">
        <f aca="false">SUM(Y4:AS4)</f>
        <v>-375.000000000001</v>
      </c>
    </row>
    <row r="5" customFormat="false" ht="12.75" hidden="false" customHeight="false" outlineLevel="0" collapsed="false">
      <c r="A5" s="49" t="n">
        <v>37013</v>
      </c>
      <c r="B5" s="0" t="n">
        <f aca="false">B$2+B$3</f>
        <v>5.25</v>
      </c>
      <c r="C5" s="48" t="n">
        <f aca="false">GasDaily!R5</f>
        <v>3.725</v>
      </c>
      <c r="D5" s="30" t="n">
        <v>10000</v>
      </c>
      <c r="E5" s="30" t="n">
        <v>-10000</v>
      </c>
      <c r="F5" s="30" t="n">
        <v>-10000</v>
      </c>
      <c r="G5" s="30" t="n">
        <v>10000</v>
      </c>
      <c r="H5" s="30" t="n">
        <v>-10000</v>
      </c>
      <c r="I5" s="30" t="n">
        <v>-10000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17" t="n">
        <f aca="false">SUM(D5:V5)</f>
        <v>-20000</v>
      </c>
      <c r="X5" s="50"/>
      <c r="Y5" s="0" t="n">
        <f aca="false">D5*($C5-D$3)</f>
        <v>800.000000000001</v>
      </c>
      <c r="Z5" s="0" t="n">
        <f aca="false">E5*($C5-E$3)</f>
        <v>-975.000000000001</v>
      </c>
      <c r="AA5" s="0" t="n">
        <f aca="false">F5*($C5-F$3)</f>
        <v>1150</v>
      </c>
      <c r="AB5" s="0" t="n">
        <f aca="false">G5*($C5-G$3)</f>
        <v>-549.999999999997</v>
      </c>
      <c r="AC5" s="0" t="n">
        <f aca="false">H5*($C5-H$3)</f>
        <v>249.999999999999</v>
      </c>
      <c r="AD5" s="0" t="n">
        <f aca="false">I5*($C5-I$3)</f>
        <v>1400</v>
      </c>
      <c r="AE5" s="0" t="n">
        <f aca="false">J5*($C5-J$3)</f>
        <v>-0</v>
      </c>
      <c r="AF5" s="0" t="n">
        <f aca="false">K5*($C5-K$3)</f>
        <v>-0</v>
      </c>
      <c r="AG5" s="0" t="n">
        <f aca="false">L5*($C5-L$3)</f>
        <v>-0</v>
      </c>
      <c r="AH5" s="30" t="n">
        <f aca="false">M5*($C5-M$3)</f>
        <v>-0</v>
      </c>
      <c r="AI5" s="0" t="n">
        <f aca="false">N5*($C5-N$3)</f>
        <v>-0</v>
      </c>
      <c r="AJ5" s="30" t="n">
        <f aca="false">O5*($C5-O$3)</f>
        <v>-0</v>
      </c>
      <c r="AK5" s="30" t="n">
        <f aca="false">P5*($C5-P$3)</f>
        <v>-0</v>
      </c>
      <c r="AL5" s="30" t="n">
        <f aca="false">Q5*($C5-Q$3)</f>
        <v>0</v>
      </c>
      <c r="AM5" s="30" t="n">
        <f aca="false">R5*($C5-R$3)</f>
        <v>0</v>
      </c>
      <c r="AN5" s="30" t="n">
        <f aca="false">S5*($C5-S$3)</f>
        <v>0</v>
      </c>
      <c r="AO5" s="30" t="n">
        <f aca="false">T5*($C5-T$3)</f>
        <v>0</v>
      </c>
      <c r="AP5" s="30" t="n">
        <f aca="false">U5*($C5-U$3)</f>
        <v>0</v>
      </c>
      <c r="AT5" s="0" t="n">
        <f aca="false">SUM(Y5:AS5)</f>
        <v>2075</v>
      </c>
    </row>
    <row r="6" customFormat="false" ht="12.75" hidden="false" customHeight="false" outlineLevel="0" collapsed="false">
      <c r="A6" s="49" t="n">
        <v>37014</v>
      </c>
      <c r="B6" s="0" t="n">
        <f aca="false">B$2+B$3</f>
        <v>5.25</v>
      </c>
      <c r="C6" s="48" t="n">
        <f aca="false">GasDaily!R6</f>
        <v>3.725</v>
      </c>
      <c r="D6" s="30" t="n">
        <v>10000</v>
      </c>
      <c r="E6" s="30" t="n">
        <v>-10000</v>
      </c>
      <c r="F6" s="30" t="n">
        <v>-10000</v>
      </c>
      <c r="G6" s="30" t="n">
        <v>10000</v>
      </c>
      <c r="H6" s="30" t="n">
        <v>-10000</v>
      </c>
      <c r="I6" s="30" t="n">
        <v>-10000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7" t="n">
        <f aca="false">SUM(D6:V6)</f>
        <v>-20000</v>
      </c>
      <c r="X6" s="50"/>
      <c r="Y6" s="0" t="n">
        <f aca="false">D6*($C6-D$3)</f>
        <v>800.000000000001</v>
      </c>
      <c r="Z6" s="0" t="n">
        <f aca="false">E6*($C6-E$3)</f>
        <v>-975.000000000001</v>
      </c>
      <c r="AA6" s="0" t="n">
        <f aca="false">F6*($C6-F$3)</f>
        <v>1150</v>
      </c>
      <c r="AB6" s="0" t="n">
        <f aca="false">G6*($C6-G$3)</f>
        <v>-549.999999999997</v>
      </c>
      <c r="AC6" s="0" t="n">
        <f aca="false">H6*($C6-H$3)</f>
        <v>249.999999999999</v>
      </c>
      <c r="AD6" s="0" t="n">
        <f aca="false">I6*($C6-I$3)</f>
        <v>1400</v>
      </c>
      <c r="AE6" s="0" t="n">
        <f aca="false">J6*($C6-J$3)</f>
        <v>-0</v>
      </c>
      <c r="AF6" s="0" t="n">
        <f aca="false">K6*($C6-K$3)</f>
        <v>-0</v>
      </c>
      <c r="AG6" s="0" t="n">
        <f aca="false">L6*($C6-L$3)</f>
        <v>-0</v>
      </c>
      <c r="AH6" s="30" t="n">
        <f aca="false">M6*($C6-M$3)</f>
        <v>-0</v>
      </c>
      <c r="AI6" s="0" t="n">
        <f aca="false">N6*($C6-N$3)</f>
        <v>-0</v>
      </c>
      <c r="AJ6" s="30" t="n">
        <f aca="false">O6*($C6-O$3)</f>
        <v>-0</v>
      </c>
      <c r="AK6" s="30" t="n">
        <f aca="false">P6*($C6-P$3)</f>
        <v>-0</v>
      </c>
      <c r="AL6" s="30" t="n">
        <f aca="false">Q6*($C6-Q$3)</f>
        <v>0</v>
      </c>
      <c r="AM6" s="30" t="n">
        <f aca="false">R6*($C6-R$3)</f>
        <v>0</v>
      </c>
      <c r="AN6" s="30" t="n">
        <f aca="false">S6*($C6-S$3)</f>
        <v>0</v>
      </c>
      <c r="AO6" s="30" t="n">
        <f aca="false">T6*($C6-T$3)</f>
        <v>0</v>
      </c>
      <c r="AP6" s="30" t="n">
        <f aca="false">U6*($C6-U$3)</f>
        <v>0</v>
      </c>
      <c r="AT6" s="0" t="n">
        <f aca="false">SUM(Y6:AS6)</f>
        <v>2075</v>
      </c>
    </row>
    <row r="7" customFormat="false" ht="12.75" hidden="false" customHeight="false" outlineLevel="0" collapsed="false">
      <c r="A7" s="49" t="n">
        <v>37015</v>
      </c>
      <c r="B7" s="0" t="n">
        <f aca="false">B$2+B$3</f>
        <v>5.25</v>
      </c>
      <c r="C7" s="48" t="n">
        <f aca="false">GasDaily!R7</f>
        <v>3.725</v>
      </c>
      <c r="D7" s="30" t="n">
        <v>10000</v>
      </c>
      <c r="E7" s="30" t="n">
        <v>-10000</v>
      </c>
      <c r="F7" s="30" t="n">
        <v>-10000</v>
      </c>
      <c r="G7" s="30" t="n">
        <v>10000</v>
      </c>
      <c r="H7" s="30" t="n">
        <v>-10000</v>
      </c>
      <c r="I7" s="30" t="n">
        <v>-10000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17" t="n">
        <f aca="false">SUM(D7:V7)</f>
        <v>-20000</v>
      </c>
      <c r="X7" s="50"/>
      <c r="Y7" s="0" t="n">
        <f aca="false">D7*($C7-D$3)</f>
        <v>800.000000000001</v>
      </c>
      <c r="Z7" s="0" t="n">
        <f aca="false">E7*($C7-E$3)</f>
        <v>-975.000000000001</v>
      </c>
      <c r="AA7" s="0" t="n">
        <f aca="false">F7*($C7-F$3)</f>
        <v>1150</v>
      </c>
      <c r="AB7" s="0" t="n">
        <f aca="false">G7*($C7-G$3)</f>
        <v>-549.999999999997</v>
      </c>
      <c r="AC7" s="0" t="n">
        <f aca="false">H7*($C7-H$3)</f>
        <v>249.999999999999</v>
      </c>
      <c r="AD7" s="0" t="n">
        <f aca="false">I7*($C7-I$3)</f>
        <v>1400</v>
      </c>
      <c r="AE7" s="0" t="n">
        <f aca="false">J7*($C7-J$3)</f>
        <v>-0</v>
      </c>
      <c r="AF7" s="0" t="n">
        <f aca="false">K7*($C7-K$3)</f>
        <v>-0</v>
      </c>
      <c r="AG7" s="0" t="n">
        <f aca="false">L7*($C7-L$3)</f>
        <v>-0</v>
      </c>
      <c r="AH7" s="30" t="n">
        <f aca="false">M7*($C7-M$3)</f>
        <v>-0</v>
      </c>
      <c r="AI7" s="0" t="n">
        <f aca="false">N7*($C7-N$3)</f>
        <v>-0</v>
      </c>
      <c r="AJ7" s="30" t="n">
        <f aca="false">O7*($C7-O$3)</f>
        <v>-0</v>
      </c>
      <c r="AK7" s="30" t="n">
        <f aca="false">P7*($C7-P$3)</f>
        <v>-0</v>
      </c>
      <c r="AL7" s="30" t="n">
        <f aca="false">Q7*($C7-Q$3)</f>
        <v>0</v>
      </c>
      <c r="AM7" s="30" t="n">
        <f aca="false">R7*($C7-R$3)</f>
        <v>0</v>
      </c>
      <c r="AN7" s="30" t="n">
        <f aca="false">S7*($C7-S$3)</f>
        <v>0</v>
      </c>
      <c r="AO7" s="30" t="n">
        <f aca="false">T7*($C7-T$3)</f>
        <v>0</v>
      </c>
      <c r="AP7" s="30" t="n">
        <f aca="false">U7*($C7-U$3)</f>
        <v>0</v>
      </c>
      <c r="AT7" s="0" t="n">
        <f aca="false">SUM(Y7:AS7)</f>
        <v>2075</v>
      </c>
    </row>
    <row r="8" customFormat="false" ht="12.75" hidden="false" customHeight="false" outlineLevel="0" collapsed="false">
      <c r="A8" s="49" t="n">
        <v>37016</v>
      </c>
      <c r="B8" s="0" t="n">
        <f aca="false">B$2+B$3</f>
        <v>5.25</v>
      </c>
      <c r="C8" s="48" t="n">
        <f aca="false">GasDaily!R8</f>
        <v>3.965</v>
      </c>
      <c r="D8" s="30" t="n">
        <v>10000</v>
      </c>
      <c r="E8" s="30" t="n">
        <v>-10000</v>
      </c>
      <c r="F8" s="30" t="n">
        <v>-10000</v>
      </c>
      <c r="G8" s="30" t="n">
        <v>10000</v>
      </c>
      <c r="H8" s="30" t="n">
        <v>-10000</v>
      </c>
      <c r="I8" s="30" t="n">
        <v>-10000</v>
      </c>
      <c r="J8" s="30" t="n">
        <v>10000</v>
      </c>
      <c r="K8" s="30" t="n">
        <v>10000</v>
      </c>
      <c r="L8" s="30" t="n">
        <v>10000</v>
      </c>
      <c r="M8" s="30" t="n">
        <v>10000</v>
      </c>
      <c r="N8" s="30" t="n">
        <v>10000</v>
      </c>
      <c r="O8" s="30" t="n">
        <v>10000</v>
      </c>
      <c r="P8" s="30" t="n">
        <v>-10000</v>
      </c>
      <c r="Q8" s="30"/>
      <c r="R8" s="30"/>
      <c r="S8" s="30"/>
      <c r="T8" s="30"/>
      <c r="U8" s="30"/>
      <c r="V8" s="30"/>
      <c r="W8" s="17" t="n">
        <f aca="false">SUM(D8:V8)</f>
        <v>30000</v>
      </c>
      <c r="X8" s="50"/>
      <c r="Y8" s="0" t="n">
        <f aca="false">D8*($C8-D$3)</f>
        <v>3200</v>
      </c>
      <c r="Z8" s="0" t="n">
        <f aca="false">E8*($C8-E$3)</f>
        <v>-3375</v>
      </c>
      <c r="AA8" s="0" t="n">
        <f aca="false">F8*($C8-F$3)</f>
        <v>-1250</v>
      </c>
      <c r="AB8" s="0" t="n">
        <f aca="false">G8*($C8-G$3)</f>
        <v>1850</v>
      </c>
      <c r="AC8" s="0" t="n">
        <f aca="false">H8*($C8-H$3)</f>
        <v>-2150</v>
      </c>
      <c r="AD8" s="0" t="n">
        <f aca="false">I8*($C8-I$3)</f>
        <v>-999.999999999997</v>
      </c>
      <c r="AE8" s="0" t="n">
        <f aca="false">J8*($C8-J$3)</f>
        <v>-300.000000000003</v>
      </c>
      <c r="AF8" s="0" t="n">
        <f aca="false">K8*($C8-K$3)</f>
        <v>-800.000000000001</v>
      </c>
      <c r="AG8" s="0" t="n">
        <f aca="false">L8*($C8-L$3)</f>
        <v>-899.999999999999</v>
      </c>
      <c r="AH8" s="30" t="n">
        <f aca="false">M8*($C8-M$3)</f>
        <v>-700.000000000003</v>
      </c>
      <c r="AI8" s="0" t="n">
        <f aca="false">N8*($C8-N$3)</f>
        <v>-50.0000000000034</v>
      </c>
      <c r="AJ8" s="30" t="n">
        <f aca="false">O8*($C8-O$3)</f>
        <v>850</v>
      </c>
      <c r="AK8" s="30" t="n">
        <f aca="false">P8*($C8-P$3)</f>
        <v>-1300</v>
      </c>
      <c r="AL8" s="30" t="n">
        <f aca="false">Q8*($C8-Q$3)</f>
        <v>0</v>
      </c>
      <c r="AM8" s="30" t="n">
        <f aca="false">R8*($C8-R$3)</f>
        <v>0</v>
      </c>
      <c r="AN8" s="30" t="n">
        <f aca="false">S8*($C8-S$3)</f>
        <v>0</v>
      </c>
      <c r="AO8" s="30" t="n">
        <f aca="false">T8*($C8-T$3)</f>
        <v>0</v>
      </c>
      <c r="AP8" s="30" t="n">
        <f aca="false">U8*($C8-U$3)</f>
        <v>0</v>
      </c>
      <c r="AT8" s="0" t="n">
        <f aca="false">SUM(Y8:AS8)</f>
        <v>-5925</v>
      </c>
    </row>
    <row r="9" customFormat="false" ht="12.75" hidden="false" customHeight="false" outlineLevel="0" collapsed="false">
      <c r="A9" s="49" t="n">
        <v>37017</v>
      </c>
      <c r="B9" s="0" t="n">
        <f aca="false">B$2+B$3</f>
        <v>5.25</v>
      </c>
      <c r="C9" s="48" t="n">
        <f aca="false">GasDaily!R9</f>
        <v>4.035</v>
      </c>
      <c r="D9" s="30" t="n">
        <v>10000</v>
      </c>
      <c r="E9" s="30" t="n">
        <v>-10000</v>
      </c>
      <c r="F9" s="30" t="n">
        <v>-10000</v>
      </c>
      <c r="G9" s="30" t="n">
        <v>10000</v>
      </c>
      <c r="H9" s="30" t="n">
        <v>-10000</v>
      </c>
      <c r="I9" s="30" t="n">
        <v>-10000</v>
      </c>
      <c r="J9" s="30" t="n">
        <v>10000</v>
      </c>
      <c r="K9" s="30" t="n">
        <v>10000</v>
      </c>
      <c r="L9" s="30" t="n">
        <v>10000</v>
      </c>
      <c r="M9" s="30" t="n">
        <v>10000</v>
      </c>
      <c r="N9" s="30" t="n">
        <v>10000</v>
      </c>
      <c r="O9" s="30" t="n">
        <v>10000</v>
      </c>
      <c r="P9" s="30" t="n">
        <v>-10000</v>
      </c>
      <c r="Q9" s="30"/>
      <c r="R9" s="30"/>
      <c r="S9" s="30"/>
      <c r="T9" s="30"/>
      <c r="U9" s="30"/>
      <c r="V9" s="30"/>
      <c r="W9" s="17" t="n">
        <f aca="false">SUM(D9:V9)</f>
        <v>30000</v>
      </c>
      <c r="X9" s="50"/>
      <c r="Y9" s="0" t="n">
        <f aca="false">D9*($C9-D$3)</f>
        <v>3900</v>
      </c>
      <c r="Z9" s="0" t="n">
        <f aca="false">E9*($C9-E$3)</f>
        <v>-4075</v>
      </c>
      <c r="AA9" s="0" t="n">
        <f aca="false">F9*($C9-F$3)</f>
        <v>-1950</v>
      </c>
      <c r="AB9" s="0" t="n">
        <f aca="false">G9*($C9-G$3)</f>
        <v>2550</v>
      </c>
      <c r="AC9" s="0" t="n">
        <f aca="false">H9*($C9-H$3)</f>
        <v>-2850</v>
      </c>
      <c r="AD9" s="0" t="n">
        <f aca="false">I9*($C9-I$3)</f>
        <v>-1700</v>
      </c>
      <c r="AE9" s="0" t="n">
        <f aca="false">J9*($C9-J$3)</f>
        <v>400</v>
      </c>
      <c r="AF9" s="0" t="n">
        <f aca="false">K9*($C9-K$3)</f>
        <v>-99.9999999999979</v>
      </c>
      <c r="AG9" s="0" t="n">
        <f aca="false">L9*($C9-L$3)</f>
        <v>-199.999999999996</v>
      </c>
      <c r="AH9" s="30" t="n">
        <f aca="false">M9*($C9-M$3)</f>
        <v>0</v>
      </c>
      <c r="AI9" s="0" t="n">
        <f aca="false">N9*($C9-N$3)</f>
        <v>649.999999999999</v>
      </c>
      <c r="AJ9" s="30" t="n">
        <f aca="false">O9*($C9-O$3)</f>
        <v>1550</v>
      </c>
      <c r="AK9" s="30" t="n">
        <f aca="false">P9*($C9-P$3)</f>
        <v>-2000</v>
      </c>
      <c r="AL9" s="30" t="n">
        <f aca="false">Q9*($C9-Q$3)</f>
        <v>0</v>
      </c>
      <c r="AM9" s="30" t="n">
        <f aca="false">R9*($C9-R$3)</f>
        <v>0</v>
      </c>
      <c r="AN9" s="30" t="n">
        <f aca="false">S9*($C9-S$3)</f>
        <v>0</v>
      </c>
      <c r="AO9" s="30" t="n">
        <f aca="false">T9*($C9-T$3)</f>
        <v>0</v>
      </c>
      <c r="AP9" s="30" t="n">
        <f aca="false">U9*($C9-U$3)</f>
        <v>0</v>
      </c>
      <c r="AT9" s="0" t="n">
        <f aca="false">SUM(Y9:AS9)</f>
        <v>-3824.99999999999</v>
      </c>
    </row>
    <row r="10" customFormat="false" ht="12.75" hidden="false" customHeight="false" outlineLevel="0" collapsed="false">
      <c r="A10" s="49" t="n">
        <v>37018</v>
      </c>
      <c r="B10" s="0" t="n">
        <f aca="false">B$2+B$3</f>
        <v>5.25</v>
      </c>
      <c r="C10" s="48" t="n">
        <f aca="false">GasDaily!R10</f>
        <v>3.76</v>
      </c>
      <c r="D10" s="30" t="n">
        <v>10000</v>
      </c>
      <c r="E10" s="30" t="n">
        <v>-10000</v>
      </c>
      <c r="F10" s="30" t="n">
        <v>-10000</v>
      </c>
      <c r="G10" s="30" t="n">
        <v>10000</v>
      </c>
      <c r="H10" s="30" t="n">
        <v>-10000</v>
      </c>
      <c r="I10" s="30" t="n">
        <v>-10000</v>
      </c>
      <c r="J10" s="30" t="n">
        <v>10000</v>
      </c>
      <c r="K10" s="30" t="n">
        <v>10000</v>
      </c>
      <c r="L10" s="30" t="n">
        <v>10000</v>
      </c>
      <c r="M10" s="30" t="n">
        <v>10000</v>
      </c>
      <c r="N10" s="30" t="n">
        <v>10000</v>
      </c>
      <c r="O10" s="30" t="n">
        <v>10000</v>
      </c>
      <c r="P10" s="30" t="n">
        <v>-10000</v>
      </c>
      <c r="Q10" s="30"/>
      <c r="R10" s="30"/>
      <c r="S10" s="30"/>
      <c r="T10" s="30"/>
      <c r="U10" s="30"/>
      <c r="V10" s="30"/>
      <c r="W10" s="17" t="n">
        <f aca="false">SUM(D10:V10)</f>
        <v>30000</v>
      </c>
      <c r="X10" s="50"/>
      <c r="Y10" s="0" t="n">
        <f aca="false">D10*($C10-D$3)</f>
        <v>1150</v>
      </c>
      <c r="Z10" s="0" t="n">
        <f aca="false">E10*($C10-E$3)</f>
        <v>-1325</v>
      </c>
      <c r="AA10" s="0" t="n">
        <f aca="false">F10*($C10-F$3)</f>
        <v>800.000000000001</v>
      </c>
      <c r="AB10" s="0" t="n">
        <f aca="false">G10*($C10-G$3)</f>
        <v>-200</v>
      </c>
      <c r="AC10" s="0" t="n">
        <f aca="false">H10*($C10-H$3)</f>
        <v>-99.9999999999979</v>
      </c>
      <c r="AD10" s="0" t="n">
        <f aca="false">I10*($C10-I$3)</f>
        <v>1050</v>
      </c>
      <c r="AE10" s="0" t="n">
        <f aca="false">J10*($C10-J$3)</f>
        <v>-2350</v>
      </c>
      <c r="AF10" s="0" t="n">
        <f aca="false">K10*($C10-K$3)</f>
        <v>-2850</v>
      </c>
      <c r="AG10" s="0" t="n">
        <f aca="false">L10*($C10-L$3)</f>
        <v>-2950</v>
      </c>
      <c r="AH10" s="30" t="n">
        <f aca="false">M10*($C10-M$3)</f>
        <v>-2750</v>
      </c>
      <c r="AI10" s="0" t="n">
        <f aca="false">N10*($C10-N$3)</f>
        <v>-2100</v>
      </c>
      <c r="AJ10" s="30" t="n">
        <f aca="false">O10*($C10-O$3)</f>
        <v>-1200</v>
      </c>
      <c r="AK10" s="30" t="n">
        <f aca="false">P10*($C10-P$3)</f>
        <v>750.000000000002</v>
      </c>
      <c r="AL10" s="30" t="n">
        <f aca="false">Q10*($C10-Q$3)</f>
        <v>0</v>
      </c>
      <c r="AM10" s="30" t="n">
        <f aca="false">R10*($C10-R$3)</f>
        <v>0</v>
      </c>
      <c r="AN10" s="30" t="n">
        <f aca="false">S10*($C10-S$3)</f>
        <v>0</v>
      </c>
      <c r="AO10" s="30" t="n">
        <f aca="false">T10*($C10-T$3)</f>
        <v>0</v>
      </c>
      <c r="AP10" s="30" t="n">
        <f aca="false">U10*($C10-U$3)</f>
        <v>0</v>
      </c>
      <c r="AT10" s="0" t="n">
        <f aca="false">SUM(Y10:AS10)</f>
        <v>-12075</v>
      </c>
    </row>
    <row r="11" customFormat="false" ht="12.75" hidden="false" customHeight="false" outlineLevel="0" collapsed="false">
      <c r="A11" s="49" t="n">
        <v>37019</v>
      </c>
      <c r="B11" s="0" t="n">
        <f aca="false">B$2+B$3</f>
        <v>5.25</v>
      </c>
      <c r="C11" s="48" t="n">
        <f aca="false">GasDaily!R11</f>
        <v>3.655</v>
      </c>
      <c r="D11" s="30" t="n">
        <v>10000</v>
      </c>
      <c r="E11" s="30" t="n">
        <v>-10000</v>
      </c>
      <c r="F11" s="30" t="n">
        <v>-10000</v>
      </c>
      <c r="G11" s="30" t="n">
        <v>10000</v>
      </c>
      <c r="H11" s="30" t="n">
        <v>-10000</v>
      </c>
      <c r="I11" s="30" t="n">
        <v>-10000</v>
      </c>
      <c r="J11" s="30" t="n">
        <v>10000</v>
      </c>
      <c r="K11" s="30" t="n">
        <v>10000</v>
      </c>
      <c r="L11" s="30" t="n">
        <v>10000</v>
      </c>
      <c r="M11" s="30" t="n">
        <v>10000</v>
      </c>
      <c r="N11" s="30" t="n">
        <v>10000</v>
      </c>
      <c r="O11" s="30" t="n">
        <v>10000</v>
      </c>
      <c r="P11" s="30" t="n">
        <v>-10000</v>
      </c>
      <c r="Q11" s="30"/>
      <c r="R11" s="30"/>
      <c r="S11" s="30"/>
      <c r="T11" s="30"/>
      <c r="U11" s="30"/>
      <c r="V11" s="30"/>
      <c r="W11" s="17" t="n">
        <f aca="false">SUM(D11:V11)</f>
        <v>30000</v>
      </c>
      <c r="X11" s="50"/>
      <c r="Y11" s="0" t="n">
        <f aca="false">D11*($C11-D$3)</f>
        <v>99.9999999999979</v>
      </c>
      <c r="Z11" s="0" t="n">
        <f aca="false">E11*($C11-E$3)</f>
        <v>-274.999999999999</v>
      </c>
      <c r="AA11" s="0" t="n">
        <f aca="false">F11*($C11-F$3)</f>
        <v>1850</v>
      </c>
      <c r="AB11" s="0" t="n">
        <f aca="false">G11*($C11-G$3)</f>
        <v>-1250</v>
      </c>
      <c r="AC11" s="0" t="n">
        <f aca="false">H11*($C11-H$3)</f>
        <v>950.000000000002</v>
      </c>
      <c r="AD11" s="0" t="n">
        <f aca="false">I11*($C11-I$3)</f>
        <v>2100</v>
      </c>
      <c r="AE11" s="0" t="n">
        <f aca="false">J11*($C11-J$3)</f>
        <v>-3400</v>
      </c>
      <c r="AF11" s="0" t="n">
        <f aca="false">K11*($C11-K$3)</f>
        <v>-3900</v>
      </c>
      <c r="AG11" s="0" t="n">
        <f aca="false">L11*($C11-L$3)</f>
        <v>-4000</v>
      </c>
      <c r="AH11" s="30" t="n">
        <f aca="false">M11*($C11-M$3)</f>
        <v>-3800</v>
      </c>
      <c r="AI11" s="0" t="n">
        <f aca="false">N11*($C11-N$3)</f>
        <v>-3150</v>
      </c>
      <c r="AJ11" s="30" t="n">
        <f aca="false">O11*($C11-O$3)</f>
        <v>-2250</v>
      </c>
      <c r="AK11" s="30" t="n">
        <f aca="false">P11*($C11-P$3)</f>
        <v>1800</v>
      </c>
      <c r="AL11" s="30" t="n">
        <f aca="false">Q11*($C11-Q$3)</f>
        <v>-0</v>
      </c>
      <c r="AM11" s="30" t="n">
        <f aca="false">R11*($C11-R$3)</f>
        <v>-0</v>
      </c>
      <c r="AN11" s="30" t="n">
        <f aca="false">S11*($C11-S$3)</f>
        <v>0</v>
      </c>
      <c r="AO11" s="30" t="n">
        <f aca="false">T11*($C11-T$3)</f>
        <v>0</v>
      </c>
      <c r="AP11" s="30" t="n">
        <f aca="false">U11*($C11-U$3)</f>
        <v>0</v>
      </c>
      <c r="AT11" s="0" t="n">
        <f aca="false">SUM(Y11:AS11)</f>
        <v>-15225</v>
      </c>
    </row>
    <row r="12" customFormat="false" ht="12.75" hidden="false" customHeight="false" outlineLevel="0" collapsed="false">
      <c r="A12" s="49" t="n">
        <v>37020</v>
      </c>
      <c r="B12" s="0" t="n">
        <f aca="false">B$2+B$3</f>
        <v>5.25</v>
      </c>
      <c r="C12" s="48" t="n">
        <f aca="false">GasDaily!R12</f>
        <v>3.6</v>
      </c>
      <c r="D12" s="30" t="n">
        <v>10000</v>
      </c>
      <c r="E12" s="30" t="n">
        <v>-10000</v>
      </c>
      <c r="F12" s="30" t="n">
        <v>-10000</v>
      </c>
      <c r="G12" s="30" t="n">
        <v>10000</v>
      </c>
      <c r="H12" s="30" t="n">
        <v>-10000</v>
      </c>
      <c r="I12" s="30" t="n">
        <v>-10000</v>
      </c>
      <c r="J12" s="30" t="n">
        <v>10000</v>
      </c>
      <c r="K12" s="30" t="n">
        <v>10000</v>
      </c>
      <c r="L12" s="30" t="n">
        <v>10000</v>
      </c>
      <c r="M12" s="30" t="n">
        <v>10000</v>
      </c>
      <c r="N12" s="30" t="n">
        <v>10000</v>
      </c>
      <c r="O12" s="30" t="n">
        <v>10000</v>
      </c>
      <c r="P12" s="30" t="n">
        <v>-10000</v>
      </c>
      <c r="Q12" s="30" t="n">
        <v>10000</v>
      </c>
      <c r="R12" s="30" t="n">
        <v>10000</v>
      </c>
      <c r="S12" s="30"/>
      <c r="T12" s="30"/>
      <c r="U12" s="30"/>
      <c r="V12" s="30"/>
      <c r="W12" s="17" t="n">
        <f aca="false">SUM(D12:V12)</f>
        <v>50000</v>
      </c>
      <c r="X12" s="50"/>
      <c r="Y12" s="0" t="n">
        <f aca="false">D12*($C12-D$3)</f>
        <v>-449.999999999999</v>
      </c>
      <c r="Z12" s="0" t="n">
        <f aca="false">E12*($C12-E$3)</f>
        <v>274.999999999999</v>
      </c>
      <c r="AA12" s="0" t="n">
        <f aca="false">F12*($C12-F$3)</f>
        <v>2400</v>
      </c>
      <c r="AB12" s="0" t="n">
        <f aca="false">G12*($C12-G$3)</f>
        <v>-1800</v>
      </c>
      <c r="AC12" s="0" t="n">
        <f aca="false">H12*($C12-H$3)</f>
        <v>1500</v>
      </c>
      <c r="AD12" s="0" t="n">
        <f aca="false">I12*($C12-I$3)</f>
        <v>2650</v>
      </c>
      <c r="AE12" s="0" t="n">
        <f aca="false">J12*($C12-J$3)</f>
        <v>-3950</v>
      </c>
      <c r="AF12" s="0" t="n">
        <f aca="false">K12*($C12-K$3)</f>
        <v>-4450</v>
      </c>
      <c r="AG12" s="0" t="n">
        <f aca="false">L12*($C12-L$3)</f>
        <v>-4550</v>
      </c>
      <c r="AH12" s="30" t="n">
        <f aca="false">M12*($C12-M$3)</f>
        <v>-4350</v>
      </c>
      <c r="AI12" s="0" t="n">
        <f aca="false">N12*($C12-N$3)</f>
        <v>-3700</v>
      </c>
      <c r="AJ12" s="30" t="n">
        <f aca="false">O12*($C12-O$3)</f>
        <v>-2800</v>
      </c>
      <c r="AK12" s="30" t="n">
        <f aca="false">P12*($C12-P$3)</f>
        <v>2350</v>
      </c>
      <c r="AL12" s="30" t="n">
        <f aca="false">Q12*($C12-Q$3)</f>
        <v>-899.999999999999</v>
      </c>
      <c r="AM12" s="30" t="n">
        <f aca="false">R12*($C12-R$3)</f>
        <v>-800.000000000001</v>
      </c>
      <c r="AN12" s="30" t="n">
        <f aca="false">S12*($C12-S$3)</f>
        <v>0</v>
      </c>
      <c r="AO12" s="30" t="n">
        <f aca="false">T12*($C12-T$3)</f>
        <v>0</v>
      </c>
      <c r="AP12" s="30" t="n">
        <f aca="false">U12*($C12-U$3)</f>
        <v>0</v>
      </c>
      <c r="AT12" s="0" t="n">
        <f aca="false">SUM(Y12:AS12)</f>
        <v>-18575</v>
      </c>
    </row>
    <row r="13" customFormat="false" ht="12.75" hidden="false" customHeight="false" outlineLevel="0" collapsed="false">
      <c r="A13" s="49" t="n">
        <v>37021</v>
      </c>
      <c r="B13" s="0" t="n">
        <f aca="false">B$2+B$3</f>
        <v>5.25</v>
      </c>
      <c r="C13" s="48" t="n">
        <f aca="false">GasDaily!R13</f>
        <v>3.6</v>
      </c>
      <c r="D13" s="30" t="n">
        <v>10000</v>
      </c>
      <c r="E13" s="30" t="n">
        <v>-10000</v>
      </c>
      <c r="F13" s="30" t="n">
        <v>-10000</v>
      </c>
      <c r="G13" s="30" t="n">
        <v>10000</v>
      </c>
      <c r="H13" s="30" t="n">
        <v>-10000</v>
      </c>
      <c r="I13" s="30" t="n">
        <v>-10000</v>
      </c>
      <c r="J13" s="30" t="n">
        <v>10000</v>
      </c>
      <c r="K13" s="30" t="n">
        <v>10000</v>
      </c>
      <c r="L13" s="30" t="n">
        <v>10000</v>
      </c>
      <c r="M13" s="30" t="n">
        <v>10000</v>
      </c>
      <c r="N13" s="30" t="n">
        <v>10000</v>
      </c>
      <c r="O13" s="30" t="n">
        <v>10000</v>
      </c>
      <c r="P13" s="30" t="n">
        <v>-10000</v>
      </c>
      <c r="Q13" s="30" t="n">
        <v>10000</v>
      </c>
      <c r="R13" s="30" t="n">
        <v>10000</v>
      </c>
      <c r="S13" s="30"/>
      <c r="T13" s="30"/>
      <c r="U13" s="30"/>
      <c r="V13" s="30"/>
      <c r="W13" s="17" t="n">
        <f aca="false">SUM(D13:V13)</f>
        <v>50000</v>
      </c>
      <c r="X13" s="50"/>
      <c r="Y13" s="0" t="n">
        <f aca="false">D13*($C13-D$3)</f>
        <v>-449.999999999999</v>
      </c>
      <c r="Z13" s="0" t="n">
        <f aca="false">E13*($C13-E$3)</f>
        <v>274.999999999999</v>
      </c>
      <c r="AA13" s="0" t="n">
        <f aca="false">F13*($C13-F$3)</f>
        <v>2400</v>
      </c>
      <c r="AB13" s="0" t="n">
        <f aca="false">G13*($C13-G$3)</f>
        <v>-1800</v>
      </c>
      <c r="AC13" s="0" t="n">
        <f aca="false">H13*($C13-H$3)</f>
        <v>1500</v>
      </c>
      <c r="AD13" s="0" t="n">
        <f aca="false">I13*($C13-I$3)</f>
        <v>2650</v>
      </c>
      <c r="AE13" s="0" t="n">
        <f aca="false">J13*($C13-J$3)</f>
        <v>-3950</v>
      </c>
      <c r="AF13" s="0" t="n">
        <f aca="false">K13*($C13-K$3)</f>
        <v>-4450</v>
      </c>
      <c r="AG13" s="0" t="n">
        <f aca="false">L13*($C13-L$3)</f>
        <v>-4550</v>
      </c>
      <c r="AH13" s="30" t="n">
        <f aca="false">M13*($C13-M$3)</f>
        <v>-4350</v>
      </c>
      <c r="AI13" s="0" t="n">
        <f aca="false">N13*($C13-N$3)</f>
        <v>-3700</v>
      </c>
      <c r="AJ13" s="30" t="n">
        <f aca="false">O13*($C13-O$3)</f>
        <v>-2800</v>
      </c>
      <c r="AK13" s="30" t="n">
        <f aca="false">P13*($C13-P$3)</f>
        <v>2350</v>
      </c>
      <c r="AL13" s="30" t="n">
        <f aca="false">Q13*($C13-Q$3)</f>
        <v>-899.999999999999</v>
      </c>
      <c r="AM13" s="30" t="n">
        <f aca="false">R13*($C13-R$3)</f>
        <v>-800.000000000001</v>
      </c>
      <c r="AN13" s="30" t="n">
        <f aca="false">S13*($C13-S$3)</f>
        <v>0</v>
      </c>
      <c r="AO13" s="30" t="n">
        <f aca="false">T13*($C13-T$3)</f>
        <v>0</v>
      </c>
      <c r="AP13" s="30" t="n">
        <f aca="false">U13*($C13-U$3)</f>
        <v>0</v>
      </c>
      <c r="AT13" s="0" t="n">
        <f aca="false">SUM(Y13:AS13)</f>
        <v>-18575</v>
      </c>
    </row>
    <row r="14" customFormat="false" ht="12.75" hidden="false" customHeight="false" outlineLevel="0" collapsed="false">
      <c r="A14" s="49" t="n">
        <v>37022</v>
      </c>
      <c r="B14" s="0" t="n">
        <f aca="false">B$2+B$3</f>
        <v>5.25</v>
      </c>
      <c r="C14" s="48" t="n">
        <f aca="false">GasDaily!R14</f>
        <v>3.6</v>
      </c>
      <c r="D14" s="30" t="n">
        <v>10000</v>
      </c>
      <c r="E14" s="30" t="n">
        <v>-10000</v>
      </c>
      <c r="F14" s="30" t="n">
        <v>-10000</v>
      </c>
      <c r="G14" s="30" t="n">
        <v>10000</v>
      </c>
      <c r="H14" s="30" t="n">
        <v>-10000</v>
      </c>
      <c r="I14" s="30" t="n">
        <v>-10000</v>
      </c>
      <c r="J14" s="30" t="n">
        <v>10000</v>
      </c>
      <c r="K14" s="30" t="n">
        <v>10000</v>
      </c>
      <c r="L14" s="30" t="n">
        <v>10000</v>
      </c>
      <c r="M14" s="30" t="n">
        <v>10000</v>
      </c>
      <c r="N14" s="30" t="n">
        <v>10000</v>
      </c>
      <c r="O14" s="30" t="n">
        <v>10000</v>
      </c>
      <c r="P14" s="30" t="n">
        <v>-10000</v>
      </c>
      <c r="Q14" s="30" t="n">
        <v>10000</v>
      </c>
      <c r="R14" s="30" t="n">
        <v>10000</v>
      </c>
      <c r="S14" s="30"/>
      <c r="T14" s="30"/>
      <c r="U14" s="30"/>
      <c r="V14" s="30"/>
      <c r="W14" s="17" t="n">
        <f aca="false">SUM(D14:V14)</f>
        <v>50000</v>
      </c>
      <c r="X14" s="50"/>
      <c r="Y14" s="0" t="n">
        <f aca="false">D14*($C14-D$3)</f>
        <v>-449.999999999999</v>
      </c>
      <c r="Z14" s="0" t="n">
        <f aca="false">E14*($C14-E$3)</f>
        <v>274.999999999999</v>
      </c>
      <c r="AA14" s="0" t="n">
        <f aca="false">F14*($C14-F$3)</f>
        <v>2400</v>
      </c>
      <c r="AB14" s="0" t="n">
        <f aca="false">G14*($C14-G$3)</f>
        <v>-1800</v>
      </c>
      <c r="AC14" s="0" t="n">
        <f aca="false">H14*($C14-H$3)</f>
        <v>1500</v>
      </c>
      <c r="AD14" s="0" t="n">
        <f aca="false">I14*($C14-I$3)</f>
        <v>2650</v>
      </c>
      <c r="AE14" s="0" t="n">
        <f aca="false">J14*($C14-J$3)</f>
        <v>-3950</v>
      </c>
      <c r="AF14" s="0" t="n">
        <f aca="false">K14*($C14-K$3)</f>
        <v>-4450</v>
      </c>
      <c r="AG14" s="0" t="n">
        <f aca="false">L14*($C14-L$3)</f>
        <v>-4550</v>
      </c>
      <c r="AH14" s="30" t="n">
        <f aca="false">M14*($C14-M$3)</f>
        <v>-4350</v>
      </c>
      <c r="AI14" s="0" t="n">
        <f aca="false">N14*($C14-N$3)</f>
        <v>-3700</v>
      </c>
      <c r="AJ14" s="30" t="n">
        <f aca="false">O14*($C14-O$3)</f>
        <v>-2800</v>
      </c>
      <c r="AK14" s="30" t="n">
        <f aca="false">P14*($C14-P$3)</f>
        <v>2350</v>
      </c>
      <c r="AL14" s="30" t="n">
        <f aca="false">Q14*($C14-Q$3)</f>
        <v>-899.999999999999</v>
      </c>
      <c r="AM14" s="30" t="n">
        <f aca="false">R14*($C14-R$3)</f>
        <v>-800.000000000001</v>
      </c>
      <c r="AN14" s="30" t="n">
        <f aca="false">S14*($C14-S$3)</f>
        <v>0</v>
      </c>
      <c r="AO14" s="30" t="n">
        <f aca="false">T14*($C14-T$3)</f>
        <v>0</v>
      </c>
      <c r="AP14" s="30" t="n">
        <f aca="false">U14*($C14-U$3)</f>
        <v>0</v>
      </c>
      <c r="AT14" s="0" t="n">
        <f aca="false">SUM(Y14:AS14)</f>
        <v>-18575</v>
      </c>
    </row>
    <row r="15" customFormat="false" ht="12.75" hidden="false" customHeight="false" outlineLevel="0" collapsed="false">
      <c r="A15" s="49" t="n">
        <v>37023</v>
      </c>
      <c r="B15" s="0" t="n">
        <f aca="false">B$2+B$3</f>
        <v>5.25</v>
      </c>
      <c r="C15" s="48" t="n">
        <f aca="false">GasDaily!R15</f>
        <v>3.79</v>
      </c>
      <c r="D15" s="30" t="n">
        <v>10000</v>
      </c>
      <c r="E15" s="30" t="n">
        <v>-10000</v>
      </c>
      <c r="F15" s="30" t="n">
        <v>-10000</v>
      </c>
      <c r="G15" s="30" t="n">
        <v>10000</v>
      </c>
      <c r="H15" s="30" t="n">
        <v>-10000</v>
      </c>
      <c r="I15" s="30" t="n">
        <v>-10000</v>
      </c>
      <c r="J15" s="30" t="n">
        <v>10000</v>
      </c>
      <c r="K15" s="30" t="n">
        <v>10000</v>
      </c>
      <c r="L15" s="30" t="n">
        <v>10000</v>
      </c>
      <c r="M15" s="30" t="n">
        <v>10000</v>
      </c>
      <c r="N15" s="30" t="n">
        <v>10000</v>
      </c>
      <c r="O15" s="30" t="n">
        <v>10000</v>
      </c>
      <c r="P15" s="30" t="n">
        <v>-10000</v>
      </c>
      <c r="Q15" s="30" t="n">
        <v>10000</v>
      </c>
      <c r="R15" s="30" t="n">
        <v>10000</v>
      </c>
      <c r="S15" s="30"/>
      <c r="T15" s="30"/>
      <c r="U15" s="30"/>
      <c r="V15" s="30"/>
      <c r="W15" s="17" t="n">
        <f aca="false">SUM(D15:V15)</f>
        <v>50000</v>
      </c>
      <c r="X15" s="50"/>
      <c r="Y15" s="0" t="n">
        <f aca="false">D15*($C15-D$3)</f>
        <v>1450</v>
      </c>
      <c r="Z15" s="0" t="n">
        <f aca="false">E15*($C15-E$3)</f>
        <v>-1625</v>
      </c>
      <c r="AA15" s="0" t="n">
        <f aca="false">F15*($C15-F$3)</f>
        <v>499.999999999998</v>
      </c>
      <c r="AB15" s="0" t="n">
        <f aca="false">G15*($C15-G$3)</f>
        <v>100.000000000002</v>
      </c>
      <c r="AC15" s="0" t="n">
        <f aca="false">H15*($C15-H$3)</f>
        <v>-400</v>
      </c>
      <c r="AD15" s="0" t="n">
        <f aca="false">I15*($C15-I$3)</f>
        <v>750.000000000002</v>
      </c>
      <c r="AE15" s="0" t="n">
        <f aca="false">J15*($C15-J$3)</f>
        <v>-2050</v>
      </c>
      <c r="AF15" s="0" t="n">
        <f aca="false">K15*($C15-K$3)</f>
        <v>-2550</v>
      </c>
      <c r="AG15" s="0" t="n">
        <f aca="false">L15*($C15-L$3)</f>
        <v>-2650</v>
      </c>
      <c r="AH15" s="30" t="n">
        <f aca="false">M15*($C15-M$3)</f>
        <v>-2450</v>
      </c>
      <c r="AI15" s="0" t="n">
        <f aca="false">N15*($C15-N$3)</f>
        <v>-1800</v>
      </c>
      <c r="AJ15" s="30" t="n">
        <f aca="false">O15*($C15-O$3)</f>
        <v>-899.999999999999</v>
      </c>
      <c r="AK15" s="30" t="n">
        <f aca="false">P15*($C15-P$3)</f>
        <v>449.999999999999</v>
      </c>
      <c r="AL15" s="30" t="n">
        <f aca="false">Q15*($C15-Q$3)</f>
        <v>1000</v>
      </c>
      <c r="AM15" s="30" t="n">
        <f aca="false">R15*($C15-R$3)</f>
        <v>1100</v>
      </c>
      <c r="AN15" s="30" t="n">
        <f aca="false">S15*($C15-S$3)</f>
        <v>0</v>
      </c>
      <c r="AO15" s="30" t="n">
        <f aca="false">T15*($C15-T$3)</f>
        <v>0</v>
      </c>
      <c r="AP15" s="30" t="n">
        <f aca="false">U15*($C15-U$3)</f>
        <v>0</v>
      </c>
      <c r="AT15" s="0" t="n">
        <f aca="false">SUM(Y15:AS15)</f>
        <v>-9075</v>
      </c>
    </row>
    <row r="16" customFormat="false" ht="12.75" hidden="false" customHeight="false" outlineLevel="0" collapsed="false">
      <c r="A16" s="49" t="n">
        <v>37024</v>
      </c>
      <c r="B16" s="0" t="n">
        <f aca="false">B$2+B$3</f>
        <v>5.25</v>
      </c>
      <c r="C16" s="48" t="n">
        <f aca="false">GasDaily!R16</f>
        <v>3.79</v>
      </c>
      <c r="D16" s="30" t="n">
        <v>10000</v>
      </c>
      <c r="E16" s="30" t="n">
        <v>-10000</v>
      </c>
      <c r="F16" s="30" t="n">
        <v>-10000</v>
      </c>
      <c r="G16" s="30" t="n">
        <v>10000</v>
      </c>
      <c r="H16" s="30" t="n">
        <v>-10000</v>
      </c>
      <c r="I16" s="30" t="n">
        <v>-10000</v>
      </c>
      <c r="J16" s="30" t="n">
        <v>10000</v>
      </c>
      <c r="K16" s="30" t="n">
        <v>10000</v>
      </c>
      <c r="L16" s="30" t="n">
        <v>10000</v>
      </c>
      <c r="M16" s="30" t="n">
        <v>10000</v>
      </c>
      <c r="N16" s="30" t="n">
        <v>10000</v>
      </c>
      <c r="O16" s="30" t="n">
        <v>10000</v>
      </c>
      <c r="P16" s="30" t="n">
        <v>-10000</v>
      </c>
      <c r="Q16" s="30" t="n">
        <v>10000</v>
      </c>
      <c r="R16" s="30" t="n">
        <v>10000</v>
      </c>
      <c r="S16" s="30"/>
      <c r="T16" s="30"/>
      <c r="U16" s="30"/>
      <c r="V16" s="30"/>
      <c r="W16" s="17" t="n">
        <f aca="false">SUM(D16:V16)</f>
        <v>50000</v>
      </c>
      <c r="X16" s="50"/>
      <c r="Y16" s="0" t="n">
        <f aca="false">D16*($C16-D$3)</f>
        <v>1450</v>
      </c>
      <c r="Z16" s="0" t="n">
        <f aca="false">E16*($C16-E$3)</f>
        <v>-1625</v>
      </c>
      <c r="AA16" s="0" t="n">
        <f aca="false">F16*($C16-F$3)</f>
        <v>499.999999999998</v>
      </c>
      <c r="AB16" s="0" t="n">
        <f aca="false">G16*($C16-G$3)</f>
        <v>100.000000000002</v>
      </c>
      <c r="AC16" s="0" t="n">
        <f aca="false">H16*($C16-H$3)</f>
        <v>-400</v>
      </c>
      <c r="AD16" s="0" t="n">
        <f aca="false">I16*($C16-I$3)</f>
        <v>750.000000000002</v>
      </c>
      <c r="AE16" s="0" t="n">
        <f aca="false">J16*($C16-J$3)</f>
        <v>-2050</v>
      </c>
      <c r="AF16" s="0" t="n">
        <f aca="false">K16*($C16-K$3)</f>
        <v>-2550</v>
      </c>
      <c r="AG16" s="0" t="n">
        <f aca="false">L16*($C16-L$3)</f>
        <v>-2650</v>
      </c>
      <c r="AH16" s="30" t="n">
        <f aca="false">M16*($C16-M$3)</f>
        <v>-2450</v>
      </c>
      <c r="AI16" s="0" t="n">
        <f aca="false">N16*($C16-N$3)</f>
        <v>-1800</v>
      </c>
      <c r="AJ16" s="30" t="n">
        <f aca="false">O16*($C16-O$3)</f>
        <v>-899.999999999999</v>
      </c>
      <c r="AK16" s="30" t="n">
        <f aca="false">P16*($C16-P$3)</f>
        <v>449.999999999999</v>
      </c>
      <c r="AL16" s="30" t="n">
        <f aca="false">Q16*($C16-Q$3)</f>
        <v>1000</v>
      </c>
      <c r="AM16" s="30" t="n">
        <f aca="false">R16*($C16-R$3)</f>
        <v>1100</v>
      </c>
      <c r="AN16" s="30" t="n">
        <f aca="false">S16*($C16-S$3)</f>
        <v>0</v>
      </c>
      <c r="AO16" s="30" t="n">
        <f aca="false">T16*($C16-T$3)</f>
        <v>0</v>
      </c>
      <c r="AP16" s="30" t="n">
        <f aca="false">U16*($C16-U$3)</f>
        <v>0</v>
      </c>
      <c r="AT16" s="0" t="n">
        <f aca="false">SUM(Y16:AS16)</f>
        <v>-9075</v>
      </c>
    </row>
    <row r="17" customFormat="false" ht="12.75" hidden="false" customHeight="false" outlineLevel="0" collapsed="false">
      <c r="A17" s="49" t="n">
        <v>37025</v>
      </c>
      <c r="B17" s="0" t="n">
        <f aca="false">B$2+B$3</f>
        <v>5.25</v>
      </c>
      <c r="C17" s="48" t="n">
        <f aca="false">GasDaily!R17</f>
        <v>3.79</v>
      </c>
      <c r="D17" s="30" t="n">
        <v>10000</v>
      </c>
      <c r="E17" s="30" t="n">
        <v>-10000</v>
      </c>
      <c r="F17" s="30" t="n">
        <v>-10000</v>
      </c>
      <c r="G17" s="30" t="n">
        <v>10000</v>
      </c>
      <c r="H17" s="30" t="n">
        <v>-10000</v>
      </c>
      <c r="I17" s="30" t="n">
        <v>-10000</v>
      </c>
      <c r="J17" s="30" t="n">
        <v>10000</v>
      </c>
      <c r="K17" s="30" t="n">
        <v>10000</v>
      </c>
      <c r="L17" s="30" t="n">
        <v>10000</v>
      </c>
      <c r="M17" s="30" t="n">
        <v>10000</v>
      </c>
      <c r="N17" s="30" t="n">
        <v>10000</v>
      </c>
      <c r="O17" s="30" t="n">
        <v>10000</v>
      </c>
      <c r="P17" s="30" t="n">
        <v>-10000</v>
      </c>
      <c r="Q17" s="30" t="n">
        <v>10000</v>
      </c>
      <c r="R17" s="30" t="n">
        <v>10000</v>
      </c>
      <c r="S17" s="30"/>
      <c r="T17" s="30"/>
      <c r="U17" s="30"/>
      <c r="V17" s="30"/>
      <c r="W17" s="17" t="n">
        <f aca="false">SUM(D17:V17)</f>
        <v>50000</v>
      </c>
      <c r="X17" s="50"/>
      <c r="Y17" s="0" t="n">
        <f aca="false">D17*($C17-D$3)</f>
        <v>1450</v>
      </c>
      <c r="Z17" s="0" t="n">
        <f aca="false">E17*($C17-E$3)</f>
        <v>-1625</v>
      </c>
      <c r="AA17" s="0" t="n">
        <f aca="false">F17*($C17-F$3)</f>
        <v>499.999999999998</v>
      </c>
      <c r="AB17" s="0" t="n">
        <f aca="false">G17*($C17-G$3)</f>
        <v>100.000000000002</v>
      </c>
      <c r="AC17" s="0" t="n">
        <f aca="false">H17*($C17-H$3)</f>
        <v>-400</v>
      </c>
      <c r="AD17" s="0" t="n">
        <f aca="false">I17*($C17-I$3)</f>
        <v>750.000000000002</v>
      </c>
      <c r="AE17" s="0" t="n">
        <f aca="false">J17*($C17-J$3)</f>
        <v>-2050</v>
      </c>
      <c r="AF17" s="0" t="n">
        <f aca="false">K17*($C17-K$3)</f>
        <v>-2550</v>
      </c>
      <c r="AG17" s="0" t="n">
        <f aca="false">L17*($C17-L$3)</f>
        <v>-2650</v>
      </c>
      <c r="AH17" s="30" t="n">
        <f aca="false">M17*($C17-M$3)</f>
        <v>-2450</v>
      </c>
      <c r="AI17" s="0" t="n">
        <f aca="false">N17*($C17-N$3)</f>
        <v>-1800</v>
      </c>
      <c r="AJ17" s="30" t="n">
        <f aca="false">O17*($C17-O$3)</f>
        <v>-899.999999999999</v>
      </c>
      <c r="AK17" s="30" t="n">
        <f aca="false">P17*($C17-P$3)</f>
        <v>449.999999999999</v>
      </c>
      <c r="AL17" s="30" t="n">
        <f aca="false">Q17*($C17-Q$3)</f>
        <v>1000</v>
      </c>
      <c r="AM17" s="30" t="n">
        <f aca="false">R17*($C17-R$3)</f>
        <v>1100</v>
      </c>
      <c r="AN17" s="30" t="n">
        <f aca="false">S17*($C17-S$3)</f>
        <v>0</v>
      </c>
      <c r="AO17" s="30" t="n">
        <f aca="false">T17*($C17-T$3)</f>
        <v>0</v>
      </c>
      <c r="AP17" s="30" t="n">
        <f aca="false">U17*($C17-U$3)</f>
        <v>0</v>
      </c>
      <c r="AT17" s="0" t="n">
        <f aca="false">SUM(Y17:AS17)</f>
        <v>-9075</v>
      </c>
    </row>
    <row r="18" customFormat="false" ht="12.75" hidden="false" customHeight="false" outlineLevel="0" collapsed="false">
      <c r="A18" s="49" t="n">
        <v>37026</v>
      </c>
      <c r="B18" s="0" t="n">
        <f aca="false">B$2+B$3</f>
        <v>5.25</v>
      </c>
      <c r="C18" s="48" t="n">
        <f aca="false">GasDaily!R18</f>
        <v>3.79</v>
      </c>
      <c r="D18" s="30" t="n">
        <v>10000</v>
      </c>
      <c r="E18" s="30" t="n">
        <v>-10000</v>
      </c>
      <c r="F18" s="30" t="n">
        <v>-10000</v>
      </c>
      <c r="G18" s="30" t="n">
        <v>10000</v>
      </c>
      <c r="H18" s="30" t="n">
        <v>-10000</v>
      </c>
      <c r="I18" s="30" t="n">
        <v>-10000</v>
      </c>
      <c r="J18" s="30" t="n">
        <v>10000</v>
      </c>
      <c r="K18" s="30" t="n">
        <v>10000</v>
      </c>
      <c r="L18" s="30" t="n">
        <v>10000</v>
      </c>
      <c r="M18" s="30" t="n">
        <v>10000</v>
      </c>
      <c r="N18" s="30" t="n">
        <v>10000</v>
      </c>
      <c r="O18" s="30" t="n">
        <v>10000</v>
      </c>
      <c r="P18" s="30" t="n">
        <v>-10000</v>
      </c>
      <c r="Q18" s="30" t="n">
        <v>10000</v>
      </c>
      <c r="R18" s="30" t="n">
        <v>10000</v>
      </c>
      <c r="S18" s="30"/>
      <c r="T18" s="30"/>
      <c r="U18" s="30"/>
      <c r="V18" s="30"/>
      <c r="W18" s="17" t="n">
        <f aca="false">SUM(D18:V18)</f>
        <v>50000</v>
      </c>
      <c r="X18" s="50"/>
      <c r="Y18" s="0" t="n">
        <f aca="false">D18*($C18-D$3)</f>
        <v>1450</v>
      </c>
      <c r="Z18" s="0" t="n">
        <f aca="false">E18*($C18-E$3)</f>
        <v>-1625</v>
      </c>
      <c r="AA18" s="0" t="n">
        <f aca="false">F18*($C18-F$3)</f>
        <v>499.999999999998</v>
      </c>
      <c r="AB18" s="0" t="n">
        <f aca="false">G18*($C18-G$3)</f>
        <v>100.000000000002</v>
      </c>
      <c r="AC18" s="0" t="n">
        <f aca="false">H18*($C18-H$3)</f>
        <v>-400</v>
      </c>
      <c r="AD18" s="0" t="n">
        <f aca="false">I18*($C18-I$3)</f>
        <v>750.000000000002</v>
      </c>
      <c r="AE18" s="0" t="n">
        <f aca="false">J18*($C18-J$3)</f>
        <v>-2050</v>
      </c>
      <c r="AF18" s="0" t="n">
        <f aca="false">K18*($C18-K$3)</f>
        <v>-2550</v>
      </c>
      <c r="AG18" s="0" t="n">
        <f aca="false">L18*($C18-L$3)</f>
        <v>-2650</v>
      </c>
      <c r="AH18" s="30" t="n">
        <f aca="false">M18*($C18-M$3)</f>
        <v>-2450</v>
      </c>
      <c r="AI18" s="0" t="n">
        <f aca="false">N18*($C18-N$3)</f>
        <v>-1800</v>
      </c>
      <c r="AJ18" s="30" t="n">
        <f aca="false">O18*($C18-O$3)</f>
        <v>-899.999999999999</v>
      </c>
      <c r="AK18" s="30" t="n">
        <f aca="false">P18*($C18-P$3)</f>
        <v>449.999999999999</v>
      </c>
      <c r="AL18" s="30" t="n">
        <f aca="false">Q18*($C18-Q$3)</f>
        <v>1000</v>
      </c>
      <c r="AM18" s="30" t="n">
        <f aca="false">R18*($C18-R$3)</f>
        <v>1100</v>
      </c>
      <c r="AN18" s="30" t="n">
        <f aca="false">S18*($C18-S$3)</f>
        <v>0</v>
      </c>
      <c r="AO18" s="30" t="n">
        <f aca="false">T18*($C18-T$3)</f>
        <v>0</v>
      </c>
      <c r="AP18" s="30" t="n">
        <f aca="false">U18*($C18-U$3)</f>
        <v>0</v>
      </c>
      <c r="AT18" s="0" t="n">
        <f aca="false">SUM(Y18:AS18)</f>
        <v>-9075</v>
      </c>
    </row>
    <row r="19" customFormat="false" ht="12.75" hidden="false" customHeight="false" outlineLevel="0" collapsed="false">
      <c r="A19" s="49" t="n">
        <v>37027</v>
      </c>
      <c r="B19" s="0" t="n">
        <f aca="false">B$2+B$3</f>
        <v>5.25</v>
      </c>
      <c r="C19" s="48" t="n">
        <f aca="false">GasDaily!R19</f>
        <v>3.79</v>
      </c>
      <c r="D19" s="30" t="n">
        <v>10000</v>
      </c>
      <c r="E19" s="30" t="n">
        <v>-10000</v>
      </c>
      <c r="F19" s="30" t="n">
        <v>-10000</v>
      </c>
      <c r="G19" s="30" t="n">
        <v>10000</v>
      </c>
      <c r="H19" s="30" t="n">
        <v>-10000</v>
      </c>
      <c r="I19" s="30" t="n">
        <v>-10000</v>
      </c>
      <c r="J19" s="30" t="n">
        <v>10000</v>
      </c>
      <c r="K19" s="30" t="n">
        <v>10000</v>
      </c>
      <c r="L19" s="30" t="n">
        <v>10000</v>
      </c>
      <c r="M19" s="30" t="n">
        <v>10000</v>
      </c>
      <c r="N19" s="30" t="n">
        <v>10000</v>
      </c>
      <c r="O19" s="30" t="n">
        <v>10000</v>
      </c>
      <c r="P19" s="30" t="n">
        <v>-10000</v>
      </c>
      <c r="Q19" s="30" t="n">
        <v>10000</v>
      </c>
      <c r="R19" s="30" t="n">
        <v>10000</v>
      </c>
      <c r="S19" s="30"/>
      <c r="T19" s="30"/>
      <c r="U19" s="30"/>
      <c r="V19" s="30"/>
      <c r="W19" s="17" t="n">
        <f aca="false">SUM(D19:V19)</f>
        <v>50000</v>
      </c>
      <c r="X19" s="50"/>
      <c r="Y19" s="0" t="n">
        <f aca="false">D19*($C19-D$3)</f>
        <v>1450</v>
      </c>
      <c r="Z19" s="0" t="n">
        <f aca="false">E19*($C19-E$3)</f>
        <v>-1625</v>
      </c>
      <c r="AA19" s="0" t="n">
        <f aca="false">F19*($C19-F$3)</f>
        <v>499.999999999998</v>
      </c>
      <c r="AB19" s="0" t="n">
        <f aca="false">G19*($C19-G$3)</f>
        <v>100.000000000002</v>
      </c>
      <c r="AC19" s="0" t="n">
        <f aca="false">H19*($C19-H$3)</f>
        <v>-400</v>
      </c>
      <c r="AD19" s="0" t="n">
        <f aca="false">I19*($C19-I$3)</f>
        <v>750.000000000002</v>
      </c>
      <c r="AE19" s="0" t="n">
        <f aca="false">J19*($C19-J$3)</f>
        <v>-2050</v>
      </c>
      <c r="AF19" s="0" t="n">
        <f aca="false">K19*($C19-K$3)</f>
        <v>-2550</v>
      </c>
      <c r="AG19" s="0" t="n">
        <f aca="false">L19*($C19-L$3)</f>
        <v>-2650</v>
      </c>
      <c r="AH19" s="30" t="n">
        <f aca="false">M19*($C19-M$3)</f>
        <v>-2450</v>
      </c>
      <c r="AI19" s="0" t="n">
        <f aca="false">N19*($C19-N$3)</f>
        <v>-1800</v>
      </c>
      <c r="AJ19" s="30" t="n">
        <f aca="false">O19*($C19-O$3)</f>
        <v>-899.999999999999</v>
      </c>
      <c r="AK19" s="30" t="n">
        <f aca="false">P19*($C19-P$3)</f>
        <v>449.999999999999</v>
      </c>
      <c r="AL19" s="30" t="n">
        <f aca="false">Q19*($C19-Q$3)</f>
        <v>1000</v>
      </c>
      <c r="AM19" s="30" t="n">
        <f aca="false">R19*($C19-R$3)</f>
        <v>1100</v>
      </c>
      <c r="AN19" s="30" t="n">
        <f aca="false">S19*($C19-S$3)</f>
        <v>0</v>
      </c>
      <c r="AO19" s="30" t="n">
        <f aca="false">T19*($C19-T$3)</f>
        <v>0</v>
      </c>
      <c r="AP19" s="30" t="n">
        <f aca="false">U19*($C19-U$3)</f>
        <v>0</v>
      </c>
      <c r="AT19" s="0" t="n">
        <f aca="false">SUM(Y19:AS19)</f>
        <v>-9075</v>
      </c>
    </row>
    <row r="20" customFormat="false" ht="12.75" hidden="false" customHeight="false" outlineLevel="0" collapsed="false">
      <c r="A20" s="49" t="n">
        <v>37028</v>
      </c>
      <c r="B20" s="0" t="n">
        <f aca="false">B$2+B$3</f>
        <v>5.25</v>
      </c>
      <c r="C20" s="48" t="n">
        <f aca="false">GasDaily!R20</f>
        <v>3.79</v>
      </c>
      <c r="D20" s="30" t="n">
        <v>10000</v>
      </c>
      <c r="E20" s="30" t="n">
        <v>-10000</v>
      </c>
      <c r="F20" s="30" t="n">
        <v>-10000</v>
      </c>
      <c r="G20" s="30" t="n">
        <v>10000</v>
      </c>
      <c r="H20" s="30" t="n">
        <v>-10000</v>
      </c>
      <c r="I20" s="30" t="n">
        <v>-10000</v>
      </c>
      <c r="J20" s="30" t="n">
        <v>10000</v>
      </c>
      <c r="K20" s="30" t="n">
        <v>10000</v>
      </c>
      <c r="L20" s="30" t="n">
        <v>10000</v>
      </c>
      <c r="M20" s="30" t="n">
        <v>10000</v>
      </c>
      <c r="N20" s="30" t="n">
        <v>10000</v>
      </c>
      <c r="O20" s="30" t="n">
        <v>10000</v>
      </c>
      <c r="P20" s="30" t="n">
        <v>-10000</v>
      </c>
      <c r="Q20" s="30" t="n">
        <v>10000</v>
      </c>
      <c r="R20" s="30" t="n">
        <v>10000</v>
      </c>
      <c r="S20" s="30"/>
      <c r="T20" s="30"/>
      <c r="U20" s="30"/>
      <c r="V20" s="30"/>
      <c r="W20" s="17" t="n">
        <f aca="false">SUM(D20:V20)</f>
        <v>50000</v>
      </c>
      <c r="X20" s="50"/>
      <c r="Y20" s="0" t="n">
        <f aca="false">D20*($C20-D$3)</f>
        <v>1450</v>
      </c>
      <c r="Z20" s="0" t="n">
        <f aca="false">E20*($C20-E$3)</f>
        <v>-1625</v>
      </c>
      <c r="AA20" s="0" t="n">
        <f aca="false">F20*($C20-F$3)</f>
        <v>499.999999999998</v>
      </c>
      <c r="AB20" s="0" t="n">
        <f aca="false">G20*($C20-G$3)</f>
        <v>100.000000000002</v>
      </c>
      <c r="AC20" s="0" t="n">
        <f aca="false">H20*($C20-H$3)</f>
        <v>-400</v>
      </c>
      <c r="AD20" s="0" t="n">
        <f aca="false">I20*($C20-I$3)</f>
        <v>750.000000000002</v>
      </c>
      <c r="AE20" s="0" t="n">
        <f aca="false">J20*($C20-J$3)</f>
        <v>-2050</v>
      </c>
      <c r="AF20" s="0" t="n">
        <f aca="false">K20*($C20-K$3)</f>
        <v>-2550</v>
      </c>
      <c r="AG20" s="0" t="n">
        <f aca="false">L20*($C20-L$3)</f>
        <v>-2650</v>
      </c>
      <c r="AH20" s="30" t="n">
        <f aca="false">M20*($C20-M$3)</f>
        <v>-2450</v>
      </c>
      <c r="AI20" s="0" t="n">
        <f aca="false">N20*($C20-N$3)</f>
        <v>-1800</v>
      </c>
      <c r="AJ20" s="30" t="n">
        <f aca="false">O20*($C20-O$3)</f>
        <v>-899.999999999999</v>
      </c>
      <c r="AK20" s="30" t="n">
        <f aca="false">P20*($C20-P$3)</f>
        <v>449.999999999999</v>
      </c>
      <c r="AL20" s="30" t="n">
        <f aca="false">Q20*($C20-Q$3)</f>
        <v>1000</v>
      </c>
      <c r="AM20" s="30" t="n">
        <f aca="false">R20*($C20-R$3)</f>
        <v>1100</v>
      </c>
      <c r="AN20" s="30" t="n">
        <f aca="false">S20*($C20-S$3)</f>
        <v>0</v>
      </c>
      <c r="AO20" s="30" t="n">
        <f aca="false">T20*($C20-T$3)</f>
        <v>0</v>
      </c>
      <c r="AP20" s="30" t="n">
        <f aca="false">U20*($C20-U$3)</f>
        <v>0</v>
      </c>
      <c r="AT20" s="0" t="n">
        <f aca="false">SUM(Y20:AS20)</f>
        <v>-9075</v>
      </c>
    </row>
    <row r="21" customFormat="false" ht="12.75" hidden="false" customHeight="false" outlineLevel="0" collapsed="false">
      <c r="A21" s="49" t="n">
        <v>37029</v>
      </c>
      <c r="B21" s="0" t="n">
        <f aca="false">B$2+B$3</f>
        <v>5.25</v>
      </c>
      <c r="C21" s="48" t="n">
        <f aca="false">GasDaily!R21</f>
        <v>3.79</v>
      </c>
      <c r="D21" s="30" t="n">
        <v>10000</v>
      </c>
      <c r="E21" s="30" t="n">
        <v>-10000</v>
      </c>
      <c r="F21" s="30" t="n">
        <v>-10000</v>
      </c>
      <c r="G21" s="30" t="n">
        <v>10000</v>
      </c>
      <c r="H21" s="30" t="n">
        <v>-10000</v>
      </c>
      <c r="I21" s="30" t="n">
        <v>-10000</v>
      </c>
      <c r="J21" s="30" t="n">
        <v>10000</v>
      </c>
      <c r="K21" s="30" t="n">
        <v>10000</v>
      </c>
      <c r="L21" s="30" t="n">
        <v>10000</v>
      </c>
      <c r="M21" s="30" t="n">
        <v>10000</v>
      </c>
      <c r="N21" s="30" t="n">
        <v>10000</v>
      </c>
      <c r="O21" s="30" t="n">
        <v>10000</v>
      </c>
      <c r="P21" s="30" t="n">
        <v>-10000</v>
      </c>
      <c r="Q21" s="30" t="n">
        <v>10000</v>
      </c>
      <c r="R21" s="30" t="n">
        <v>10000</v>
      </c>
      <c r="S21" s="30"/>
      <c r="T21" s="30"/>
      <c r="U21" s="30"/>
      <c r="V21" s="30"/>
      <c r="W21" s="17" t="n">
        <f aca="false">SUM(D21:V21)</f>
        <v>50000</v>
      </c>
      <c r="X21" s="50"/>
      <c r="Y21" s="0" t="n">
        <f aca="false">D21*($C21-D$3)</f>
        <v>1450</v>
      </c>
      <c r="Z21" s="0" t="n">
        <f aca="false">E21*($C21-E$3)</f>
        <v>-1625</v>
      </c>
      <c r="AA21" s="0" t="n">
        <f aca="false">F21*($C21-F$3)</f>
        <v>499.999999999998</v>
      </c>
      <c r="AB21" s="0" t="n">
        <f aca="false">G21*($C21-G$3)</f>
        <v>100.000000000002</v>
      </c>
      <c r="AC21" s="0" t="n">
        <f aca="false">H21*($C21-H$3)</f>
        <v>-400</v>
      </c>
      <c r="AD21" s="0" t="n">
        <f aca="false">I21*($C21-I$3)</f>
        <v>750.000000000002</v>
      </c>
      <c r="AE21" s="0" t="n">
        <f aca="false">J21*($C21-J$3)</f>
        <v>-2050</v>
      </c>
      <c r="AF21" s="0" t="n">
        <f aca="false">K21*($C21-K$3)</f>
        <v>-2550</v>
      </c>
      <c r="AG21" s="0" t="n">
        <f aca="false">L21*($C21-L$3)</f>
        <v>-2650</v>
      </c>
      <c r="AH21" s="30" t="n">
        <f aca="false">M21*($C21-M$3)</f>
        <v>-2450</v>
      </c>
      <c r="AI21" s="0" t="n">
        <f aca="false">N21*($C21-N$3)</f>
        <v>-1800</v>
      </c>
      <c r="AJ21" s="30" t="n">
        <f aca="false">O21*($C21-O$3)</f>
        <v>-899.999999999999</v>
      </c>
      <c r="AK21" s="30" t="n">
        <f aca="false">P21*($C21-P$3)</f>
        <v>449.999999999999</v>
      </c>
      <c r="AL21" s="30" t="n">
        <f aca="false">Q21*($C21-Q$3)</f>
        <v>1000</v>
      </c>
      <c r="AM21" s="30" t="n">
        <f aca="false">R21*($C21-R$3)</f>
        <v>1100</v>
      </c>
      <c r="AN21" s="30" t="n">
        <f aca="false">S21*($C21-S$3)</f>
        <v>0</v>
      </c>
      <c r="AO21" s="30" t="n">
        <f aca="false">T21*($C21-T$3)</f>
        <v>0</v>
      </c>
      <c r="AP21" s="30" t="n">
        <f aca="false">U21*($C21-U$3)</f>
        <v>0</v>
      </c>
      <c r="AT21" s="0" t="n">
        <f aca="false">SUM(Y21:AS21)</f>
        <v>-9075</v>
      </c>
    </row>
    <row r="22" customFormat="false" ht="12.75" hidden="false" customHeight="false" outlineLevel="0" collapsed="false">
      <c r="A22" s="49" t="n">
        <v>37030</v>
      </c>
      <c r="B22" s="0" t="n">
        <f aca="false">B$2+B$3</f>
        <v>5.25</v>
      </c>
      <c r="C22" s="48" t="n">
        <f aca="false">GasDaily!R22</f>
        <v>3.79</v>
      </c>
      <c r="D22" s="30" t="n">
        <v>10000</v>
      </c>
      <c r="E22" s="30" t="n">
        <v>-10000</v>
      </c>
      <c r="F22" s="30" t="n">
        <v>-10000</v>
      </c>
      <c r="G22" s="30" t="n">
        <v>10000</v>
      </c>
      <c r="H22" s="30" t="n">
        <v>-10000</v>
      </c>
      <c r="I22" s="30" t="n">
        <v>-10000</v>
      </c>
      <c r="J22" s="30" t="n">
        <v>10000</v>
      </c>
      <c r="K22" s="30" t="n">
        <v>10000</v>
      </c>
      <c r="L22" s="30" t="n">
        <v>10000</v>
      </c>
      <c r="M22" s="30" t="n">
        <v>10000</v>
      </c>
      <c r="N22" s="30" t="n">
        <v>10000</v>
      </c>
      <c r="O22" s="30" t="n">
        <v>10000</v>
      </c>
      <c r="P22" s="30" t="n">
        <v>-10000</v>
      </c>
      <c r="Q22" s="30" t="n">
        <v>10000</v>
      </c>
      <c r="R22" s="30" t="n">
        <v>10000</v>
      </c>
      <c r="S22" s="30"/>
      <c r="T22" s="30"/>
      <c r="U22" s="30"/>
      <c r="V22" s="30"/>
      <c r="W22" s="17" t="n">
        <f aca="false">SUM(D22:V22)</f>
        <v>50000</v>
      </c>
      <c r="X22" s="50"/>
      <c r="Y22" s="0" t="n">
        <f aca="false">D22*($C22-D$3)</f>
        <v>1450</v>
      </c>
      <c r="Z22" s="0" t="n">
        <f aca="false">E22*($C22-E$3)</f>
        <v>-1625</v>
      </c>
      <c r="AA22" s="0" t="n">
        <f aca="false">F22*($C22-F$3)</f>
        <v>499.999999999998</v>
      </c>
      <c r="AB22" s="0" t="n">
        <f aca="false">G22*($C22-G$3)</f>
        <v>100.000000000002</v>
      </c>
      <c r="AC22" s="0" t="n">
        <f aca="false">H22*($C22-H$3)</f>
        <v>-400</v>
      </c>
      <c r="AD22" s="0" t="n">
        <f aca="false">I22*($C22-I$3)</f>
        <v>750.000000000002</v>
      </c>
      <c r="AE22" s="0" t="n">
        <f aca="false">J22*($C22-J$3)</f>
        <v>-2050</v>
      </c>
      <c r="AF22" s="0" t="n">
        <f aca="false">K22*($C22-K$3)</f>
        <v>-2550</v>
      </c>
      <c r="AG22" s="0" t="n">
        <f aca="false">L22*($C22-L$3)</f>
        <v>-2650</v>
      </c>
      <c r="AH22" s="30" t="n">
        <f aca="false">M22*($C22-M$3)</f>
        <v>-2450</v>
      </c>
      <c r="AI22" s="0" t="n">
        <f aca="false">N22*($C22-N$3)</f>
        <v>-1800</v>
      </c>
      <c r="AJ22" s="30" t="n">
        <f aca="false">O22*($C22-O$3)</f>
        <v>-899.999999999999</v>
      </c>
      <c r="AK22" s="30" t="n">
        <f aca="false">P22*($C22-P$3)</f>
        <v>449.999999999999</v>
      </c>
      <c r="AL22" s="30" t="n">
        <f aca="false">Q22*($C22-Q$3)</f>
        <v>1000</v>
      </c>
      <c r="AM22" s="30" t="n">
        <f aca="false">R22*($C22-R$3)</f>
        <v>1100</v>
      </c>
      <c r="AN22" s="30" t="n">
        <f aca="false">S22*($C22-S$3)</f>
        <v>0</v>
      </c>
      <c r="AO22" s="30" t="n">
        <f aca="false">T22*($C22-T$3)</f>
        <v>0</v>
      </c>
      <c r="AP22" s="30" t="n">
        <f aca="false">U22*($C22-U$3)</f>
        <v>0</v>
      </c>
      <c r="AT22" s="0" t="n">
        <f aca="false">SUM(Y22:AS22)</f>
        <v>-9075</v>
      </c>
    </row>
    <row r="23" customFormat="false" ht="12.75" hidden="false" customHeight="false" outlineLevel="0" collapsed="false">
      <c r="A23" s="49" t="n">
        <v>37031</v>
      </c>
      <c r="B23" s="0" t="n">
        <f aca="false">B$2+B$3</f>
        <v>5.25</v>
      </c>
      <c r="C23" s="48" t="n">
        <f aca="false">GasDaily!R23</f>
        <v>3.79</v>
      </c>
      <c r="D23" s="30" t="n">
        <v>10000</v>
      </c>
      <c r="E23" s="30" t="n">
        <v>-10000</v>
      </c>
      <c r="F23" s="30" t="n">
        <v>-10000</v>
      </c>
      <c r="G23" s="30" t="n">
        <v>10000</v>
      </c>
      <c r="H23" s="30" t="n">
        <v>-10000</v>
      </c>
      <c r="I23" s="30" t="n">
        <v>-10000</v>
      </c>
      <c r="J23" s="30" t="n">
        <v>10000</v>
      </c>
      <c r="K23" s="30" t="n">
        <v>10000</v>
      </c>
      <c r="L23" s="30" t="n">
        <v>10000</v>
      </c>
      <c r="M23" s="30" t="n">
        <v>10000</v>
      </c>
      <c r="N23" s="30" t="n">
        <v>10000</v>
      </c>
      <c r="O23" s="30" t="n">
        <v>10000</v>
      </c>
      <c r="P23" s="30" t="n">
        <v>-10000</v>
      </c>
      <c r="Q23" s="30" t="n">
        <v>10000</v>
      </c>
      <c r="R23" s="30" t="n">
        <v>10000</v>
      </c>
      <c r="S23" s="30"/>
      <c r="T23" s="30"/>
      <c r="U23" s="30"/>
      <c r="V23" s="30"/>
      <c r="W23" s="17" t="n">
        <f aca="false">SUM(D23:V23)</f>
        <v>50000</v>
      </c>
      <c r="X23" s="50"/>
      <c r="Y23" s="0" t="n">
        <f aca="false">D23*($C23-D$3)</f>
        <v>1450</v>
      </c>
      <c r="Z23" s="0" t="n">
        <f aca="false">E23*($C23-E$3)</f>
        <v>-1625</v>
      </c>
      <c r="AA23" s="0" t="n">
        <f aca="false">F23*($C23-F$3)</f>
        <v>499.999999999998</v>
      </c>
      <c r="AB23" s="0" t="n">
        <f aca="false">G23*($C23-G$3)</f>
        <v>100.000000000002</v>
      </c>
      <c r="AC23" s="0" t="n">
        <f aca="false">H23*($C23-H$3)</f>
        <v>-400</v>
      </c>
      <c r="AD23" s="0" t="n">
        <f aca="false">I23*($C23-I$3)</f>
        <v>750.000000000002</v>
      </c>
      <c r="AE23" s="0" t="n">
        <f aca="false">J23*($C23-J$3)</f>
        <v>-2050</v>
      </c>
      <c r="AF23" s="0" t="n">
        <f aca="false">K23*($C23-K$3)</f>
        <v>-2550</v>
      </c>
      <c r="AG23" s="0" t="n">
        <f aca="false">L23*($C23-L$3)</f>
        <v>-2650</v>
      </c>
      <c r="AH23" s="30" t="n">
        <f aca="false">M23*($C23-M$3)</f>
        <v>-2450</v>
      </c>
      <c r="AI23" s="0" t="n">
        <f aca="false">N23*($C23-N$3)</f>
        <v>-1800</v>
      </c>
      <c r="AJ23" s="30" t="n">
        <f aca="false">O23*($C23-O$3)</f>
        <v>-899.999999999999</v>
      </c>
      <c r="AK23" s="30" t="n">
        <f aca="false">P23*($C23-P$3)</f>
        <v>449.999999999999</v>
      </c>
      <c r="AL23" s="30" t="n">
        <f aca="false">Q23*($C23-Q$3)</f>
        <v>1000</v>
      </c>
      <c r="AM23" s="30" t="n">
        <f aca="false">R23*($C23-R$3)</f>
        <v>1100</v>
      </c>
      <c r="AN23" s="30" t="n">
        <f aca="false">S23*($C23-S$3)</f>
        <v>0</v>
      </c>
      <c r="AO23" s="30" t="n">
        <f aca="false">T23*($C23-T$3)</f>
        <v>0</v>
      </c>
      <c r="AP23" s="30" t="n">
        <f aca="false">U23*($C23-U$3)</f>
        <v>0</v>
      </c>
      <c r="AT23" s="0" t="n">
        <f aca="false">SUM(Y23:AS23)</f>
        <v>-9075</v>
      </c>
    </row>
    <row r="24" customFormat="false" ht="12.75" hidden="false" customHeight="false" outlineLevel="0" collapsed="false">
      <c r="A24" s="49" t="n">
        <v>37032</v>
      </c>
      <c r="B24" s="0" t="n">
        <f aca="false">B$2+B$3</f>
        <v>5.25</v>
      </c>
      <c r="C24" s="48" t="n">
        <f aca="false">GasDaily!R24</f>
        <v>3.79</v>
      </c>
      <c r="D24" s="30" t="n">
        <v>10000</v>
      </c>
      <c r="E24" s="30" t="n">
        <v>-10000</v>
      </c>
      <c r="F24" s="30" t="n">
        <v>-10000</v>
      </c>
      <c r="G24" s="30" t="n">
        <v>10000</v>
      </c>
      <c r="H24" s="30" t="n">
        <v>-10000</v>
      </c>
      <c r="I24" s="30" t="n">
        <v>-10000</v>
      </c>
      <c r="J24" s="30" t="n">
        <v>10000</v>
      </c>
      <c r="K24" s="30" t="n">
        <v>10000</v>
      </c>
      <c r="L24" s="30" t="n">
        <v>10000</v>
      </c>
      <c r="M24" s="30" t="n">
        <v>10000</v>
      </c>
      <c r="N24" s="30" t="n">
        <v>10000</v>
      </c>
      <c r="O24" s="30" t="n">
        <v>10000</v>
      </c>
      <c r="P24" s="30" t="n">
        <v>-10000</v>
      </c>
      <c r="Q24" s="30" t="n">
        <v>10000</v>
      </c>
      <c r="R24" s="30" t="n">
        <v>10000</v>
      </c>
      <c r="S24" s="30"/>
      <c r="T24" s="30"/>
      <c r="U24" s="30"/>
      <c r="V24" s="30"/>
      <c r="W24" s="17" t="n">
        <f aca="false">SUM(D24:V24)</f>
        <v>50000</v>
      </c>
      <c r="X24" s="50"/>
      <c r="Y24" s="0" t="n">
        <f aca="false">D24*($C24-D$3)</f>
        <v>1450</v>
      </c>
      <c r="Z24" s="0" t="n">
        <f aca="false">E24*($C24-E$3)</f>
        <v>-1625</v>
      </c>
      <c r="AA24" s="0" t="n">
        <f aca="false">F24*($C24-F$3)</f>
        <v>499.999999999998</v>
      </c>
      <c r="AB24" s="0" t="n">
        <f aca="false">G24*($C24-G$3)</f>
        <v>100.000000000002</v>
      </c>
      <c r="AC24" s="0" t="n">
        <f aca="false">H24*($C24-H$3)</f>
        <v>-400</v>
      </c>
      <c r="AD24" s="0" t="n">
        <f aca="false">I24*($C24-I$3)</f>
        <v>750.000000000002</v>
      </c>
      <c r="AE24" s="0" t="n">
        <f aca="false">J24*($C24-J$3)</f>
        <v>-2050</v>
      </c>
      <c r="AF24" s="0" t="n">
        <f aca="false">K24*($C24-K$3)</f>
        <v>-2550</v>
      </c>
      <c r="AG24" s="0" t="n">
        <f aca="false">L24*($C24-L$3)</f>
        <v>-2650</v>
      </c>
      <c r="AH24" s="30" t="n">
        <f aca="false">M24*($C24-M$3)</f>
        <v>-2450</v>
      </c>
      <c r="AI24" s="0" t="n">
        <f aca="false">N24*($C24-N$3)</f>
        <v>-1800</v>
      </c>
      <c r="AJ24" s="30" t="n">
        <f aca="false">O24*($C24-O$3)</f>
        <v>-899.999999999999</v>
      </c>
      <c r="AK24" s="30" t="n">
        <f aca="false">P24*($C24-P$3)</f>
        <v>449.999999999999</v>
      </c>
      <c r="AL24" s="30" t="n">
        <f aca="false">Q24*($C24-Q$3)</f>
        <v>1000</v>
      </c>
      <c r="AM24" s="30" t="n">
        <f aca="false">R24*($C24-R$3)</f>
        <v>1100</v>
      </c>
      <c r="AN24" s="30" t="n">
        <f aca="false">S24*($C24-S$3)</f>
        <v>0</v>
      </c>
      <c r="AO24" s="30" t="n">
        <f aca="false">T24*($C24-T$3)</f>
        <v>0</v>
      </c>
      <c r="AP24" s="30" t="n">
        <f aca="false">U24*($C24-U$3)</f>
        <v>0</v>
      </c>
      <c r="AT24" s="0" t="n">
        <f aca="false">SUM(Y24:AS24)</f>
        <v>-9075</v>
      </c>
    </row>
    <row r="25" customFormat="false" ht="12.75" hidden="false" customHeight="false" outlineLevel="0" collapsed="false">
      <c r="A25" s="49" t="n">
        <v>37033</v>
      </c>
      <c r="B25" s="0" t="n">
        <f aca="false">B$2+B$3</f>
        <v>5.25</v>
      </c>
      <c r="C25" s="48" t="n">
        <f aca="false">GasDaily!R25</f>
        <v>3.79</v>
      </c>
      <c r="D25" s="30" t="n">
        <v>10000</v>
      </c>
      <c r="E25" s="30" t="n">
        <v>-10000</v>
      </c>
      <c r="F25" s="30" t="n">
        <v>-10000</v>
      </c>
      <c r="G25" s="30" t="n">
        <v>10000</v>
      </c>
      <c r="H25" s="30" t="n">
        <v>-10000</v>
      </c>
      <c r="I25" s="30" t="n">
        <v>-10000</v>
      </c>
      <c r="J25" s="30" t="n">
        <v>10000</v>
      </c>
      <c r="K25" s="30" t="n">
        <v>10000</v>
      </c>
      <c r="L25" s="30" t="n">
        <v>10000</v>
      </c>
      <c r="M25" s="30" t="n">
        <v>10000</v>
      </c>
      <c r="N25" s="30" t="n">
        <v>10000</v>
      </c>
      <c r="O25" s="30" t="n">
        <v>10000</v>
      </c>
      <c r="P25" s="30" t="n">
        <v>-10000</v>
      </c>
      <c r="Q25" s="30" t="n">
        <v>10000</v>
      </c>
      <c r="R25" s="30" t="n">
        <v>10000</v>
      </c>
      <c r="S25" s="30"/>
      <c r="T25" s="30"/>
      <c r="U25" s="30"/>
      <c r="V25" s="30"/>
      <c r="W25" s="17" t="n">
        <f aca="false">SUM(D25:V25)</f>
        <v>50000</v>
      </c>
      <c r="X25" s="50"/>
      <c r="Y25" s="0" t="n">
        <f aca="false">D25*($C25-D$3)</f>
        <v>1450</v>
      </c>
      <c r="Z25" s="0" t="n">
        <f aca="false">E25*($C25-E$3)</f>
        <v>-1625</v>
      </c>
      <c r="AA25" s="0" t="n">
        <f aca="false">F25*($C25-F$3)</f>
        <v>499.999999999998</v>
      </c>
      <c r="AB25" s="0" t="n">
        <f aca="false">G25*($C25-G$3)</f>
        <v>100.000000000002</v>
      </c>
      <c r="AC25" s="0" t="n">
        <f aca="false">H25*($C25-H$3)</f>
        <v>-400</v>
      </c>
      <c r="AD25" s="0" t="n">
        <f aca="false">I25*($C25-I$3)</f>
        <v>750.000000000002</v>
      </c>
      <c r="AE25" s="0" t="n">
        <f aca="false">J25*($C25-J$3)</f>
        <v>-2050</v>
      </c>
      <c r="AF25" s="0" t="n">
        <f aca="false">K25*($C25-K$3)</f>
        <v>-2550</v>
      </c>
      <c r="AG25" s="0" t="n">
        <f aca="false">L25*($C25-L$3)</f>
        <v>-2650</v>
      </c>
      <c r="AH25" s="30" t="n">
        <f aca="false">M25*($C25-M$3)</f>
        <v>-2450</v>
      </c>
      <c r="AI25" s="0" t="n">
        <f aca="false">N25*($C25-N$3)</f>
        <v>-1800</v>
      </c>
      <c r="AJ25" s="30" t="n">
        <f aca="false">O25*($C25-O$3)</f>
        <v>-899.999999999999</v>
      </c>
      <c r="AK25" s="30" t="n">
        <f aca="false">P25*($C25-P$3)</f>
        <v>449.999999999999</v>
      </c>
      <c r="AL25" s="30" t="n">
        <f aca="false">Q25*($C25-Q$3)</f>
        <v>1000</v>
      </c>
      <c r="AM25" s="30" t="n">
        <f aca="false">R25*($C25-R$3)</f>
        <v>1100</v>
      </c>
      <c r="AN25" s="30" t="n">
        <f aca="false">S25*($C25-S$3)</f>
        <v>0</v>
      </c>
      <c r="AO25" s="30" t="n">
        <f aca="false">T25*($C25-T$3)</f>
        <v>0</v>
      </c>
      <c r="AP25" s="30" t="n">
        <f aca="false">U25*($C25-U$3)</f>
        <v>0</v>
      </c>
      <c r="AT25" s="0" t="n">
        <f aca="false">SUM(Y25:AS25)</f>
        <v>-9075</v>
      </c>
    </row>
    <row r="26" customFormat="false" ht="12.75" hidden="false" customHeight="false" outlineLevel="0" collapsed="false">
      <c r="A26" s="49" t="n">
        <v>37034</v>
      </c>
      <c r="B26" s="0" t="n">
        <f aca="false">B$2+B$3</f>
        <v>5.25</v>
      </c>
      <c r="C26" s="48" t="n">
        <f aca="false">GasDaily!R26</f>
        <v>3.79</v>
      </c>
      <c r="D26" s="30" t="n">
        <v>10000</v>
      </c>
      <c r="E26" s="30" t="n">
        <v>-10000</v>
      </c>
      <c r="F26" s="30" t="n">
        <v>-10000</v>
      </c>
      <c r="G26" s="30" t="n">
        <v>10000</v>
      </c>
      <c r="H26" s="30" t="n">
        <v>-10000</v>
      </c>
      <c r="I26" s="30" t="n">
        <v>-10000</v>
      </c>
      <c r="J26" s="30" t="n">
        <v>10000</v>
      </c>
      <c r="K26" s="30" t="n">
        <v>10000</v>
      </c>
      <c r="L26" s="30" t="n">
        <v>10000</v>
      </c>
      <c r="M26" s="30" t="n">
        <v>10000</v>
      </c>
      <c r="N26" s="30" t="n">
        <v>10000</v>
      </c>
      <c r="O26" s="30" t="n">
        <v>10000</v>
      </c>
      <c r="P26" s="30" t="n">
        <v>-10000</v>
      </c>
      <c r="Q26" s="30" t="n">
        <v>10000</v>
      </c>
      <c r="R26" s="30" t="n">
        <v>10000</v>
      </c>
      <c r="S26" s="30"/>
      <c r="T26" s="30"/>
      <c r="U26" s="30"/>
      <c r="V26" s="30"/>
      <c r="W26" s="17" t="n">
        <f aca="false">SUM(D26:V26)</f>
        <v>50000</v>
      </c>
      <c r="X26" s="50"/>
      <c r="Y26" s="0" t="n">
        <f aca="false">D26*($C26-D$3)</f>
        <v>1450</v>
      </c>
      <c r="Z26" s="0" t="n">
        <f aca="false">E26*($C26-E$3)</f>
        <v>-1625</v>
      </c>
      <c r="AA26" s="0" t="n">
        <f aca="false">F26*($C26-F$3)</f>
        <v>499.999999999998</v>
      </c>
      <c r="AB26" s="0" t="n">
        <f aca="false">G26*($C26-G$3)</f>
        <v>100.000000000002</v>
      </c>
      <c r="AC26" s="0" t="n">
        <f aca="false">H26*($C26-H$3)</f>
        <v>-400</v>
      </c>
      <c r="AD26" s="0" t="n">
        <f aca="false">I26*($C26-I$3)</f>
        <v>750.000000000002</v>
      </c>
      <c r="AE26" s="0" t="n">
        <f aca="false">J26*($C26-J$3)</f>
        <v>-2050</v>
      </c>
      <c r="AF26" s="0" t="n">
        <f aca="false">K26*($C26-K$3)</f>
        <v>-2550</v>
      </c>
      <c r="AG26" s="0" t="n">
        <f aca="false">L26*($C26-L$3)</f>
        <v>-2650</v>
      </c>
      <c r="AH26" s="30" t="n">
        <f aca="false">M26*($C26-M$3)</f>
        <v>-2450</v>
      </c>
      <c r="AI26" s="0" t="n">
        <f aca="false">N26*($C26-N$3)</f>
        <v>-1800</v>
      </c>
      <c r="AJ26" s="30" t="n">
        <f aca="false">O26*($C26-O$3)</f>
        <v>-899.999999999999</v>
      </c>
      <c r="AK26" s="30" t="n">
        <f aca="false">P26*($C26-P$3)</f>
        <v>449.999999999999</v>
      </c>
      <c r="AL26" s="30" t="n">
        <f aca="false">Q26*($C26-Q$3)</f>
        <v>1000</v>
      </c>
      <c r="AM26" s="30" t="n">
        <f aca="false">R26*($C26-R$3)</f>
        <v>1100</v>
      </c>
      <c r="AN26" s="30" t="n">
        <f aca="false">S26*($C26-S$3)</f>
        <v>0</v>
      </c>
      <c r="AO26" s="30" t="n">
        <f aca="false">T26*($C26-T$3)</f>
        <v>0</v>
      </c>
      <c r="AP26" s="30" t="n">
        <f aca="false">U26*($C26-U$3)</f>
        <v>0</v>
      </c>
      <c r="AT26" s="0" t="n">
        <f aca="false">SUM(Y26:AS26)</f>
        <v>-9075</v>
      </c>
    </row>
    <row r="27" customFormat="false" ht="12.75" hidden="false" customHeight="false" outlineLevel="0" collapsed="false">
      <c r="A27" s="49" t="n">
        <v>37035</v>
      </c>
      <c r="B27" s="0" t="n">
        <f aca="false">B$2+B$3</f>
        <v>5.25</v>
      </c>
      <c r="C27" s="48" t="n">
        <f aca="false">GasDaily!R27</f>
        <v>3.79</v>
      </c>
      <c r="D27" s="30" t="n">
        <v>10000</v>
      </c>
      <c r="E27" s="30" t="n">
        <v>-10000</v>
      </c>
      <c r="F27" s="30" t="n">
        <v>-10000</v>
      </c>
      <c r="G27" s="30" t="n">
        <v>10000</v>
      </c>
      <c r="H27" s="30" t="n">
        <v>-10000</v>
      </c>
      <c r="I27" s="30" t="n">
        <v>-10000</v>
      </c>
      <c r="J27" s="30" t="n">
        <v>10000</v>
      </c>
      <c r="K27" s="30" t="n">
        <v>10000</v>
      </c>
      <c r="L27" s="30" t="n">
        <v>10000</v>
      </c>
      <c r="M27" s="30" t="n">
        <v>10000</v>
      </c>
      <c r="N27" s="30" t="n">
        <v>10000</v>
      </c>
      <c r="O27" s="30" t="n">
        <v>10000</v>
      </c>
      <c r="P27" s="30" t="n">
        <v>-10000</v>
      </c>
      <c r="Q27" s="30" t="n">
        <v>10000</v>
      </c>
      <c r="R27" s="30" t="n">
        <v>10000</v>
      </c>
      <c r="S27" s="30"/>
      <c r="T27" s="30"/>
      <c r="U27" s="30"/>
      <c r="V27" s="30"/>
      <c r="W27" s="17" t="n">
        <f aca="false">SUM(D27:V27)</f>
        <v>50000</v>
      </c>
      <c r="X27" s="50"/>
      <c r="Y27" s="0" t="n">
        <f aca="false">D27*($C27-D$3)</f>
        <v>1450</v>
      </c>
      <c r="Z27" s="0" t="n">
        <f aca="false">E27*($C27-E$3)</f>
        <v>-1625</v>
      </c>
      <c r="AA27" s="0" t="n">
        <f aca="false">F27*($C27-F$3)</f>
        <v>499.999999999998</v>
      </c>
      <c r="AB27" s="0" t="n">
        <f aca="false">G27*($C27-G$3)</f>
        <v>100.000000000002</v>
      </c>
      <c r="AC27" s="0" t="n">
        <f aca="false">H27*($C27-H$3)</f>
        <v>-400</v>
      </c>
      <c r="AD27" s="0" t="n">
        <f aca="false">I27*($C27-I$3)</f>
        <v>750.000000000002</v>
      </c>
      <c r="AE27" s="0" t="n">
        <f aca="false">J27*($C27-J$3)</f>
        <v>-2050</v>
      </c>
      <c r="AF27" s="0" t="n">
        <f aca="false">K27*($C27-K$3)</f>
        <v>-2550</v>
      </c>
      <c r="AG27" s="0" t="n">
        <f aca="false">L27*($C27-L$3)</f>
        <v>-2650</v>
      </c>
      <c r="AH27" s="30" t="n">
        <f aca="false">M27*($C27-M$3)</f>
        <v>-2450</v>
      </c>
      <c r="AI27" s="0" t="n">
        <f aca="false">N27*($C27-N$3)</f>
        <v>-1800</v>
      </c>
      <c r="AJ27" s="30" t="n">
        <f aca="false">O27*($C27-O$3)</f>
        <v>-899.999999999999</v>
      </c>
      <c r="AK27" s="30" t="n">
        <f aca="false">P27*($C27-P$3)</f>
        <v>449.999999999999</v>
      </c>
      <c r="AL27" s="30" t="n">
        <f aca="false">Q27*($C27-Q$3)</f>
        <v>1000</v>
      </c>
      <c r="AM27" s="30" t="n">
        <f aca="false">R27*($C27-R$3)</f>
        <v>1100</v>
      </c>
      <c r="AN27" s="30" t="n">
        <f aca="false">S27*($C27-S$3)</f>
        <v>0</v>
      </c>
      <c r="AO27" s="30" t="n">
        <f aca="false">T27*($C27-T$3)</f>
        <v>0</v>
      </c>
      <c r="AP27" s="30" t="n">
        <f aca="false">U27*($C27-U$3)</f>
        <v>0</v>
      </c>
      <c r="AT27" s="0" t="n">
        <f aca="false">SUM(Y27:AS27)</f>
        <v>-9075</v>
      </c>
    </row>
    <row r="28" customFormat="false" ht="12.75" hidden="false" customHeight="false" outlineLevel="0" collapsed="false">
      <c r="A28" s="49" t="n">
        <v>37036</v>
      </c>
      <c r="B28" s="0" t="n">
        <f aca="false">B$2+B$3</f>
        <v>5.25</v>
      </c>
      <c r="C28" s="48" t="n">
        <f aca="false">GasDaily!R28</f>
        <v>3.79</v>
      </c>
      <c r="D28" s="30" t="n">
        <v>10000</v>
      </c>
      <c r="E28" s="30" t="n">
        <v>-10000</v>
      </c>
      <c r="F28" s="30" t="n">
        <v>-10000</v>
      </c>
      <c r="G28" s="30" t="n">
        <v>10000</v>
      </c>
      <c r="H28" s="30" t="n">
        <v>-10000</v>
      </c>
      <c r="I28" s="30" t="n">
        <v>-10000</v>
      </c>
      <c r="J28" s="30" t="n">
        <v>10000</v>
      </c>
      <c r="K28" s="30" t="n">
        <v>10000</v>
      </c>
      <c r="L28" s="30" t="n">
        <v>10000</v>
      </c>
      <c r="M28" s="30" t="n">
        <v>10000</v>
      </c>
      <c r="N28" s="30" t="n">
        <v>10000</v>
      </c>
      <c r="O28" s="30" t="n">
        <v>10000</v>
      </c>
      <c r="P28" s="30" t="n">
        <v>-10000</v>
      </c>
      <c r="Q28" s="30" t="n">
        <v>10000</v>
      </c>
      <c r="R28" s="30" t="n">
        <v>10000</v>
      </c>
      <c r="S28" s="30"/>
      <c r="T28" s="30"/>
      <c r="U28" s="30"/>
      <c r="V28" s="30"/>
      <c r="W28" s="17" t="n">
        <f aca="false">SUM(D28:V28)</f>
        <v>50000</v>
      </c>
      <c r="X28" s="50"/>
      <c r="Y28" s="0" t="n">
        <f aca="false">D28*($C28-D$3)</f>
        <v>1450</v>
      </c>
      <c r="Z28" s="0" t="n">
        <f aca="false">E28*($C28-E$3)</f>
        <v>-1625</v>
      </c>
      <c r="AA28" s="0" t="n">
        <f aca="false">F28*($C28-F$3)</f>
        <v>499.999999999998</v>
      </c>
      <c r="AB28" s="0" t="n">
        <f aca="false">G28*($C28-G$3)</f>
        <v>100.000000000002</v>
      </c>
      <c r="AC28" s="0" t="n">
        <f aca="false">H28*($C28-H$3)</f>
        <v>-400</v>
      </c>
      <c r="AD28" s="0" t="n">
        <f aca="false">I28*($C28-I$3)</f>
        <v>750.000000000002</v>
      </c>
      <c r="AE28" s="0" t="n">
        <f aca="false">J28*($C28-J$3)</f>
        <v>-2050</v>
      </c>
      <c r="AF28" s="0" t="n">
        <f aca="false">K28*($C28-K$3)</f>
        <v>-2550</v>
      </c>
      <c r="AG28" s="0" t="n">
        <f aca="false">L28*($C28-L$3)</f>
        <v>-2650</v>
      </c>
      <c r="AH28" s="30" t="n">
        <f aca="false">M28*($C28-M$3)</f>
        <v>-2450</v>
      </c>
      <c r="AI28" s="0" t="n">
        <f aca="false">N28*($C28-N$3)</f>
        <v>-1800</v>
      </c>
      <c r="AJ28" s="30" t="n">
        <f aca="false">O28*($C28-O$3)</f>
        <v>-899.999999999999</v>
      </c>
      <c r="AK28" s="30" t="n">
        <f aca="false">P28*($C28-P$3)</f>
        <v>449.999999999999</v>
      </c>
      <c r="AL28" s="30" t="n">
        <f aca="false">Q28*($C28-Q$3)</f>
        <v>1000</v>
      </c>
      <c r="AM28" s="30" t="n">
        <f aca="false">R28*($C28-R$3)</f>
        <v>1100</v>
      </c>
      <c r="AN28" s="30" t="n">
        <f aca="false">S28*($C28-S$3)</f>
        <v>0</v>
      </c>
      <c r="AO28" s="30" t="n">
        <f aca="false">T28*($C28-T$3)</f>
        <v>0</v>
      </c>
      <c r="AP28" s="30" t="n">
        <f aca="false">U28*($C28-U$3)</f>
        <v>0</v>
      </c>
      <c r="AT28" s="0" t="n">
        <f aca="false">SUM(Y28:AS28)</f>
        <v>-9075</v>
      </c>
    </row>
    <row r="29" customFormat="false" ht="12.75" hidden="false" customHeight="false" outlineLevel="0" collapsed="false">
      <c r="A29" s="49" t="n">
        <v>37037</v>
      </c>
      <c r="B29" s="0" t="n">
        <f aca="false">B$2+B$3</f>
        <v>5.25</v>
      </c>
      <c r="C29" s="48" t="n">
        <f aca="false">GasDaily!R29</f>
        <v>3.79</v>
      </c>
      <c r="D29" s="30" t="n">
        <v>10000</v>
      </c>
      <c r="E29" s="30" t="n">
        <v>-10000</v>
      </c>
      <c r="F29" s="30" t="n">
        <v>-10000</v>
      </c>
      <c r="G29" s="30" t="n">
        <v>10000</v>
      </c>
      <c r="H29" s="30" t="n">
        <v>-10000</v>
      </c>
      <c r="I29" s="30" t="n">
        <v>-10000</v>
      </c>
      <c r="J29" s="30" t="n">
        <v>10000</v>
      </c>
      <c r="K29" s="30" t="n">
        <v>10000</v>
      </c>
      <c r="L29" s="30" t="n">
        <v>10000</v>
      </c>
      <c r="M29" s="30" t="n">
        <v>10000</v>
      </c>
      <c r="N29" s="30" t="n">
        <v>10000</v>
      </c>
      <c r="O29" s="30" t="n">
        <v>10000</v>
      </c>
      <c r="P29" s="30" t="n">
        <v>-10000</v>
      </c>
      <c r="Q29" s="30" t="n">
        <v>10000</v>
      </c>
      <c r="R29" s="30" t="n">
        <v>10000</v>
      </c>
      <c r="S29" s="30"/>
      <c r="T29" s="30"/>
      <c r="U29" s="30"/>
      <c r="V29" s="30"/>
      <c r="W29" s="17" t="n">
        <f aca="false">SUM(D29:V29)</f>
        <v>50000</v>
      </c>
      <c r="X29" s="50"/>
      <c r="Y29" s="0" t="n">
        <f aca="false">D29*($C29-D$3)</f>
        <v>1450</v>
      </c>
      <c r="Z29" s="0" t="n">
        <f aca="false">E29*($C29-E$3)</f>
        <v>-1625</v>
      </c>
      <c r="AA29" s="0" t="n">
        <f aca="false">F29*($C29-F$3)</f>
        <v>499.999999999998</v>
      </c>
      <c r="AB29" s="0" t="n">
        <f aca="false">G29*($C29-G$3)</f>
        <v>100.000000000002</v>
      </c>
      <c r="AC29" s="0" t="n">
        <f aca="false">H29*($C29-H$3)</f>
        <v>-400</v>
      </c>
      <c r="AD29" s="0" t="n">
        <f aca="false">I29*($C29-I$3)</f>
        <v>750.000000000002</v>
      </c>
      <c r="AE29" s="0" t="n">
        <f aca="false">J29*($C29-J$3)</f>
        <v>-2050</v>
      </c>
      <c r="AF29" s="0" t="n">
        <f aca="false">K29*($C29-K$3)</f>
        <v>-2550</v>
      </c>
      <c r="AG29" s="0" t="n">
        <f aca="false">L29*($C29-L$3)</f>
        <v>-2650</v>
      </c>
      <c r="AH29" s="30" t="n">
        <f aca="false">M29*($C29-M$3)</f>
        <v>-2450</v>
      </c>
      <c r="AI29" s="0" t="n">
        <f aca="false">N29*($C29-N$3)</f>
        <v>-1800</v>
      </c>
      <c r="AJ29" s="30" t="n">
        <f aca="false">O29*($C29-O$3)</f>
        <v>-899.999999999999</v>
      </c>
      <c r="AK29" s="30" t="n">
        <f aca="false">P29*($C29-P$3)</f>
        <v>449.999999999999</v>
      </c>
      <c r="AL29" s="30" t="n">
        <f aca="false">Q29*($C29-Q$3)</f>
        <v>1000</v>
      </c>
      <c r="AM29" s="30" t="n">
        <f aca="false">R29*($C29-R$3)</f>
        <v>1100</v>
      </c>
      <c r="AN29" s="30" t="n">
        <f aca="false">S29*($C29-S$3)</f>
        <v>0</v>
      </c>
      <c r="AO29" s="30" t="n">
        <f aca="false">T29*($C29-T$3)</f>
        <v>0</v>
      </c>
      <c r="AP29" s="30" t="n">
        <f aca="false">U29*($C29-U$3)</f>
        <v>0</v>
      </c>
      <c r="AT29" s="0" t="n">
        <f aca="false">SUM(Y29:AS29)</f>
        <v>-9075</v>
      </c>
    </row>
    <row r="30" customFormat="false" ht="12.75" hidden="false" customHeight="false" outlineLevel="0" collapsed="false">
      <c r="A30" s="49" t="n">
        <v>37038</v>
      </c>
      <c r="B30" s="0" t="n">
        <f aca="false">B$2+B$3</f>
        <v>5.25</v>
      </c>
      <c r="C30" s="48" t="n">
        <f aca="false">GasDaily!R30</f>
        <v>3.79</v>
      </c>
      <c r="D30" s="30" t="n">
        <v>10000</v>
      </c>
      <c r="E30" s="30" t="n">
        <v>-10000</v>
      </c>
      <c r="F30" s="30" t="n">
        <v>-10000</v>
      </c>
      <c r="G30" s="30" t="n">
        <v>10000</v>
      </c>
      <c r="H30" s="30" t="n">
        <v>-10000</v>
      </c>
      <c r="I30" s="30" t="n">
        <v>-10000</v>
      </c>
      <c r="J30" s="30" t="n">
        <v>10000</v>
      </c>
      <c r="K30" s="30" t="n">
        <v>10000</v>
      </c>
      <c r="L30" s="30" t="n">
        <v>10000</v>
      </c>
      <c r="M30" s="30" t="n">
        <v>10000</v>
      </c>
      <c r="N30" s="30" t="n">
        <v>10000</v>
      </c>
      <c r="O30" s="30" t="n">
        <v>10000</v>
      </c>
      <c r="P30" s="30" t="n">
        <v>-10000</v>
      </c>
      <c r="Q30" s="30" t="n">
        <v>10000</v>
      </c>
      <c r="R30" s="30" t="n">
        <v>10000</v>
      </c>
      <c r="S30" s="30"/>
      <c r="T30" s="30"/>
      <c r="U30" s="30"/>
      <c r="V30" s="30"/>
      <c r="W30" s="17" t="n">
        <f aca="false">SUM(D30:V30)</f>
        <v>50000</v>
      </c>
      <c r="X30" s="50"/>
      <c r="Y30" s="0" t="n">
        <f aca="false">D30*($C30-D$3)</f>
        <v>1450</v>
      </c>
      <c r="Z30" s="0" t="n">
        <f aca="false">E30*($C30-E$3)</f>
        <v>-1625</v>
      </c>
      <c r="AA30" s="0" t="n">
        <f aca="false">F30*($C30-F$3)</f>
        <v>499.999999999998</v>
      </c>
      <c r="AB30" s="0" t="n">
        <f aca="false">G30*($C30-G$3)</f>
        <v>100.000000000002</v>
      </c>
      <c r="AC30" s="0" t="n">
        <f aca="false">H30*($C30-H$3)</f>
        <v>-400</v>
      </c>
      <c r="AD30" s="0" t="n">
        <f aca="false">I30*($C30-I$3)</f>
        <v>750.000000000002</v>
      </c>
      <c r="AE30" s="0" t="n">
        <f aca="false">J30*($C30-J$3)</f>
        <v>-2050</v>
      </c>
      <c r="AF30" s="0" t="n">
        <f aca="false">K30*($C30-K$3)</f>
        <v>-2550</v>
      </c>
      <c r="AG30" s="0" t="n">
        <f aca="false">L30*($C30-L$3)</f>
        <v>-2650</v>
      </c>
      <c r="AH30" s="30" t="n">
        <f aca="false">M30*($C30-M$3)</f>
        <v>-2450</v>
      </c>
      <c r="AI30" s="0" t="n">
        <f aca="false">N30*($C30-N$3)</f>
        <v>-1800</v>
      </c>
      <c r="AJ30" s="30" t="n">
        <f aca="false">O30*($C30-O$3)</f>
        <v>-899.999999999999</v>
      </c>
      <c r="AK30" s="30" t="n">
        <f aca="false">P30*($C30-P$3)</f>
        <v>449.999999999999</v>
      </c>
      <c r="AL30" s="30" t="n">
        <f aca="false">Q30*($C30-Q$3)</f>
        <v>1000</v>
      </c>
      <c r="AM30" s="30" t="n">
        <f aca="false">R30*($C30-R$3)</f>
        <v>1100</v>
      </c>
      <c r="AN30" s="30" t="n">
        <f aca="false">S30*($C30-S$3)</f>
        <v>0</v>
      </c>
      <c r="AO30" s="30" t="n">
        <f aca="false">T30*($C30-T$3)</f>
        <v>0</v>
      </c>
      <c r="AP30" s="30" t="n">
        <f aca="false">U30*($C30-U$3)</f>
        <v>0</v>
      </c>
      <c r="AT30" s="0" t="n">
        <f aca="false">SUM(Y30:AS30)</f>
        <v>-9075</v>
      </c>
    </row>
    <row r="31" customFormat="false" ht="12.75" hidden="false" customHeight="false" outlineLevel="0" collapsed="false">
      <c r="A31" s="49" t="n">
        <v>37039</v>
      </c>
      <c r="B31" s="0" t="n">
        <f aca="false">B$2+B$3</f>
        <v>5.25</v>
      </c>
      <c r="C31" s="48" t="n">
        <f aca="false">GasDaily!R31</f>
        <v>3.79</v>
      </c>
      <c r="D31" s="30" t="n">
        <v>10000</v>
      </c>
      <c r="E31" s="30" t="n">
        <v>-10000</v>
      </c>
      <c r="F31" s="30" t="n">
        <v>-10000</v>
      </c>
      <c r="G31" s="30" t="n">
        <v>10000</v>
      </c>
      <c r="H31" s="30" t="n">
        <v>-10000</v>
      </c>
      <c r="I31" s="30" t="n">
        <v>-10000</v>
      </c>
      <c r="J31" s="30" t="n">
        <v>10000</v>
      </c>
      <c r="K31" s="30" t="n">
        <v>10000</v>
      </c>
      <c r="L31" s="30" t="n">
        <v>10000</v>
      </c>
      <c r="M31" s="30" t="n">
        <v>10000</v>
      </c>
      <c r="N31" s="30" t="n">
        <v>10000</v>
      </c>
      <c r="O31" s="30" t="n">
        <v>10000</v>
      </c>
      <c r="P31" s="30" t="n">
        <v>-10000</v>
      </c>
      <c r="Q31" s="30" t="n">
        <v>10000</v>
      </c>
      <c r="R31" s="30" t="n">
        <v>10000</v>
      </c>
      <c r="S31" s="30"/>
      <c r="T31" s="30"/>
      <c r="U31" s="30"/>
      <c r="V31" s="30"/>
      <c r="W31" s="17" t="n">
        <f aca="false">SUM(D31:V31)</f>
        <v>50000</v>
      </c>
      <c r="X31" s="50"/>
      <c r="Y31" s="0" t="n">
        <f aca="false">D31*($C31-D$3)</f>
        <v>1450</v>
      </c>
      <c r="Z31" s="0" t="n">
        <f aca="false">E31*($C31-E$3)</f>
        <v>-1625</v>
      </c>
      <c r="AA31" s="0" t="n">
        <f aca="false">F31*($C31-F$3)</f>
        <v>499.999999999998</v>
      </c>
      <c r="AB31" s="0" t="n">
        <f aca="false">G31*($C31-G$3)</f>
        <v>100.000000000002</v>
      </c>
      <c r="AC31" s="0" t="n">
        <f aca="false">H31*($C31-H$3)</f>
        <v>-400</v>
      </c>
      <c r="AD31" s="0" t="n">
        <f aca="false">I31*($C31-I$3)</f>
        <v>750.000000000002</v>
      </c>
      <c r="AE31" s="0" t="n">
        <f aca="false">J31*($C31-J$3)</f>
        <v>-2050</v>
      </c>
      <c r="AF31" s="0" t="n">
        <f aca="false">K31*($C31-K$3)</f>
        <v>-2550</v>
      </c>
      <c r="AG31" s="0" t="n">
        <f aca="false">L31*($C31-L$3)</f>
        <v>-2650</v>
      </c>
      <c r="AH31" s="30" t="n">
        <f aca="false">M31*($C31-M$3)</f>
        <v>-2450</v>
      </c>
      <c r="AI31" s="0" t="n">
        <f aca="false">N31*($C31-N$3)</f>
        <v>-1800</v>
      </c>
      <c r="AJ31" s="30" t="n">
        <f aca="false">O31*($C31-O$3)</f>
        <v>-899.999999999999</v>
      </c>
      <c r="AK31" s="30" t="n">
        <f aca="false">P31*($C31-P$3)</f>
        <v>449.999999999999</v>
      </c>
      <c r="AL31" s="30" t="n">
        <f aca="false">Q31*($C31-Q$3)</f>
        <v>1000</v>
      </c>
      <c r="AM31" s="30" t="n">
        <f aca="false">R31*($C31-R$3)</f>
        <v>1100</v>
      </c>
      <c r="AN31" s="30" t="n">
        <f aca="false">S31*($C31-S$3)</f>
        <v>0</v>
      </c>
      <c r="AO31" s="30" t="n">
        <f aca="false">T31*($C31-T$3)</f>
        <v>0</v>
      </c>
      <c r="AP31" s="30" t="n">
        <f aca="false">U31*($C31-U$3)</f>
        <v>0</v>
      </c>
      <c r="AT31" s="0" t="n">
        <f aca="false">SUM(Y31:AS31)</f>
        <v>-9075</v>
      </c>
    </row>
    <row r="32" customFormat="false" ht="12.75" hidden="false" customHeight="false" outlineLevel="0" collapsed="false">
      <c r="A32" s="49" t="n">
        <v>37040</v>
      </c>
      <c r="B32" s="0" t="n">
        <f aca="false">B$2+B$3</f>
        <v>5.25</v>
      </c>
      <c r="C32" s="48" t="n">
        <f aca="false">GasDaily!R32</f>
        <v>3.79</v>
      </c>
      <c r="D32" s="30" t="n">
        <v>10000</v>
      </c>
      <c r="E32" s="30" t="n">
        <v>-10000</v>
      </c>
      <c r="F32" s="30" t="n">
        <v>-10000</v>
      </c>
      <c r="G32" s="30" t="n">
        <v>10000</v>
      </c>
      <c r="H32" s="30" t="n">
        <v>-10000</v>
      </c>
      <c r="I32" s="30" t="n">
        <v>-10000</v>
      </c>
      <c r="J32" s="30" t="n">
        <v>10000</v>
      </c>
      <c r="K32" s="30" t="n">
        <v>10000</v>
      </c>
      <c r="L32" s="30" t="n">
        <v>10000</v>
      </c>
      <c r="M32" s="30" t="n">
        <v>10000</v>
      </c>
      <c r="N32" s="30" t="n">
        <v>10000</v>
      </c>
      <c r="O32" s="30" t="n">
        <v>10000</v>
      </c>
      <c r="P32" s="30" t="n">
        <v>-10000</v>
      </c>
      <c r="Q32" s="30" t="n">
        <v>10000</v>
      </c>
      <c r="R32" s="30" t="n">
        <v>10000</v>
      </c>
      <c r="S32" s="30"/>
      <c r="T32" s="30"/>
      <c r="U32" s="30"/>
      <c r="V32" s="30"/>
      <c r="W32" s="17" t="n">
        <f aca="false">SUM(D32:V32)</f>
        <v>50000</v>
      </c>
      <c r="X32" s="50"/>
      <c r="Y32" s="0" t="n">
        <f aca="false">D32*($C32-D$3)</f>
        <v>1450</v>
      </c>
      <c r="Z32" s="0" t="n">
        <f aca="false">E32*($C32-E$3)</f>
        <v>-1625</v>
      </c>
      <c r="AA32" s="0" t="n">
        <f aca="false">F32*($C32-F$3)</f>
        <v>499.999999999998</v>
      </c>
      <c r="AB32" s="0" t="n">
        <f aca="false">G32*($C32-G$3)</f>
        <v>100.000000000002</v>
      </c>
      <c r="AC32" s="0" t="n">
        <f aca="false">H32*($C32-H$3)</f>
        <v>-400</v>
      </c>
      <c r="AD32" s="0" t="n">
        <f aca="false">I32*($C32-I$3)</f>
        <v>750.000000000002</v>
      </c>
      <c r="AE32" s="0" t="n">
        <f aca="false">J32*($C32-J$3)</f>
        <v>-2050</v>
      </c>
      <c r="AF32" s="0" t="n">
        <f aca="false">K32*($C32-K$3)</f>
        <v>-2550</v>
      </c>
      <c r="AG32" s="0" t="n">
        <f aca="false">L32*($C32-L$3)</f>
        <v>-2650</v>
      </c>
      <c r="AH32" s="30" t="n">
        <f aca="false">M32*($C32-M$3)</f>
        <v>-2450</v>
      </c>
      <c r="AI32" s="0" t="n">
        <f aca="false">N32*($C32-N$3)</f>
        <v>-1800</v>
      </c>
      <c r="AJ32" s="30" t="n">
        <f aca="false">O32*($C32-O$3)</f>
        <v>-899.999999999999</v>
      </c>
      <c r="AK32" s="30" t="n">
        <f aca="false">P32*($C32-P$3)</f>
        <v>449.999999999999</v>
      </c>
      <c r="AL32" s="30" t="n">
        <f aca="false">Q32*($C32-Q$3)</f>
        <v>1000</v>
      </c>
      <c r="AM32" s="30" t="n">
        <f aca="false">R32*($C32-R$3)</f>
        <v>1100</v>
      </c>
      <c r="AN32" s="30" t="n">
        <f aca="false">S32*($C32-S$3)</f>
        <v>0</v>
      </c>
      <c r="AO32" s="30" t="n">
        <f aca="false">T32*($C32-T$3)</f>
        <v>0</v>
      </c>
      <c r="AP32" s="30" t="n">
        <f aca="false">U32*($C32-U$3)</f>
        <v>0</v>
      </c>
      <c r="AT32" s="0" t="n">
        <f aca="false">SUM(Y32:AS32)</f>
        <v>-9075</v>
      </c>
    </row>
    <row r="33" customFormat="false" ht="12.75" hidden="false" customHeight="false" outlineLevel="0" collapsed="false">
      <c r="A33" s="49" t="n">
        <v>37041</v>
      </c>
      <c r="B33" s="0" t="n">
        <f aca="false">B$2+B$3</f>
        <v>5.25</v>
      </c>
      <c r="C33" s="48" t="n">
        <f aca="false">GasDaily!R33</f>
        <v>3.79</v>
      </c>
      <c r="D33" s="30" t="n">
        <v>10000</v>
      </c>
      <c r="E33" s="30" t="n">
        <v>-10000</v>
      </c>
      <c r="F33" s="30" t="n">
        <v>-10000</v>
      </c>
      <c r="G33" s="30" t="n">
        <v>10000</v>
      </c>
      <c r="H33" s="30" t="n">
        <v>-10000</v>
      </c>
      <c r="I33" s="30" t="n">
        <v>-10000</v>
      </c>
      <c r="J33" s="30" t="n">
        <v>10000</v>
      </c>
      <c r="K33" s="30" t="n">
        <v>10000</v>
      </c>
      <c r="L33" s="30" t="n">
        <v>10000</v>
      </c>
      <c r="M33" s="30" t="n">
        <v>10000</v>
      </c>
      <c r="N33" s="30" t="n">
        <v>10000</v>
      </c>
      <c r="O33" s="30" t="n">
        <v>10000</v>
      </c>
      <c r="P33" s="30" t="n">
        <v>-10000</v>
      </c>
      <c r="Q33" s="30" t="n">
        <v>10000</v>
      </c>
      <c r="R33" s="30" t="n">
        <v>10000</v>
      </c>
      <c r="S33" s="30"/>
      <c r="T33" s="30"/>
      <c r="U33" s="30"/>
      <c r="V33" s="30"/>
      <c r="W33" s="17" t="n">
        <f aca="false">SUM(D33:V33)</f>
        <v>50000</v>
      </c>
      <c r="Y33" s="0" t="n">
        <f aca="false">D33*($C33-D$3)</f>
        <v>1450</v>
      </c>
      <c r="Z33" s="0" t="n">
        <f aca="false">E33*($C33-E$3)</f>
        <v>-1625</v>
      </c>
      <c r="AA33" s="0" t="n">
        <f aca="false">F33*($C33-F$3)</f>
        <v>499.999999999998</v>
      </c>
      <c r="AB33" s="0" t="n">
        <f aca="false">G33*($C33-G$3)</f>
        <v>100.000000000002</v>
      </c>
      <c r="AC33" s="0" t="n">
        <f aca="false">H33*($C33-H$3)</f>
        <v>-400</v>
      </c>
      <c r="AD33" s="0" t="n">
        <f aca="false">I33*($C33-I$3)</f>
        <v>750.000000000002</v>
      </c>
      <c r="AE33" s="0" t="n">
        <f aca="false">J33*($C33-J$3)</f>
        <v>-2050</v>
      </c>
      <c r="AF33" s="0" t="n">
        <f aca="false">K33*($C33-K$3)</f>
        <v>-2550</v>
      </c>
      <c r="AG33" s="0" t="n">
        <f aca="false">L33*($C33-L$3)</f>
        <v>-2650</v>
      </c>
      <c r="AH33" s="30" t="n">
        <f aca="false">M33*($C33-M$3)</f>
        <v>-2450</v>
      </c>
      <c r="AI33" s="0" t="n">
        <f aca="false">N33*($C33-N$3)</f>
        <v>-1800</v>
      </c>
      <c r="AJ33" s="30" t="n">
        <f aca="false">O33*($C33-O$3)</f>
        <v>-899.999999999999</v>
      </c>
      <c r="AK33" s="30" t="n">
        <f aca="false">P33*($C33-P$3)</f>
        <v>449.999999999999</v>
      </c>
      <c r="AL33" s="30" t="n">
        <f aca="false">Q33*($C33-Q$3)</f>
        <v>1000</v>
      </c>
      <c r="AM33" s="30" t="n">
        <f aca="false">R33*($C33-R$3)</f>
        <v>1100</v>
      </c>
      <c r="AN33" s="30" t="n">
        <f aca="false">S33*($C33-S$3)</f>
        <v>0</v>
      </c>
      <c r="AO33" s="30" t="n">
        <f aca="false">T33*($C33-T$3)</f>
        <v>0</v>
      </c>
      <c r="AP33" s="30" t="n">
        <f aca="false">U33*($C33-U$3)</f>
        <v>0</v>
      </c>
      <c r="AT33" s="0" t="n">
        <f aca="false">SUM(Y33:AS33)</f>
        <v>-9075</v>
      </c>
    </row>
    <row r="34" customFormat="false" ht="12.75" hidden="false" customHeight="false" outlineLevel="0" collapsed="false">
      <c r="A34" s="49" t="n">
        <v>37042</v>
      </c>
      <c r="B34" s="0" t="n">
        <f aca="false">B$2+B$3</f>
        <v>5.25</v>
      </c>
      <c r="C34" s="48" t="n">
        <f aca="false">GasDaily!R34</f>
        <v>0.02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17" t="n">
        <f aca="false">SUM(D34:V34)</f>
        <v>0</v>
      </c>
      <c r="Y34" s="0" t="n">
        <f aca="false">D34*($C34-D$3)</f>
        <v>-0</v>
      </c>
      <c r="Z34" s="0" t="n">
        <f aca="false">E34*($C34-E$3)</f>
        <v>-0</v>
      </c>
      <c r="AA34" s="0" t="n">
        <f aca="false">F34*($C34-F$3)</f>
        <v>-0</v>
      </c>
      <c r="AB34" s="0" t="n">
        <f aca="false">G34*($C34-G$3)</f>
        <v>-0</v>
      </c>
      <c r="AC34" s="0" t="n">
        <f aca="false">H34*($C34-H$3)</f>
        <v>-0</v>
      </c>
      <c r="AD34" s="0" t="n">
        <f aca="false">I34*($C34-I$3)</f>
        <v>-0</v>
      </c>
      <c r="AE34" s="0" t="n">
        <f aca="false">J34*($C34-J$3)</f>
        <v>-0</v>
      </c>
      <c r="AF34" s="0" t="n">
        <f aca="false">K34*($C34-K$3)</f>
        <v>-0</v>
      </c>
      <c r="AG34" s="0" t="n">
        <f aca="false">L34*($C34-L$3)</f>
        <v>-0</v>
      </c>
      <c r="AH34" s="30" t="n">
        <f aca="false">M34*($C34-M$3)</f>
        <v>-0</v>
      </c>
      <c r="AI34" s="0" t="n">
        <f aca="false">N34*($C34-N$3)</f>
        <v>-0</v>
      </c>
      <c r="AJ34" s="30" t="n">
        <f aca="false">O34*($C34-O$3)</f>
        <v>-0</v>
      </c>
      <c r="AK34" s="30" t="n">
        <f aca="false">P34*($C34-P$3)</f>
        <v>-0</v>
      </c>
      <c r="AL34" s="30" t="n">
        <f aca="false">Q34*($C34-Q$3)</f>
        <v>-0</v>
      </c>
      <c r="AM34" s="30" t="n">
        <f aca="false">R34*($C34-R$3)</f>
        <v>-0</v>
      </c>
      <c r="AN34" s="30" t="n">
        <f aca="false">S34*($C34-S$3)</f>
        <v>0</v>
      </c>
      <c r="AO34" s="30" t="n">
        <f aca="false">T34*($C34-T$3)</f>
        <v>0</v>
      </c>
      <c r="AP34" s="30" t="n">
        <f aca="false">U34*($C34-U$3)</f>
        <v>0</v>
      </c>
      <c r="AT34" s="0" t="n">
        <f aca="false">SUM(Y34:AS34)</f>
        <v>0</v>
      </c>
    </row>
    <row r="35" customFormat="false" ht="12.75" hidden="false" customHeight="false" outlineLevel="0" collapsed="false">
      <c r="A35" s="51"/>
      <c r="C35" s="48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customFormat="false" ht="12.75" hidden="false" customHeight="false" outlineLevel="0" collapsed="false">
      <c r="W36" s="17" t="n">
        <f aca="false">SUM(W15:W35)</f>
        <v>950000</v>
      </c>
      <c r="AT36" s="52" t="n">
        <f aca="false">SUM(AT4:AT34)</f>
        <v>-259350</v>
      </c>
    </row>
    <row r="37" customFormat="false" ht="12.75" hidden="false" customHeight="false" outlineLevel="0" collapsed="false">
      <c r="A37" s="0" t="n">
        <f aca="false">COUNT(A13:A33)</f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U3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Y1" activePane="topRight" state="frozen"/>
      <selection pane="topLeft" activeCell="A1" activeCellId="0" sqref="A1"/>
      <selection pane="topRight" activeCell="AH6" activeCellId="0" sqref="AH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4" min="4" style="0" width="10.99"/>
    <col collapsed="false" customWidth="true" hidden="false" outlineLevel="0" max="5" min="5" style="0" width="10.13"/>
    <col collapsed="false" customWidth="true" hidden="false" outlineLevel="0" max="6" min="6" style="0" width="9.85"/>
    <col collapsed="false" customWidth="true" hidden="false" outlineLevel="0" max="36" min="36" style="44" width="13.14"/>
    <col collapsed="false" customWidth="true" hidden="false" outlineLevel="0" max="37" min="37" style="45" width="2.84"/>
    <col collapsed="false" customWidth="true" hidden="false" outlineLevel="0" max="69" min="69" style="45" width="2.7"/>
    <col collapsed="false" customWidth="true" hidden="false" outlineLevel="0" max="70" min="70" style="0" width="12.28"/>
    <col collapsed="false" customWidth="true" hidden="false" outlineLevel="0" max="73" min="73" style="0" width="12.99"/>
  </cols>
  <sheetData>
    <row r="1" customFormat="false" ht="12.75" hidden="false" customHeight="false" outlineLevel="0" collapsed="false">
      <c r="B1" s="44" t="s">
        <v>523</v>
      </c>
      <c r="G1" s="0" t="s">
        <v>527</v>
      </c>
    </row>
    <row r="2" customFormat="false" ht="12.75" hidden="false" customHeight="false" outlineLevel="0" collapsed="false">
      <c r="B2" s="46" t="n">
        <v>5.35</v>
      </c>
      <c r="C2" s="47"/>
      <c r="D2" s="48" t="n">
        <v>3.74</v>
      </c>
      <c r="E2" s="48" t="n">
        <v>3.67</v>
      </c>
      <c r="F2" s="53" t="n">
        <v>3.665</v>
      </c>
      <c r="G2" s="53" t="n">
        <v>3.645</v>
      </c>
      <c r="H2" s="53" t="n">
        <v>3.625</v>
      </c>
      <c r="I2" s="53" t="n">
        <v>3.625</v>
      </c>
      <c r="J2" s="53" t="n">
        <v>3.635</v>
      </c>
      <c r="K2" s="53" t="n">
        <v>3.82</v>
      </c>
      <c r="L2" s="53" t="n">
        <v>3.81</v>
      </c>
      <c r="M2" s="53" t="n">
        <v>3.77</v>
      </c>
      <c r="N2" s="53" t="n">
        <v>3.79</v>
      </c>
      <c r="O2" s="53" t="n">
        <v>3.785</v>
      </c>
      <c r="P2" s="53" t="n">
        <v>3.815</v>
      </c>
      <c r="Q2" s="53" t="n">
        <v>3.855</v>
      </c>
      <c r="R2" s="53" t="n">
        <v>3.865</v>
      </c>
      <c r="S2" s="53" t="n">
        <v>3.955</v>
      </c>
      <c r="T2" s="53" t="n">
        <v>3.97</v>
      </c>
      <c r="U2" s="53" t="n">
        <v>4.04</v>
      </c>
      <c r="V2" s="53" t="n">
        <v>4.035</v>
      </c>
      <c r="W2" s="53" t="n">
        <v>4.06</v>
      </c>
      <c r="X2" s="53" t="n">
        <v>3.815</v>
      </c>
      <c r="Y2" s="53" t="n">
        <v>3.825</v>
      </c>
      <c r="Z2" s="53" t="n">
        <v>3.84</v>
      </c>
      <c r="AA2" s="53" t="n">
        <v>3.67</v>
      </c>
      <c r="AB2" s="53" t="n">
        <v>3.6925</v>
      </c>
      <c r="AC2" s="53" t="n">
        <v>3.685</v>
      </c>
      <c r="AD2" s="53" t="n">
        <v>3.65</v>
      </c>
      <c r="AE2" s="53" t="n">
        <v>3.61</v>
      </c>
      <c r="AF2" s="53" t="n">
        <v>3.62</v>
      </c>
      <c r="AG2" s="53" t="n">
        <v>3.74</v>
      </c>
      <c r="AH2" s="53" t="n">
        <v>3.8</v>
      </c>
      <c r="AI2" s="53"/>
      <c r="AJ2" s="44" t="s">
        <v>524</v>
      </c>
    </row>
    <row r="3" customFormat="false" ht="12.75" hidden="false" customHeight="false" outlineLevel="0" collapsed="false">
      <c r="B3" s="48" t="n">
        <v>0</v>
      </c>
      <c r="C3" s="0" t="s">
        <v>525</v>
      </c>
      <c r="BR3" s="0" t="s">
        <v>526</v>
      </c>
    </row>
    <row r="4" customFormat="false" ht="12.75" hidden="false" customHeight="false" outlineLevel="0" collapsed="false">
      <c r="A4" s="49" t="n">
        <v>36951</v>
      </c>
      <c r="C4" s="48" t="n">
        <f aca="false">GasDaily!C4</f>
        <v>3.73</v>
      </c>
      <c r="D4" s="30" t="n">
        <v>-20000</v>
      </c>
      <c r="E4" s="30" t="n">
        <v>5000</v>
      </c>
      <c r="F4" s="30" t="n">
        <v>5000</v>
      </c>
      <c r="G4" s="30" t="n">
        <v>8500</v>
      </c>
      <c r="H4" s="30" t="n">
        <v>10000</v>
      </c>
      <c r="I4" s="30" t="n">
        <v>5000</v>
      </c>
      <c r="J4" s="30" t="n">
        <v>10000</v>
      </c>
      <c r="K4" s="30" t="n">
        <v>10000</v>
      </c>
      <c r="L4" s="30" t="n">
        <v>-10000</v>
      </c>
      <c r="M4" s="30" t="n">
        <v>-10000</v>
      </c>
      <c r="N4" s="30" t="n">
        <v>-10000</v>
      </c>
      <c r="O4" s="30" t="n">
        <v>10000</v>
      </c>
      <c r="P4" s="30" t="n">
        <v>10000</v>
      </c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17" t="n">
        <f aca="false">SUM(D4:AD4)</f>
        <v>23500</v>
      </c>
      <c r="AK4" s="50"/>
      <c r="AL4" s="0" t="n">
        <f aca="false">D4*($C4-D$2)</f>
        <v>200.000000000005</v>
      </c>
      <c r="AM4" s="0" t="n">
        <f aca="false">E4*($C4-E$2)</f>
        <v>300</v>
      </c>
      <c r="AN4" s="0" t="n">
        <f aca="false">F4*($C4-F$2)</f>
        <v>325</v>
      </c>
      <c r="AO4" s="0" t="n">
        <f aca="false">G4*($C4-G$2)</f>
        <v>722.5</v>
      </c>
      <c r="AP4" s="0" t="n">
        <f aca="false">H4*($C4-H$2)</f>
        <v>1050</v>
      </c>
      <c r="AQ4" s="0" t="n">
        <f aca="false">I4*($C4-I$2)</f>
        <v>525</v>
      </c>
      <c r="AR4" s="0" t="n">
        <f aca="false">J4*($C4-J$2)</f>
        <v>950.000000000002</v>
      </c>
      <c r="AS4" s="0" t="n">
        <f aca="false">K4*($C4-K$2)</f>
        <v>-899.999999999999</v>
      </c>
      <c r="AT4" s="0" t="n">
        <f aca="false">L4*($C4-L$2)</f>
        <v>800.000000000001</v>
      </c>
      <c r="AU4" s="0" t="n">
        <f aca="false">M4*($C4-M$2)</f>
        <v>400</v>
      </c>
      <c r="AV4" s="0" t="n">
        <f aca="false">N4*($C4-N$2)</f>
        <v>600.000000000001</v>
      </c>
      <c r="AW4" s="0" t="n">
        <f aca="false">O4*($C4-O$2)</f>
        <v>-550.000000000002</v>
      </c>
      <c r="AX4" s="0" t="n">
        <f aca="false">P4*($C4-P$2)</f>
        <v>-850</v>
      </c>
      <c r="AY4" s="0" t="n">
        <f aca="false">Q4*($C4-Q$2)</f>
        <v>-0</v>
      </c>
      <c r="AZ4" s="0" t="n">
        <f aca="false">R4*($C4-R$2)</f>
        <v>-0</v>
      </c>
      <c r="BA4" s="0" t="n">
        <f aca="false">S4*($C4-S$2)</f>
        <v>-0</v>
      </c>
      <c r="BB4" s="0" t="n">
        <f aca="false">T4*($C4-T$2)</f>
        <v>-0</v>
      </c>
      <c r="BR4" s="0" t="n">
        <f aca="false">SUM(AL4:BQ4)</f>
        <v>3572.50000000001</v>
      </c>
    </row>
    <row r="5" customFormat="false" ht="12.75" hidden="false" customHeight="false" outlineLevel="0" collapsed="false">
      <c r="A5" s="49" t="n">
        <v>36952</v>
      </c>
      <c r="B5" s="0" t="n">
        <f aca="false">B$2+B$3</f>
        <v>5.35</v>
      </c>
      <c r="C5" s="48" t="n">
        <f aca="false">GasDaily!C5</f>
        <v>3.705</v>
      </c>
      <c r="D5" s="30" t="n">
        <v>-20000</v>
      </c>
      <c r="E5" s="30" t="n">
        <v>5000</v>
      </c>
      <c r="F5" s="30" t="n">
        <v>5000</v>
      </c>
      <c r="G5" s="30" t="n">
        <v>8500</v>
      </c>
      <c r="H5" s="30" t="n">
        <v>10000</v>
      </c>
      <c r="I5" s="30" t="n">
        <v>5000</v>
      </c>
      <c r="J5" s="30" t="n">
        <v>10000</v>
      </c>
      <c r="K5" s="30" t="n">
        <v>10000</v>
      </c>
      <c r="L5" s="30" t="n">
        <v>-10000</v>
      </c>
      <c r="M5" s="30" t="n">
        <v>-10000</v>
      </c>
      <c r="N5" s="30" t="n">
        <v>-10000</v>
      </c>
      <c r="O5" s="30" t="n">
        <v>10000</v>
      </c>
      <c r="P5" s="30" t="n">
        <v>10000</v>
      </c>
      <c r="Q5" s="30" t="n">
        <v>-10000</v>
      </c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17" t="n">
        <f aca="false">SUM(D5:AD5)</f>
        <v>13500</v>
      </c>
      <c r="AK5" s="50"/>
      <c r="AL5" s="0" t="n">
        <f aca="false">D5*($C5-D$2)</f>
        <v>700.000000000003</v>
      </c>
      <c r="AM5" s="0" t="n">
        <f aca="false">E5*($C5-E$2)</f>
        <v>175.000000000001</v>
      </c>
      <c r="AN5" s="0" t="n">
        <f aca="false">F5*($C5-F$2)</f>
        <v>200</v>
      </c>
      <c r="AO5" s="0" t="n">
        <f aca="false">G5*($C5-G$2)</f>
        <v>510</v>
      </c>
      <c r="AP5" s="0" t="n">
        <f aca="false">H5*($C5-H$2)</f>
        <v>800.000000000001</v>
      </c>
      <c r="AQ5" s="0" t="n">
        <f aca="false">I5*($C5-I$2)</f>
        <v>400</v>
      </c>
      <c r="AR5" s="0" t="n">
        <f aca="false">J5*($C5-J$2)</f>
        <v>700.000000000003</v>
      </c>
      <c r="AS5" s="0" t="n">
        <f aca="false">K5*($C5-K$2)</f>
        <v>-1150</v>
      </c>
      <c r="AT5" s="0" t="n">
        <f aca="false">L5*($C5-L$2)</f>
        <v>1050</v>
      </c>
      <c r="AU5" s="0" t="n">
        <f aca="false">M5*($C5-M$2)</f>
        <v>649.999999999999</v>
      </c>
      <c r="AV5" s="0" t="n">
        <f aca="false">N5*($C5-N$2)</f>
        <v>850</v>
      </c>
      <c r="AW5" s="0" t="n">
        <f aca="false">O5*($C5-O$2)</f>
        <v>-800.000000000001</v>
      </c>
      <c r="AX5" s="0" t="n">
        <f aca="false">P5*($C5-P$2)</f>
        <v>-1100</v>
      </c>
      <c r="AY5" s="0" t="n">
        <f aca="false">Q5*($C5-Q$2)</f>
        <v>1500</v>
      </c>
      <c r="AZ5" s="0" t="n">
        <f aca="false">R5*($C5-R$2)</f>
        <v>-0</v>
      </c>
      <c r="BA5" s="0" t="n">
        <f aca="false">S5*($C5-S$2)</f>
        <v>-0</v>
      </c>
      <c r="BB5" s="0" t="n">
        <f aca="false">T5*($C5-T$2)</f>
        <v>-0</v>
      </c>
      <c r="BR5" s="0" t="n">
        <f aca="false">SUM(AL5:BQ5)</f>
        <v>4485.00000000001</v>
      </c>
    </row>
    <row r="6" customFormat="false" ht="12.75" hidden="false" customHeight="false" outlineLevel="0" collapsed="false">
      <c r="A6" s="49" t="n">
        <v>36953</v>
      </c>
      <c r="B6" s="0" t="n">
        <f aca="false">B$2+B$3</f>
        <v>5.35</v>
      </c>
      <c r="C6" s="48" t="n">
        <f aca="false">GasDaily!C6</f>
        <v>3.705</v>
      </c>
      <c r="D6" s="30" t="n">
        <v>-20000</v>
      </c>
      <c r="E6" s="30" t="n">
        <v>5000</v>
      </c>
      <c r="F6" s="30" t="n">
        <v>5000</v>
      </c>
      <c r="G6" s="30" t="n">
        <v>8500</v>
      </c>
      <c r="H6" s="30" t="n">
        <v>10000</v>
      </c>
      <c r="I6" s="30" t="n">
        <v>5000</v>
      </c>
      <c r="J6" s="30" t="n">
        <v>10000</v>
      </c>
      <c r="K6" s="30" t="n">
        <v>10000</v>
      </c>
      <c r="L6" s="30" t="n">
        <v>-10000</v>
      </c>
      <c r="M6" s="30" t="n">
        <v>-10000</v>
      </c>
      <c r="N6" s="30" t="n">
        <v>-10000</v>
      </c>
      <c r="O6" s="30" t="n">
        <v>10000</v>
      </c>
      <c r="P6" s="30" t="n">
        <v>10000</v>
      </c>
      <c r="Q6" s="30" t="n">
        <v>-10000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17" t="n">
        <f aca="false">SUM(D6:AD6)</f>
        <v>13500</v>
      </c>
      <c r="AK6" s="50"/>
      <c r="AL6" s="0" t="n">
        <f aca="false">D6*($C6-D$2)</f>
        <v>700.000000000003</v>
      </c>
      <c r="AM6" s="0" t="n">
        <f aca="false">E6*($C6-E$2)</f>
        <v>175.000000000001</v>
      </c>
      <c r="AN6" s="0" t="n">
        <f aca="false">F6*($C6-F$2)</f>
        <v>200</v>
      </c>
      <c r="AO6" s="0" t="n">
        <f aca="false">G6*($C6-G$2)</f>
        <v>510</v>
      </c>
      <c r="AP6" s="0" t="n">
        <f aca="false">H6*($C6-H$2)</f>
        <v>800.000000000001</v>
      </c>
      <c r="AQ6" s="0" t="n">
        <f aca="false">I6*($C6-I$2)</f>
        <v>400</v>
      </c>
      <c r="AR6" s="0" t="n">
        <f aca="false">J6*($C6-J$2)</f>
        <v>700.000000000003</v>
      </c>
      <c r="AS6" s="0" t="n">
        <f aca="false">K6*($C6-K$2)</f>
        <v>-1150</v>
      </c>
      <c r="AT6" s="0" t="n">
        <f aca="false">L6*($C6-L$2)</f>
        <v>1050</v>
      </c>
      <c r="AU6" s="0" t="n">
        <f aca="false">M6*($C6-M$2)</f>
        <v>649.999999999999</v>
      </c>
      <c r="AV6" s="0" t="n">
        <f aca="false">N6*($C6-N$2)</f>
        <v>850</v>
      </c>
      <c r="AW6" s="0" t="n">
        <f aca="false">O6*($C6-O$2)</f>
        <v>-800.000000000001</v>
      </c>
      <c r="AX6" s="0" t="n">
        <f aca="false">P6*($C6-P$2)</f>
        <v>-1100</v>
      </c>
      <c r="AY6" s="0" t="n">
        <f aca="false">Q6*($C6-Q$2)</f>
        <v>1500</v>
      </c>
      <c r="AZ6" s="0" t="n">
        <f aca="false">R6*($C6-R$2)</f>
        <v>-0</v>
      </c>
      <c r="BA6" s="0" t="n">
        <f aca="false">S6*($C6-S$2)</f>
        <v>-0</v>
      </c>
      <c r="BB6" s="0" t="n">
        <f aca="false">T6*($C6-T$2)</f>
        <v>-0</v>
      </c>
      <c r="BR6" s="0" t="n">
        <f aca="false">SUM(AL6:BQ6)</f>
        <v>4485.00000000001</v>
      </c>
    </row>
    <row r="7" customFormat="false" ht="12.75" hidden="false" customHeight="false" outlineLevel="0" collapsed="false">
      <c r="A7" s="49" t="n">
        <v>36954</v>
      </c>
      <c r="B7" s="0" t="n">
        <f aca="false">B$2+B$3</f>
        <v>5.35</v>
      </c>
      <c r="C7" s="48" t="n">
        <f aca="false">GasDaily!C7</f>
        <v>3.705</v>
      </c>
      <c r="D7" s="30" t="n">
        <v>-20000</v>
      </c>
      <c r="E7" s="30" t="n">
        <v>5000</v>
      </c>
      <c r="F7" s="30" t="n">
        <v>5000</v>
      </c>
      <c r="G7" s="30" t="n">
        <v>8500</v>
      </c>
      <c r="H7" s="30" t="n">
        <v>10000</v>
      </c>
      <c r="I7" s="30" t="n">
        <v>5000</v>
      </c>
      <c r="J7" s="30" t="n">
        <v>10000</v>
      </c>
      <c r="K7" s="30" t="n">
        <v>10000</v>
      </c>
      <c r="L7" s="30" t="n">
        <v>-10000</v>
      </c>
      <c r="M7" s="30" t="n">
        <v>-10000</v>
      </c>
      <c r="N7" s="30" t="n">
        <v>-10000</v>
      </c>
      <c r="O7" s="30" t="n">
        <v>10000</v>
      </c>
      <c r="P7" s="30" t="n">
        <v>10000</v>
      </c>
      <c r="Q7" s="30" t="n">
        <v>-10000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17" t="n">
        <f aca="false">SUM(D7:AD7)</f>
        <v>13500</v>
      </c>
      <c r="AK7" s="50"/>
      <c r="AL7" s="0" t="n">
        <f aca="false">D7*($C7-D$2)</f>
        <v>700.000000000003</v>
      </c>
      <c r="AM7" s="0" t="n">
        <f aca="false">E7*($C7-E$2)</f>
        <v>175.000000000001</v>
      </c>
      <c r="AN7" s="0" t="n">
        <f aca="false">F7*($C7-F$2)</f>
        <v>200</v>
      </c>
      <c r="AO7" s="0" t="n">
        <f aca="false">G7*($C7-G$2)</f>
        <v>510</v>
      </c>
      <c r="AP7" s="0" t="n">
        <f aca="false">H7*($C7-H$2)</f>
        <v>800.000000000001</v>
      </c>
      <c r="AQ7" s="0" t="n">
        <f aca="false">I7*($C7-I$2)</f>
        <v>400</v>
      </c>
      <c r="AR7" s="0" t="n">
        <f aca="false">J7*($C7-J$2)</f>
        <v>700.000000000003</v>
      </c>
      <c r="AS7" s="0" t="n">
        <f aca="false">K7*($C7-K$2)</f>
        <v>-1150</v>
      </c>
      <c r="AT7" s="0" t="n">
        <f aca="false">L7*($C7-L$2)</f>
        <v>1050</v>
      </c>
      <c r="AU7" s="0" t="n">
        <f aca="false">M7*($C7-M$2)</f>
        <v>649.999999999999</v>
      </c>
      <c r="AV7" s="0" t="n">
        <f aca="false">N7*($C7-N$2)</f>
        <v>850</v>
      </c>
      <c r="AW7" s="0" t="n">
        <f aca="false">O7*($C7-O$2)</f>
        <v>-800.000000000001</v>
      </c>
      <c r="AX7" s="0" t="n">
        <f aca="false">P7*($C7-P$2)</f>
        <v>-1100</v>
      </c>
      <c r="AY7" s="0" t="n">
        <f aca="false">Q7*($C7-Q$2)</f>
        <v>1500</v>
      </c>
      <c r="AZ7" s="0" t="n">
        <f aca="false">R7*($C7-R$2)</f>
        <v>-0</v>
      </c>
      <c r="BA7" s="0" t="n">
        <f aca="false">S7*($C7-S$2)</f>
        <v>-0</v>
      </c>
      <c r="BB7" s="0" t="n">
        <f aca="false">T7*($C7-T$2)</f>
        <v>-0</v>
      </c>
      <c r="BR7" s="0" t="n">
        <f aca="false">SUM(AL7:BQ7)</f>
        <v>4485.00000000001</v>
      </c>
    </row>
    <row r="8" customFormat="false" ht="12.75" hidden="false" customHeight="false" outlineLevel="0" collapsed="false">
      <c r="A8" s="49" t="n">
        <v>36955</v>
      </c>
      <c r="B8" s="0" t="n">
        <f aca="false">B$2+B$3</f>
        <v>5.35</v>
      </c>
      <c r="C8" s="48" t="n">
        <f aca="false">GasDaily!C8</f>
        <v>3.945</v>
      </c>
      <c r="D8" s="30" t="n">
        <v>-20000</v>
      </c>
      <c r="E8" s="30" t="n">
        <v>5000</v>
      </c>
      <c r="F8" s="30" t="n">
        <v>5000</v>
      </c>
      <c r="G8" s="30" t="n">
        <v>8500</v>
      </c>
      <c r="H8" s="30" t="n">
        <v>10000</v>
      </c>
      <c r="I8" s="30" t="n">
        <v>5000</v>
      </c>
      <c r="J8" s="30" t="n">
        <v>10000</v>
      </c>
      <c r="K8" s="30" t="n">
        <v>10000</v>
      </c>
      <c r="L8" s="30" t="n">
        <v>-10000</v>
      </c>
      <c r="M8" s="30" t="n">
        <v>-10000</v>
      </c>
      <c r="N8" s="30" t="n">
        <v>-10000</v>
      </c>
      <c r="O8" s="30" t="n">
        <v>10000</v>
      </c>
      <c r="P8" s="30" t="n">
        <v>10000</v>
      </c>
      <c r="Q8" s="30" t="n">
        <v>-10000</v>
      </c>
      <c r="R8" s="30" t="n">
        <v>10000</v>
      </c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17" t="n">
        <f aca="false">SUM(D8:AD8)</f>
        <v>23500</v>
      </c>
      <c r="AK8" s="50"/>
      <c r="AL8" s="0" t="n">
        <f aca="false">D8*($C8-D$2)</f>
        <v>-4099.99999999999</v>
      </c>
      <c r="AM8" s="0" t="n">
        <f aca="false">E8*($C8-E$2)</f>
        <v>1375</v>
      </c>
      <c r="AN8" s="0" t="n">
        <f aca="false">F8*($C8-F$2)</f>
        <v>1400</v>
      </c>
      <c r="AO8" s="0" t="n">
        <f aca="false">G8*($C8-G$2)</f>
        <v>2550</v>
      </c>
      <c r="AP8" s="0" t="n">
        <f aca="false">H8*($C8-H$2)</f>
        <v>3200</v>
      </c>
      <c r="AQ8" s="0" t="n">
        <f aca="false">I8*($C8-I$2)</f>
        <v>1600</v>
      </c>
      <c r="AR8" s="0" t="n">
        <f aca="false">J8*($C8-J$2)</f>
        <v>3100</v>
      </c>
      <c r="AS8" s="0" t="n">
        <f aca="false">K8*($C8-K$2)</f>
        <v>1250</v>
      </c>
      <c r="AT8" s="0" t="n">
        <f aca="false">L8*($C8-L$2)</f>
        <v>-1350</v>
      </c>
      <c r="AU8" s="0" t="n">
        <f aca="false">M8*($C8-M$2)</f>
        <v>-1750</v>
      </c>
      <c r="AV8" s="0" t="n">
        <f aca="false">N8*($C8-N$2)</f>
        <v>-1550</v>
      </c>
      <c r="AW8" s="0" t="n">
        <f aca="false">O8*($C8-O$2)</f>
        <v>1600</v>
      </c>
      <c r="AX8" s="0" t="n">
        <f aca="false">P8*($C8-P$2)</f>
        <v>1300</v>
      </c>
      <c r="AY8" s="0" t="n">
        <f aca="false">Q8*($C8-Q$2)</f>
        <v>-899.999999999999</v>
      </c>
      <c r="AZ8" s="0" t="n">
        <f aca="false">R8*($C8-R$2)</f>
        <v>799.999999999996</v>
      </c>
      <c r="BA8" s="0" t="n">
        <f aca="false">S8*($C8-S$2)</f>
        <v>-0</v>
      </c>
      <c r="BB8" s="0" t="n">
        <f aca="false">T8*($C8-T$2)</f>
        <v>-0</v>
      </c>
      <c r="BC8" s="0" t="n">
        <f aca="false">U8*($C8-U$2)</f>
        <v>-0</v>
      </c>
      <c r="BD8" s="0" t="n">
        <f aca="false">V8*($C8-V$2)</f>
        <v>-0</v>
      </c>
      <c r="BE8" s="0" t="n">
        <f aca="false">W8*($C8-W$2)</f>
        <v>-0</v>
      </c>
      <c r="BF8" s="0" t="n">
        <f aca="false">X8*($C8-X$2)</f>
        <v>0</v>
      </c>
      <c r="BG8" s="0" t="n">
        <f aca="false">Y8*($C8-Y$2)</f>
        <v>0</v>
      </c>
      <c r="BH8" s="0" t="n">
        <f aca="false">Z8*($C8-Z$2)</f>
        <v>0</v>
      </c>
      <c r="BI8" s="0" t="n">
        <f aca="false">AA8*($C8-AA$2)</f>
        <v>0</v>
      </c>
      <c r="BJ8" s="0" t="n">
        <f aca="false">AB8*($C8-AB$2)</f>
        <v>0</v>
      </c>
      <c r="BK8" s="0" t="n">
        <f aca="false">AC8*($C8-AC$2)</f>
        <v>0</v>
      </c>
      <c r="BL8" s="0" t="n">
        <f aca="false">AD8*($C8-AD$2)</f>
        <v>0</v>
      </c>
      <c r="BM8" s="0" t="n">
        <f aca="false">AE8*($C8-AE$2)</f>
        <v>0</v>
      </c>
      <c r="BN8" s="0" t="n">
        <f aca="false">AF8*($C8-AF$2)</f>
        <v>0</v>
      </c>
      <c r="BO8" s="0" t="n">
        <f aca="false">AG8*($C8-AG$2)</f>
        <v>0</v>
      </c>
      <c r="BR8" s="0" t="n">
        <f aca="false">SUM(AL8:BQ8)</f>
        <v>8525</v>
      </c>
    </row>
    <row r="9" customFormat="false" ht="12.75" hidden="false" customHeight="false" outlineLevel="0" collapsed="false">
      <c r="A9" s="49" t="n">
        <v>36956</v>
      </c>
      <c r="B9" s="0" t="n">
        <f aca="false">B$2+B$3</f>
        <v>5.35</v>
      </c>
      <c r="C9" s="48" t="n">
        <f aca="false">GasDaily!C9</f>
        <v>3.985</v>
      </c>
      <c r="D9" s="30" t="n">
        <v>-20000</v>
      </c>
      <c r="E9" s="30" t="n">
        <v>5000</v>
      </c>
      <c r="F9" s="30" t="n">
        <v>5000</v>
      </c>
      <c r="G9" s="30" t="n">
        <v>8500</v>
      </c>
      <c r="H9" s="30" t="n">
        <v>10000</v>
      </c>
      <c r="I9" s="30" t="n">
        <v>5000</v>
      </c>
      <c r="J9" s="30" t="n">
        <v>10000</v>
      </c>
      <c r="K9" s="30" t="n">
        <v>10000</v>
      </c>
      <c r="L9" s="30" t="n">
        <v>-10000</v>
      </c>
      <c r="M9" s="30" t="n">
        <v>-10000</v>
      </c>
      <c r="N9" s="30" t="n">
        <v>-10000</v>
      </c>
      <c r="O9" s="30" t="n">
        <v>10000</v>
      </c>
      <c r="P9" s="30" t="n">
        <v>10000</v>
      </c>
      <c r="Q9" s="30" t="n">
        <v>-10000</v>
      </c>
      <c r="R9" s="30" t="n">
        <v>10000</v>
      </c>
      <c r="S9" s="30" t="n">
        <v>10000</v>
      </c>
      <c r="T9" s="30" t="n">
        <v>10000</v>
      </c>
      <c r="U9" s="30" t="n">
        <v>-10000</v>
      </c>
      <c r="V9" s="30" t="n">
        <v>-10000</v>
      </c>
      <c r="W9" s="30" t="n">
        <v>10000</v>
      </c>
      <c r="X9" s="30" t="n">
        <v>-10000</v>
      </c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17" t="n">
        <f aca="false">SUM(D9:AD9)</f>
        <v>23500</v>
      </c>
      <c r="AK9" s="50"/>
      <c r="AL9" s="0" t="n">
        <f aca="false">D9*($C9-D$2)</f>
        <v>-4899.99999999999</v>
      </c>
      <c r="AM9" s="0" t="n">
        <f aca="false">E9*($C9-E$2)</f>
        <v>1575</v>
      </c>
      <c r="AN9" s="0" t="n">
        <f aca="false">F9*($C9-F$2)</f>
        <v>1600</v>
      </c>
      <c r="AO9" s="0" t="n">
        <f aca="false">G9*($C9-G$2)</f>
        <v>2890</v>
      </c>
      <c r="AP9" s="0" t="n">
        <f aca="false">H9*($C9-H$2)</f>
        <v>3600</v>
      </c>
      <c r="AQ9" s="0" t="n">
        <f aca="false">I9*($C9-I$2)</f>
        <v>1800</v>
      </c>
      <c r="AR9" s="0" t="n">
        <f aca="false">J9*($C9-J$2)</f>
        <v>3500</v>
      </c>
      <c r="AS9" s="0" t="n">
        <f aca="false">K9*($C9-K$2)</f>
        <v>1650</v>
      </c>
      <c r="AT9" s="0" t="n">
        <f aca="false">L9*($C9-L$2)</f>
        <v>-1750</v>
      </c>
      <c r="AU9" s="0" t="n">
        <f aca="false">M9*($C9-M$2)</f>
        <v>-2150</v>
      </c>
      <c r="AV9" s="0" t="n">
        <f aca="false">N9*($C9-N$2)</f>
        <v>-1950</v>
      </c>
      <c r="AW9" s="0" t="n">
        <f aca="false">O9*($C9-O$2)</f>
        <v>2000</v>
      </c>
      <c r="AX9" s="0" t="n">
        <f aca="false">P9*($C9-P$2)</f>
        <v>1700</v>
      </c>
      <c r="AY9" s="0" t="n">
        <f aca="false">Q9*($C9-Q$2)</f>
        <v>-1300</v>
      </c>
      <c r="AZ9" s="0" t="n">
        <f aca="false">R9*($C9-R$2)</f>
        <v>1200</v>
      </c>
      <c r="BA9" s="0" t="n">
        <f aca="false">S9*($C9-S$2)</f>
        <v>299.999999999998</v>
      </c>
      <c r="BB9" s="0" t="n">
        <f aca="false">T9*($C9-T$2)</f>
        <v>149.999999999997</v>
      </c>
      <c r="BC9" s="0" t="n">
        <f aca="false">U9*($C9-U$2)</f>
        <v>550.000000000002</v>
      </c>
      <c r="BD9" s="0" t="n">
        <f aca="false">V9*($C9-V$2)</f>
        <v>500.000000000003</v>
      </c>
      <c r="BE9" s="0" t="n">
        <f aca="false">W9*($C9-W$2)</f>
        <v>-749.999999999997</v>
      </c>
      <c r="BF9" s="0" t="n">
        <f aca="false">X9*($C9-X$2)</f>
        <v>-1700</v>
      </c>
      <c r="BG9" s="0" t="n">
        <f aca="false">Y9*($C9-Y$2)</f>
        <v>0</v>
      </c>
      <c r="BH9" s="0" t="n">
        <f aca="false">Z9*($C9-Z$2)</f>
        <v>0</v>
      </c>
      <c r="BI9" s="0" t="n">
        <f aca="false">AA9*($C9-AA$2)</f>
        <v>0</v>
      </c>
      <c r="BJ9" s="0" t="n">
        <f aca="false">AB9*($C9-AB$2)</f>
        <v>0</v>
      </c>
      <c r="BK9" s="0" t="n">
        <f aca="false">AC9*($C9-AC$2)</f>
        <v>0</v>
      </c>
      <c r="BL9" s="0" t="n">
        <f aca="false">AD9*($C9-AD$2)</f>
        <v>0</v>
      </c>
      <c r="BM9" s="0" t="n">
        <f aca="false">AE9*($C9-AE$2)</f>
        <v>0</v>
      </c>
      <c r="BN9" s="0" t="n">
        <f aca="false">AF9*($C9-AF$2)</f>
        <v>0</v>
      </c>
      <c r="BO9" s="0" t="n">
        <f aca="false">AG9*($C9-AG$2)</f>
        <v>0</v>
      </c>
      <c r="BR9" s="0" t="n">
        <f aca="false">SUM(AL9:BQ9)</f>
        <v>8515</v>
      </c>
    </row>
    <row r="10" customFormat="false" ht="12.75" hidden="false" customHeight="false" outlineLevel="0" collapsed="false">
      <c r="A10" s="49" t="n">
        <v>36957</v>
      </c>
      <c r="B10" s="0" t="n">
        <f aca="false">B$2+B$3</f>
        <v>5.35</v>
      </c>
      <c r="C10" s="48" t="n">
        <f aca="false">GasDaily!C10</f>
        <v>3.75</v>
      </c>
      <c r="D10" s="30" t="n">
        <v>-20000</v>
      </c>
      <c r="E10" s="30" t="n">
        <v>5000</v>
      </c>
      <c r="F10" s="30" t="n">
        <v>5000</v>
      </c>
      <c r="G10" s="30" t="n">
        <v>8500</v>
      </c>
      <c r="H10" s="30" t="n">
        <v>10000</v>
      </c>
      <c r="I10" s="30" t="n">
        <v>5000</v>
      </c>
      <c r="J10" s="30" t="n">
        <v>10000</v>
      </c>
      <c r="K10" s="30" t="n">
        <v>10000</v>
      </c>
      <c r="L10" s="30" t="n">
        <v>-10000</v>
      </c>
      <c r="M10" s="30" t="n">
        <v>-10000</v>
      </c>
      <c r="N10" s="30" t="n">
        <v>-10000</v>
      </c>
      <c r="O10" s="30" t="n">
        <v>10000</v>
      </c>
      <c r="P10" s="30" t="n">
        <v>10000</v>
      </c>
      <c r="Q10" s="30" t="n">
        <v>-10000</v>
      </c>
      <c r="R10" s="30" t="n">
        <v>10000</v>
      </c>
      <c r="S10" s="30" t="n">
        <v>10000</v>
      </c>
      <c r="T10" s="30" t="n">
        <v>10000</v>
      </c>
      <c r="U10" s="30" t="n">
        <v>-10000</v>
      </c>
      <c r="V10" s="30" t="n">
        <v>-10000</v>
      </c>
      <c r="W10" s="30" t="n">
        <v>10000</v>
      </c>
      <c r="X10" s="30" t="n">
        <v>-10000</v>
      </c>
      <c r="Y10" s="30" t="n">
        <v>4487</v>
      </c>
      <c r="Z10" s="30" t="n">
        <v>10000</v>
      </c>
      <c r="AA10" s="30"/>
      <c r="AB10" s="30"/>
      <c r="AC10" s="30"/>
      <c r="AD10" s="30"/>
      <c r="AE10" s="30"/>
      <c r="AF10" s="30"/>
      <c r="AG10" s="30"/>
      <c r="AH10" s="30"/>
      <c r="AI10" s="30"/>
      <c r="AJ10" s="17" t="n">
        <f aca="false">SUM(D10:AD10)</f>
        <v>37987</v>
      </c>
      <c r="AK10" s="50"/>
      <c r="AL10" s="0" t="n">
        <f aca="false">D10*($C10-D$2)</f>
        <v>-199.999999999996</v>
      </c>
      <c r="AM10" s="0" t="n">
        <f aca="false">E10*($C10-E$2)</f>
        <v>400</v>
      </c>
      <c r="AN10" s="0" t="n">
        <f aca="false">F10*($C10-F$2)</f>
        <v>425</v>
      </c>
      <c r="AO10" s="0" t="n">
        <f aca="false">G10*($C10-G$2)</f>
        <v>892.5</v>
      </c>
      <c r="AP10" s="0" t="n">
        <f aca="false">H10*($C10-H$2)</f>
        <v>1250</v>
      </c>
      <c r="AQ10" s="0" t="n">
        <f aca="false">I10*($C10-I$2)</f>
        <v>625</v>
      </c>
      <c r="AR10" s="0" t="n">
        <f aca="false">J10*($C10-J$2)</f>
        <v>1150</v>
      </c>
      <c r="AS10" s="0" t="n">
        <f aca="false">K10*($C10-K$2)</f>
        <v>-699.999999999998</v>
      </c>
      <c r="AT10" s="0" t="n">
        <f aca="false">L10*($C10-L$2)</f>
        <v>600.000000000001</v>
      </c>
      <c r="AU10" s="0" t="n">
        <f aca="false">M10*($C10-M$2)</f>
        <v>200</v>
      </c>
      <c r="AV10" s="0" t="n">
        <f aca="false">N10*($C10-N$2)</f>
        <v>400</v>
      </c>
      <c r="AW10" s="0" t="n">
        <f aca="false">O10*($C10-O$2)</f>
        <v>-350.000000000001</v>
      </c>
      <c r="AX10" s="0" t="n">
        <f aca="false">P10*($C10-P$2)</f>
        <v>-649.999999999999</v>
      </c>
      <c r="AY10" s="0" t="n">
        <f aca="false">Q10*($C10-Q$2)</f>
        <v>1050</v>
      </c>
      <c r="AZ10" s="0" t="n">
        <f aca="false">R10*($C10-R$2)</f>
        <v>-1150</v>
      </c>
      <c r="BA10" s="0" t="n">
        <f aca="false">S10*($C10-S$2)</f>
        <v>-2050</v>
      </c>
      <c r="BB10" s="0" t="n">
        <f aca="false">T10*($C10-T$2)</f>
        <v>-2200</v>
      </c>
      <c r="BC10" s="0" t="n">
        <f aca="false">U10*($C10-U$2)</f>
        <v>2900</v>
      </c>
      <c r="BD10" s="0" t="n">
        <f aca="false">V10*($C10-V$2)</f>
        <v>2850</v>
      </c>
      <c r="BE10" s="0" t="n">
        <f aca="false">W10*($C10-W$2)</f>
        <v>-3100</v>
      </c>
      <c r="BF10" s="0" t="n">
        <f aca="false">X10*($C10-X$2)</f>
        <v>649.999999999999</v>
      </c>
      <c r="BG10" s="0" t="n">
        <f aca="false">Y10*($C10-Y$2)</f>
        <v>-336.525000000001</v>
      </c>
      <c r="BH10" s="0" t="n">
        <f aca="false">Z10*($C10-Z$2)</f>
        <v>-899.999999999999</v>
      </c>
      <c r="BI10" s="0" t="n">
        <f aca="false">AA10*($C10-AA$2)</f>
        <v>0</v>
      </c>
      <c r="BJ10" s="0" t="n">
        <f aca="false">AB10*($C10-AB$2)</f>
        <v>0</v>
      </c>
      <c r="BK10" s="0" t="n">
        <f aca="false">AC10*($C10-AC$2)</f>
        <v>0</v>
      </c>
      <c r="BL10" s="0" t="n">
        <f aca="false">AD10*($C10-AD$2)</f>
        <v>0</v>
      </c>
      <c r="BM10" s="0" t="n">
        <f aca="false">AE10*($C10-AE$2)</f>
        <v>0</v>
      </c>
      <c r="BN10" s="0" t="n">
        <f aca="false">AF10*($C10-AF$2)</f>
        <v>0</v>
      </c>
      <c r="BO10" s="0" t="n">
        <f aca="false">AG10*($C10-AG$2)</f>
        <v>0</v>
      </c>
      <c r="BR10" s="0" t="n">
        <f aca="false">SUM(AL10:BQ10)</f>
        <v>1755.97500000001</v>
      </c>
    </row>
    <row r="11" customFormat="false" ht="12.75" hidden="false" customHeight="false" outlineLevel="0" collapsed="false">
      <c r="A11" s="49" t="n">
        <v>36958</v>
      </c>
      <c r="B11" s="0" t="n">
        <f aca="false">B$2+B$3</f>
        <v>5.35</v>
      </c>
      <c r="C11" s="48" t="n">
        <f aca="false">GasDaily!C11</f>
        <v>3.68</v>
      </c>
      <c r="D11" s="30" t="n">
        <v>-20000</v>
      </c>
      <c r="E11" s="30" t="n">
        <v>5000</v>
      </c>
      <c r="F11" s="30" t="n">
        <v>5000</v>
      </c>
      <c r="G11" s="30" t="n">
        <v>8500</v>
      </c>
      <c r="H11" s="30" t="n">
        <v>10000</v>
      </c>
      <c r="I11" s="30" t="n">
        <v>5000</v>
      </c>
      <c r="J11" s="30" t="n">
        <v>10000</v>
      </c>
      <c r="K11" s="30" t="n">
        <v>10000</v>
      </c>
      <c r="L11" s="30" t="n">
        <v>-10000</v>
      </c>
      <c r="M11" s="30" t="n">
        <v>-10000</v>
      </c>
      <c r="N11" s="30" t="n">
        <v>-10000</v>
      </c>
      <c r="O11" s="30" t="n">
        <v>10000</v>
      </c>
      <c r="P11" s="30" t="n">
        <v>10000</v>
      </c>
      <c r="Q11" s="30" t="n">
        <v>-10000</v>
      </c>
      <c r="R11" s="30" t="n">
        <v>10000</v>
      </c>
      <c r="S11" s="30" t="n">
        <v>10000</v>
      </c>
      <c r="T11" s="30" t="n">
        <v>10000</v>
      </c>
      <c r="U11" s="30" t="n">
        <v>-10000</v>
      </c>
      <c r="V11" s="30" t="n">
        <v>-10000</v>
      </c>
      <c r="W11" s="30" t="n">
        <v>10000</v>
      </c>
      <c r="X11" s="30" t="n">
        <v>-10000</v>
      </c>
      <c r="Y11" s="30" t="n">
        <v>4487</v>
      </c>
      <c r="Z11" s="30" t="n">
        <v>10000</v>
      </c>
      <c r="AA11" s="30" t="n">
        <v>-11500</v>
      </c>
      <c r="AB11" s="30"/>
      <c r="AC11" s="30"/>
      <c r="AD11" s="30"/>
      <c r="AE11" s="30"/>
      <c r="AF11" s="30"/>
      <c r="AG11" s="30"/>
      <c r="AH11" s="30"/>
      <c r="AI11" s="30"/>
      <c r="AJ11" s="17" t="n">
        <f aca="false">SUM(D11:AD11)</f>
        <v>26487</v>
      </c>
      <c r="AK11" s="50"/>
      <c r="AL11" s="0" t="n">
        <f aca="false">D11*($C11-D$2)</f>
        <v>1200</v>
      </c>
      <c r="AM11" s="0" t="n">
        <f aca="false">E11*($C11-E$2)</f>
        <v>50.0000000000012</v>
      </c>
      <c r="AN11" s="0" t="n">
        <f aca="false">F11*($C11-F$2)</f>
        <v>75.0000000000006</v>
      </c>
      <c r="AO11" s="0" t="n">
        <f aca="false">G11*($C11-G$2)</f>
        <v>297.500000000001</v>
      </c>
      <c r="AP11" s="0" t="n">
        <f aca="false">H11*($C11-H$2)</f>
        <v>550.000000000002</v>
      </c>
      <c r="AQ11" s="0" t="n">
        <f aca="false">I11*($C11-I$2)</f>
        <v>275.000000000001</v>
      </c>
      <c r="AR11" s="0" t="n">
        <f aca="false">J11*($C11-J$2)</f>
        <v>450.000000000004</v>
      </c>
      <c r="AS11" s="0" t="n">
        <f aca="false">K11*($C11-K$2)</f>
        <v>-1400</v>
      </c>
      <c r="AT11" s="0" t="n">
        <f aca="false">L11*($C11-L$2)</f>
        <v>1300</v>
      </c>
      <c r="AU11" s="0" t="n">
        <f aca="false">M11*($C11-M$2)</f>
        <v>899.999999999999</v>
      </c>
      <c r="AV11" s="0" t="n">
        <f aca="false">N11*($C11-N$2)</f>
        <v>1100</v>
      </c>
      <c r="AW11" s="0" t="n">
        <f aca="false">O11*($C11-O$2)</f>
        <v>-1050</v>
      </c>
      <c r="AX11" s="0" t="n">
        <f aca="false">P11*($C11-P$2)</f>
        <v>-1350</v>
      </c>
      <c r="AY11" s="0" t="n">
        <f aca="false">Q11*($C11-Q$2)</f>
        <v>1750</v>
      </c>
      <c r="AZ11" s="0" t="n">
        <f aca="false">R11*($C11-R$2)</f>
        <v>-1850</v>
      </c>
      <c r="BA11" s="0" t="n">
        <f aca="false">S11*($C11-S$2)</f>
        <v>-2750</v>
      </c>
      <c r="BB11" s="0" t="n">
        <f aca="false">T11*($C11-T$2)</f>
        <v>-2900</v>
      </c>
      <c r="BC11" s="0" t="n">
        <f aca="false">U11*($C11-U$2)</f>
        <v>3600</v>
      </c>
      <c r="BD11" s="0" t="n">
        <f aca="false">V11*($C11-V$2)</f>
        <v>3550</v>
      </c>
      <c r="BE11" s="0" t="n">
        <f aca="false">W11*($C11-W$2)</f>
        <v>-3799.99999999999</v>
      </c>
      <c r="BF11" s="0" t="n">
        <f aca="false">X11*($C11-X$2)</f>
        <v>1350</v>
      </c>
      <c r="BG11" s="0" t="n">
        <f aca="false">Y11*($C11-Y$2)</f>
        <v>-650.615</v>
      </c>
      <c r="BH11" s="0" t="n">
        <f aca="false">Z11*($C11-Z$2)</f>
        <v>-1600</v>
      </c>
      <c r="BI11" s="0" t="n">
        <f aca="false">AA11*($C11-AA$2)</f>
        <v>-115.000000000003</v>
      </c>
      <c r="BJ11" s="0" t="n">
        <f aca="false">AB11*($C11-AB$2)</f>
        <v>-0</v>
      </c>
      <c r="BK11" s="0" t="n">
        <f aca="false">AC11*($C11-AC$2)</f>
        <v>-0</v>
      </c>
      <c r="BL11" s="0" t="n">
        <f aca="false">AD11*($C11-AD$2)</f>
        <v>0</v>
      </c>
      <c r="BM11" s="0" t="n">
        <f aca="false">AE11*($C11-AE$2)</f>
        <v>0</v>
      </c>
      <c r="BN11" s="0" t="n">
        <f aca="false">AF11*($C11-AF$2)</f>
        <v>0</v>
      </c>
      <c r="BO11" s="0" t="n">
        <f aca="false">AG11*($C11-AG$2)</f>
        <v>-0</v>
      </c>
      <c r="BR11" s="0" t="n">
        <f aca="false">SUM(AL11:BQ11)</f>
        <v>-1018.11499999999</v>
      </c>
    </row>
    <row r="12" customFormat="false" ht="12.75" hidden="false" customHeight="false" outlineLevel="0" collapsed="false">
      <c r="A12" s="49" t="n">
        <v>36959</v>
      </c>
      <c r="B12" s="0" t="n">
        <f aca="false">B$2+B$3</f>
        <v>5.35</v>
      </c>
      <c r="C12" s="48" t="n">
        <f aca="false">GasDaily!C12</f>
        <v>3.62</v>
      </c>
      <c r="D12" s="30" t="n">
        <v>-20000</v>
      </c>
      <c r="E12" s="30" t="n">
        <v>5000</v>
      </c>
      <c r="F12" s="30" t="n">
        <v>5000</v>
      </c>
      <c r="G12" s="30" t="n">
        <v>8500</v>
      </c>
      <c r="H12" s="30" t="n">
        <v>10000</v>
      </c>
      <c r="I12" s="30" t="n">
        <v>5000</v>
      </c>
      <c r="J12" s="30" t="n">
        <v>10000</v>
      </c>
      <c r="K12" s="30" t="n">
        <v>10000</v>
      </c>
      <c r="L12" s="30" t="n">
        <v>-10000</v>
      </c>
      <c r="M12" s="30" t="n">
        <v>-10000</v>
      </c>
      <c r="N12" s="30" t="n">
        <v>-10000</v>
      </c>
      <c r="O12" s="30" t="n">
        <v>10000</v>
      </c>
      <c r="P12" s="30" t="n">
        <v>10000</v>
      </c>
      <c r="Q12" s="30" t="n">
        <v>-10000</v>
      </c>
      <c r="R12" s="30" t="n">
        <v>10000</v>
      </c>
      <c r="S12" s="30" t="n">
        <v>10000</v>
      </c>
      <c r="T12" s="30" t="n">
        <v>10000</v>
      </c>
      <c r="U12" s="30" t="n">
        <v>-10000</v>
      </c>
      <c r="V12" s="30" t="n">
        <v>-10000</v>
      </c>
      <c r="W12" s="30" t="n">
        <v>10000</v>
      </c>
      <c r="X12" s="30" t="n">
        <v>-10000</v>
      </c>
      <c r="Y12" s="30" t="n">
        <v>4487</v>
      </c>
      <c r="Z12" s="30" t="n">
        <v>10000</v>
      </c>
      <c r="AA12" s="30" t="n">
        <v>-11500</v>
      </c>
      <c r="AB12" s="30" t="n">
        <v>-15000</v>
      </c>
      <c r="AC12" s="30" t="n">
        <v>-10000</v>
      </c>
      <c r="AD12" s="30" t="n">
        <v>-10000</v>
      </c>
      <c r="AE12" s="30" t="n">
        <v>-15000</v>
      </c>
      <c r="AF12" s="30" t="n">
        <v>15000</v>
      </c>
      <c r="AG12" s="30"/>
      <c r="AH12" s="30"/>
      <c r="AI12" s="30"/>
      <c r="AJ12" s="17" t="n">
        <f aca="false">SUM(D12:AF12)</f>
        <v>-8513</v>
      </c>
      <c r="AK12" s="50"/>
      <c r="AL12" s="0" t="n">
        <f aca="false">D12*($C12-D$2)</f>
        <v>2400</v>
      </c>
      <c r="AM12" s="0" t="n">
        <f aca="false">E12*($C12-E$2)</f>
        <v>-249.999999999999</v>
      </c>
      <c r="AN12" s="0" t="n">
        <f aca="false">F12*($C12-F$2)</f>
        <v>-225</v>
      </c>
      <c r="AO12" s="0" t="n">
        <f aca="false">G12*($C12-G$2)</f>
        <v>-212.499999999999</v>
      </c>
      <c r="AP12" s="0" t="n">
        <f aca="false">H12*($C12-H$2)</f>
        <v>-49.9999999999989</v>
      </c>
      <c r="AQ12" s="0" t="n">
        <f aca="false">I12*($C12-I$2)</f>
        <v>-24.9999999999995</v>
      </c>
      <c r="AR12" s="0" t="n">
        <f aca="false">J12*($C12-J$2)</f>
        <v>-149.999999999997</v>
      </c>
      <c r="AS12" s="0" t="n">
        <f aca="false">K12*($C12-K$2)</f>
        <v>-2000</v>
      </c>
      <c r="AT12" s="0" t="n">
        <f aca="false">L12*($C12-L$2)</f>
        <v>1900</v>
      </c>
      <c r="AU12" s="0" t="n">
        <f aca="false">M12*($C12-M$2)</f>
        <v>1500</v>
      </c>
      <c r="AV12" s="0" t="n">
        <f aca="false">N12*($C12-N$2)</f>
        <v>1700</v>
      </c>
      <c r="AW12" s="0" t="n">
        <f aca="false">O12*($C12-O$2)</f>
        <v>-1650</v>
      </c>
      <c r="AX12" s="0" t="n">
        <f aca="false">P12*($C12-P$2)</f>
        <v>-1950</v>
      </c>
      <c r="AY12" s="0" t="n">
        <f aca="false">Q12*($C12-Q$2)</f>
        <v>2350</v>
      </c>
      <c r="AZ12" s="0" t="n">
        <f aca="false">R12*($C12-R$2)</f>
        <v>-2450</v>
      </c>
      <c r="BA12" s="0" t="n">
        <f aca="false">S12*($C12-S$2)</f>
        <v>-3350</v>
      </c>
      <c r="BB12" s="0" t="n">
        <f aca="false">T12*($C12-T$2)</f>
        <v>-3500</v>
      </c>
      <c r="BC12" s="0" t="n">
        <f aca="false">U12*($C12-U$2)</f>
        <v>4200</v>
      </c>
      <c r="BD12" s="0" t="n">
        <f aca="false">V12*($C12-V$2)</f>
        <v>4150</v>
      </c>
      <c r="BE12" s="0" t="n">
        <f aca="false">W12*($C12-W$2)</f>
        <v>-4400</v>
      </c>
      <c r="BF12" s="0" t="n">
        <f aca="false">X12*($C12-X$2)</f>
        <v>1950</v>
      </c>
      <c r="BG12" s="0" t="n">
        <f aca="false">Y12*($C12-Y$2)</f>
        <v>-919.835</v>
      </c>
      <c r="BH12" s="0" t="n">
        <f aca="false">Z12*($C12-Z$2)</f>
        <v>-2200</v>
      </c>
      <c r="BI12" s="0" t="n">
        <f aca="false">AA12*($C12-AA$2)</f>
        <v>574.999999999998</v>
      </c>
      <c r="BJ12" s="0" t="n">
        <f aca="false">AB12*($C12-AB$2)</f>
        <v>1087.5</v>
      </c>
      <c r="BK12" s="0" t="n">
        <f aca="false">AC12*($C12-AC$2)</f>
        <v>649.999999999999</v>
      </c>
      <c r="BL12" s="0" t="n">
        <f aca="false">AD12*($C12-AD$2)</f>
        <v>299.999999999998</v>
      </c>
      <c r="BM12" s="0" t="n">
        <f aca="false">AE12*($C12-AE$2)</f>
        <v>-150.000000000003</v>
      </c>
      <c r="BN12" s="0" t="n">
        <f aca="false">AF12*($C12-AF$2)</f>
        <v>0</v>
      </c>
      <c r="BO12" s="0" t="n">
        <f aca="false">AG12*($C12-AG$2)</f>
        <v>-0</v>
      </c>
      <c r="BR12" s="0" t="n">
        <f aca="false">SUM(AL12:BQ12)</f>
        <v>-719.834999999999</v>
      </c>
    </row>
    <row r="13" customFormat="false" ht="12.75" hidden="false" customHeight="false" outlineLevel="0" collapsed="false">
      <c r="A13" s="49" t="n">
        <v>36960</v>
      </c>
      <c r="B13" s="0" t="n">
        <f aca="false">B$2+B$3</f>
        <v>5.35</v>
      </c>
      <c r="C13" s="48" t="n">
        <f aca="false">GasDaily!C13</f>
        <v>3.62</v>
      </c>
      <c r="D13" s="30" t="n">
        <v>-20000</v>
      </c>
      <c r="E13" s="30" t="n">
        <v>5000</v>
      </c>
      <c r="F13" s="30" t="n">
        <v>5000</v>
      </c>
      <c r="G13" s="30" t="n">
        <v>8500</v>
      </c>
      <c r="H13" s="30" t="n">
        <v>10000</v>
      </c>
      <c r="I13" s="30" t="n">
        <v>5000</v>
      </c>
      <c r="J13" s="30" t="n">
        <v>10000</v>
      </c>
      <c r="K13" s="30" t="n">
        <v>10000</v>
      </c>
      <c r="L13" s="30" t="n">
        <v>-10000</v>
      </c>
      <c r="M13" s="30" t="n">
        <v>-10000</v>
      </c>
      <c r="N13" s="30" t="n">
        <v>-10000</v>
      </c>
      <c r="O13" s="30" t="n">
        <v>10000</v>
      </c>
      <c r="P13" s="30" t="n">
        <v>10000</v>
      </c>
      <c r="Q13" s="30" t="n">
        <v>-10000</v>
      </c>
      <c r="R13" s="30" t="n">
        <v>10000</v>
      </c>
      <c r="S13" s="30" t="n">
        <v>10000</v>
      </c>
      <c r="T13" s="30" t="n">
        <v>10000</v>
      </c>
      <c r="U13" s="30" t="n">
        <v>-10000</v>
      </c>
      <c r="V13" s="30" t="n">
        <v>-10000</v>
      </c>
      <c r="W13" s="30" t="n">
        <v>10000</v>
      </c>
      <c r="X13" s="30" t="n">
        <v>-10000</v>
      </c>
      <c r="Y13" s="30" t="n">
        <v>4487</v>
      </c>
      <c r="Z13" s="30" t="n">
        <v>10000</v>
      </c>
      <c r="AA13" s="30" t="n">
        <v>-11500</v>
      </c>
      <c r="AB13" s="30" t="n">
        <v>-15000</v>
      </c>
      <c r="AC13" s="30" t="n">
        <v>-10000</v>
      </c>
      <c r="AD13" s="30" t="n">
        <v>-10000</v>
      </c>
      <c r="AE13" s="30" t="n">
        <v>-15000</v>
      </c>
      <c r="AF13" s="30" t="n">
        <v>15000</v>
      </c>
      <c r="AG13" s="30"/>
      <c r="AH13" s="30"/>
      <c r="AI13" s="30"/>
      <c r="AJ13" s="17" t="n">
        <f aca="false">SUM(D13:AF13)</f>
        <v>-8513</v>
      </c>
      <c r="AK13" s="50"/>
      <c r="AL13" s="0" t="n">
        <f aca="false">D13*($C13-D$2)</f>
        <v>2400</v>
      </c>
      <c r="AM13" s="0" t="n">
        <f aca="false">E13*($C13-E$2)</f>
        <v>-249.999999999999</v>
      </c>
      <c r="AN13" s="0" t="n">
        <f aca="false">F13*($C13-F$2)</f>
        <v>-225</v>
      </c>
      <c r="AO13" s="0" t="n">
        <f aca="false">G13*($C13-G$2)</f>
        <v>-212.499999999999</v>
      </c>
      <c r="AP13" s="0" t="n">
        <f aca="false">H13*($C13-H$2)</f>
        <v>-49.9999999999989</v>
      </c>
      <c r="AQ13" s="0" t="n">
        <f aca="false">I13*($C13-I$2)</f>
        <v>-24.9999999999995</v>
      </c>
      <c r="AR13" s="0" t="n">
        <f aca="false">J13*($C13-J$2)</f>
        <v>-149.999999999997</v>
      </c>
      <c r="AS13" s="0" t="n">
        <f aca="false">K13*($C13-K$2)</f>
        <v>-2000</v>
      </c>
      <c r="AT13" s="0" t="n">
        <f aca="false">L13*($C13-L$2)</f>
        <v>1900</v>
      </c>
      <c r="AU13" s="0" t="n">
        <f aca="false">M13*($C13-M$2)</f>
        <v>1500</v>
      </c>
      <c r="AV13" s="0" t="n">
        <f aca="false">N13*($C13-N$2)</f>
        <v>1700</v>
      </c>
      <c r="AW13" s="0" t="n">
        <f aca="false">O13*($C13-O$2)</f>
        <v>-1650</v>
      </c>
      <c r="AX13" s="0" t="n">
        <f aca="false">P13*($C13-P$2)</f>
        <v>-1950</v>
      </c>
      <c r="AY13" s="0" t="n">
        <f aca="false">Q13*($C13-Q$2)</f>
        <v>2350</v>
      </c>
      <c r="AZ13" s="0" t="n">
        <f aca="false">R13*($C13-R$2)</f>
        <v>-2450</v>
      </c>
      <c r="BA13" s="0" t="n">
        <f aca="false">S13*($C13-S$2)</f>
        <v>-3350</v>
      </c>
      <c r="BB13" s="0" t="n">
        <f aca="false">T13*($C13-T$2)</f>
        <v>-3500</v>
      </c>
      <c r="BC13" s="0" t="n">
        <f aca="false">U13*($C13-U$2)</f>
        <v>4200</v>
      </c>
      <c r="BD13" s="0" t="n">
        <f aca="false">V13*($C13-V$2)</f>
        <v>4150</v>
      </c>
      <c r="BE13" s="0" t="n">
        <f aca="false">W13*($C13-W$2)</f>
        <v>-4400</v>
      </c>
      <c r="BF13" s="0" t="n">
        <f aca="false">X13*($C13-X$2)</f>
        <v>1950</v>
      </c>
      <c r="BG13" s="0" t="n">
        <f aca="false">Y13*($C13-Y$2)</f>
        <v>-919.835</v>
      </c>
      <c r="BH13" s="0" t="n">
        <f aca="false">Z13*($C13-Z$2)</f>
        <v>-2200</v>
      </c>
      <c r="BI13" s="0" t="n">
        <f aca="false">AA13*($C13-AA$2)</f>
        <v>574.999999999998</v>
      </c>
      <c r="BJ13" s="0" t="n">
        <f aca="false">AB13*($C13-AB$2)</f>
        <v>1087.5</v>
      </c>
      <c r="BK13" s="0" t="n">
        <f aca="false">AC13*($C13-AC$2)</f>
        <v>649.999999999999</v>
      </c>
      <c r="BL13" s="0" t="n">
        <f aca="false">AD13*($C13-AD$2)</f>
        <v>299.999999999998</v>
      </c>
      <c r="BM13" s="0" t="n">
        <f aca="false">AE13*($C13-AE$2)</f>
        <v>-150.000000000003</v>
      </c>
      <c r="BN13" s="0" t="n">
        <f aca="false">AF13*($C13-AF$2)</f>
        <v>0</v>
      </c>
      <c r="BO13" s="0" t="n">
        <f aca="false">AG13*($C13-AG$2)</f>
        <v>-0</v>
      </c>
      <c r="BR13" s="0" t="n">
        <f aca="false">SUM(AL13:BQ13)</f>
        <v>-719.834999999999</v>
      </c>
    </row>
    <row r="14" customFormat="false" ht="12.75" hidden="false" customHeight="false" outlineLevel="0" collapsed="false">
      <c r="A14" s="49" t="n">
        <v>36961</v>
      </c>
      <c r="B14" s="0" t="n">
        <f aca="false">B$2+B$3</f>
        <v>5.35</v>
      </c>
      <c r="C14" s="48" t="n">
        <f aca="false">GasDaily!C14</f>
        <v>3.62</v>
      </c>
      <c r="D14" s="30" t="n">
        <v>-20000</v>
      </c>
      <c r="E14" s="30" t="n">
        <v>5000</v>
      </c>
      <c r="F14" s="30" t="n">
        <v>5000</v>
      </c>
      <c r="G14" s="30" t="n">
        <v>8500</v>
      </c>
      <c r="H14" s="30" t="n">
        <v>10000</v>
      </c>
      <c r="I14" s="30" t="n">
        <v>5000</v>
      </c>
      <c r="J14" s="30" t="n">
        <v>10000</v>
      </c>
      <c r="K14" s="30" t="n">
        <v>10000</v>
      </c>
      <c r="L14" s="30" t="n">
        <v>-10000</v>
      </c>
      <c r="M14" s="30" t="n">
        <v>-10000</v>
      </c>
      <c r="N14" s="30" t="n">
        <v>-10000</v>
      </c>
      <c r="O14" s="30" t="n">
        <v>10000</v>
      </c>
      <c r="P14" s="30" t="n">
        <v>10000</v>
      </c>
      <c r="Q14" s="30" t="n">
        <v>-10000</v>
      </c>
      <c r="R14" s="30" t="n">
        <v>10000</v>
      </c>
      <c r="S14" s="30" t="n">
        <v>10000</v>
      </c>
      <c r="T14" s="30" t="n">
        <v>10000</v>
      </c>
      <c r="U14" s="30" t="n">
        <v>-10000</v>
      </c>
      <c r="V14" s="30" t="n">
        <v>-10000</v>
      </c>
      <c r="W14" s="30" t="n">
        <v>10000</v>
      </c>
      <c r="X14" s="30" t="n">
        <v>-10000</v>
      </c>
      <c r="Y14" s="30" t="n">
        <v>4487</v>
      </c>
      <c r="Z14" s="30" t="n">
        <v>10000</v>
      </c>
      <c r="AA14" s="30" t="n">
        <v>-11500</v>
      </c>
      <c r="AB14" s="30" t="n">
        <v>-15000</v>
      </c>
      <c r="AC14" s="30" t="n">
        <v>-10000</v>
      </c>
      <c r="AD14" s="30" t="n">
        <v>-10000</v>
      </c>
      <c r="AE14" s="30" t="n">
        <v>-15000</v>
      </c>
      <c r="AF14" s="30" t="n">
        <v>15000</v>
      </c>
      <c r="AG14" s="30"/>
      <c r="AH14" s="30"/>
      <c r="AI14" s="30"/>
      <c r="AJ14" s="17" t="n">
        <f aca="false">SUM(D14:AF14)</f>
        <v>-8513</v>
      </c>
      <c r="AK14" s="50"/>
      <c r="AL14" s="0" t="n">
        <f aca="false">D14*($C14-D$2)</f>
        <v>2400</v>
      </c>
      <c r="AM14" s="0" t="n">
        <f aca="false">E14*($C14-E$2)</f>
        <v>-249.999999999999</v>
      </c>
      <c r="AN14" s="0" t="n">
        <f aca="false">F14*($C14-F$2)</f>
        <v>-225</v>
      </c>
      <c r="AO14" s="0" t="n">
        <f aca="false">G14*($C14-G$2)</f>
        <v>-212.499999999999</v>
      </c>
      <c r="AP14" s="0" t="n">
        <f aca="false">H14*($C14-H$2)</f>
        <v>-49.9999999999989</v>
      </c>
      <c r="AQ14" s="0" t="n">
        <f aca="false">I14*($C14-I$2)</f>
        <v>-24.9999999999995</v>
      </c>
      <c r="AR14" s="0" t="n">
        <f aca="false">J14*($C14-J$2)</f>
        <v>-149.999999999997</v>
      </c>
      <c r="AS14" s="0" t="n">
        <f aca="false">K14*($C14-K$2)</f>
        <v>-2000</v>
      </c>
      <c r="AT14" s="0" t="n">
        <f aca="false">L14*($C14-L$2)</f>
        <v>1900</v>
      </c>
      <c r="AU14" s="0" t="n">
        <f aca="false">M14*($C14-M$2)</f>
        <v>1500</v>
      </c>
      <c r="AV14" s="0" t="n">
        <f aca="false">N14*($C14-N$2)</f>
        <v>1700</v>
      </c>
      <c r="AW14" s="0" t="n">
        <f aca="false">O14*($C14-O$2)</f>
        <v>-1650</v>
      </c>
      <c r="AX14" s="0" t="n">
        <f aca="false">P14*($C14-P$2)</f>
        <v>-1950</v>
      </c>
      <c r="AY14" s="0" t="n">
        <f aca="false">Q14*($C14-Q$2)</f>
        <v>2350</v>
      </c>
      <c r="AZ14" s="0" t="n">
        <f aca="false">R14*($C14-R$2)</f>
        <v>-2450</v>
      </c>
      <c r="BA14" s="0" t="n">
        <f aca="false">S14*($C14-S$2)</f>
        <v>-3350</v>
      </c>
      <c r="BB14" s="0" t="n">
        <f aca="false">T14*($C14-T$2)</f>
        <v>-3500</v>
      </c>
      <c r="BC14" s="0" t="n">
        <f aca="false">U14*($C14-U$2)</f>
        <v>4200</v>
      </c>
      <c r="BD14" s="0" t="n">
        <f aca="false">V14*($C14-V$2)</f>
        <v>4150</v>
      </c>
      <c r="BE14" s="0" t="n">
        <f aca="false">W14*($C14-W$2)</f>
        <v>-4400</v>
      </c>
      <c r="BF14" s="0" t="n">
        <f aca="false">X14*($C14-X$2)</f>
        <v>1950</v>
      </c>
      <c r="BG14" s="0" t="n">
        <f aca="false">Y14*($C14-Y$2)</f>
        <v>-919.835</v>
      </c>
      <c r="BH14" s="0" t="n">
        <f aca="false">Z14*($C14-Z$2)</f>
        <v>-2200</v>
      </c>
      <c r="BI14" s="0" t="n">
        <f aca="false">AA14*($C14-AA$2)</f>
        <v>574.999999999998</v>
      </c>
      <c r="BJ14" s="0" t="n">
        <f aca="false">AB14*($C14-AB$2)</f>
        <v>1087.5</v>
      </c>
      <c r="BK14" s="0" t="n">
        <f aca="false">AC14*($C14-AC$2)</f>
        <v>649.999999999999</v>
      </c>
      <c r="BL14" s="0" t="n">
        <f aca="false">AD14*($C14-AD$2)</f>
        <v>299.999999999998</v>
      </c>
      <c r="BM14" s="0" t="n">
        <f aca="false">AE14*($C14-AE$2)</f>
        <v>-150.000000000003</v>
      </c>
      <c r="BN14" s="0" t="n">
        <f aca="false">AF14*($C14-AF$2)</f>
        <v>0</v>
      </c>
      <c r="BO14" s="0" t="n">
        <f aca="false">AG14*($C14-AG$2)</f>
        <v>-0</v>
      </c>
      <c r="BR14" s="0" t="n">
        <f aca="false">SUM(AL14:BQ14)</f>
        <v>-719.834999999999</v>
      </c>
    </row>
    <row r="15" customFormat="false" ht="12.75" hidden="false" customHeight="false" outlineLevel="0" collapsed="false">
      <c r="A15" s="49" t="n">
        <v>36962</v>
      </c>
      <c r="B15" s="0" t="n">
        <f aca="false">B$2+B$3</f>
        <v>5.35</v>
      </c>
      <c r="C15" s="48" t="n">
        <f aca="false">GasDaily!C15</f>
        <v>3.77</v>
      </c>
      <c r="D15" s="30" t="n">
        <v>-20000</v>
      </c>
      <c r="E15" s="30" t="n">
        <v>5000</v>
      </c>
      <c r="F15" s="30" t="n">
        <v>5000</v>
      </c>
      <c r="G15" s="30" t="n">
        <v>8500</v>
      </c>
      <c r="H15" s="30" t="n">
        <v>10000</v>
      </c>
      <c r="I15" s="30" t="n">
        <v>5000</v>
      </c>
      <c r="J15" s="30" t="n">
        <v>10000</v>
      </c>
      <c r="K15" s="30" t="n">
        <v>10000</v>
      </c>
      <c r="L15" s="30" t="n">
        <v>-10000</v>
      </c>
      <c r="M15" s="30" t="n">
        <v>-10000</v>
      </c>
      <c r="N15" s="30" t="n">
        <v>-10000</v>
      </c>
      <c r="O15" s="30" t="n">
        <v>10000</v>
      </c>
      <c r="P15" s="30" t="n">
        <v>10000</v>
      </c>
      <c r="Q15" s="30" t="n">
        <v>-10000</v>
      </c>
      <c r="R15" s="30" t="n">
        <v>10000</v>
      </c>
      <c r="S15" s="30" t="n">
        <v>10000</v>
      </c>
      <c r="T15" s="30" t="n">
        <v>10000</v>
      </c>
      <c r="U15" s="30" t="n">
        <v>-10000</v>
      </c>
      <c r="V15" s="30" t="n">
        <v>-10000</v>
      </c>
      <c r="W15" s="30" t="n">
        <v>10000</v>
      </c>
      <c r="X15" s="30" t="n">
        <v>-10000</v>
      </c>
      <c r="Y15" s="30" t="n">
        <v>4487</v>
      </c>
      <c r="Z15" s="30" t="n">
        <v>10000</v>
      </c>
      <c r="AA15" s="30" t="n">
        <v>-11500</v>
      </c>
      <c r="AB15" s="30" t="n">
        <v>-15000</v>
      </c>
      <c r="AC15" s="30" t="n">
        <v>-10000</v>
      </c>
      <c r="AD15" s="30" t="n">
        <v>-10000</v>
      </c>
      <c r="AE15" s="30" t="n">
        <v>-15000</v>
      </c>
      <c r="AF15" s="30" t="n">
        <v>15000</v>
      </c>
      <c r="AG15" s="30" t="n">
        <v>-10000</v>
      </c>
      <c r="AH15" s="30" t="n">
        <v>10000</v>
      </c>
      <c r="AI15" s="30"/>
      <c r="AJ15" s="17" t="n">
        <f aca="false">SUM(D15:AI15)</f>
        <v>-8513</v>
      </c>
      <c r="AK15" s="50"/>
      <c r="AL15" s="0" t="n">
        <f aca="false">D15*($C15-D$2)</f>
        <v>-599.999999999996</v>
      </c>
      <c r="AM15" s="0" t="n">
        <f aca="false">E15*($C15-E$2)</f>
        <v>500</v>
      </c>
      <c r="AN15" s="0" t="n">
        <f aca="false">F15*($C15-F$2)</f>
        <v>525</v>
      </c>
      <c r="AO15" s="0" t="n">
        <f aca="false">G15*($C15-G$2)</f>
        <v>1062.5</v>
      </c>
      <c r="AP15" s="0" t="n">
        <f aca="false">H15*($C15-H$2)</f>
        <v>1450</v>
      </c>
      <c r="AQ15" s="0" t="n">
        <f aca="false">I15*($C15-I$2)</f>
        <v>725</v>
      </c>
      <c r="AR15" s="0" t="n">
        <f aca="false">J15*($C15-J$2)</f>
        <v>1350</v>
      </c>
      <c r="AS15" s="0" t="n">
        <f aca="false">K15*($C15-K$2)</f>
        <v>-499.999999999998</v>
      </c>
      <c r="AT15" s="0" t="n">
        <f aca="false">L15*($C15-L$2)</f>
        <v>400</v>
      </c>
      <c r="AU15" s="0" t="n">
        <f aca="false">M15*($C15-M$2)</f>
        <v>-0</v>
      </c>
      <c r="AV15" s="0" t="n">
        <f aca="false">N15*($C15-N$2)</f>
        <v>200</v>
      </c>
      <c r="AW15" s="0" t="n">
        <f aca="false">O15*($C15-O$2)</f>
        <v>-150.000000000001</v>
      </c>
      <c r="AX15" s="0" t="n">
        <f aca="false">P15*($C15-P$2)</f>
        <v>-449.999999999999</v>
      </c>
      <c r="AY15" s="0" t="n">
        <f aca="false">Q15*($C15-Q$2)</f>
        <v>850</v>
      </c>
      <c r="AZ15" s="0" t="n">
        <f aca="false">R15*($C15-R$2)</f>
        <v>-950.000000000002</v>
      </c>
      <c r="BA15" s="0" t="n">
        <f aca="false">S15*($C15-S$2)</f>
        <v>-1850</v>
      </c>
      <c r="BB15" s="0" t="n">
        <f aca="false">T15*($C15-T$2)</f>
        <v>-2000</v>
      </c>
      <c r="BC15" s="0" t="n">
        <f aca="false">U15*($C15-U$2)</f>
        <v>2700</v>
      </c>
      <c r="BD15" s="0" t="n">
        <f aca="false">V15*($C15-V$2)</f>
        <v>2650</v>
      </c>
      <c r="BE15" s="0" t="n">
        <f aca="false">W15*($C15-W$2)</f>
        <v>-2900</v>
      </c>
      <c r="BF15" s="0" t="n">
        <f aca="false">X15*($C15-X$2)</f>
        <v>449.999999999999</v>
      </c>
      <c r="BG15" s="0" t="n">
        <f aca="false">Y15*($C15-Y$2)</f>
        <v>-246.785000000001</v>
      </c>
      <c r="BH15" s="0" t="n">
        <f aca="false">Z15*($C15-Z$2)</f>
        <v>-699.999999999998</v>
      </c>
      <c r="BI15" s="0" t="n">
        <f aca="false">AA15*($C15-AA$2)</f>
        <v>-1150</v>
      </c>
      <c r="BJ15" s="0" t="n">
        <f aca="false">AB15*($C15-AB$2)</f>
        <v>-1162.5</v>
      </c>
      <c r="BK15" s="0" t="n">
        <f aca="false">AC15*($C15-AC$2)</f>
        <v>-850</v>
      </c>
      <c r="BL15" s="0" t="n">
        <f aca="false">AD15*($C15-AD$2)</f>
        <v>-1200</v>
      </c>
      <c r="BM15" s="0" t="n">
        <f aca="false">AE15*($C15-AE$2)</f>
        <v>-2400</v>
      </c>
      <c r="BN15" s="0" t="n">
        <f aca="false">AF15*($C15-AF$2)</f>
        <v>2250</v>
      </c>
      <c r="BO15" s="0" t="n">
        <f aca="false">AG15*($C15-AG$2)</f>
        <v>-299.999999999998</v>
      </c>
      <c r="BR15" s="0" t="n">
        <f aca="false">SUM(AL15:BQ15)</f>
        <v>-2296.785</v>
      </c>
    </row>
    <row r="16" customFormat="false" ht="12.75" hidden="false" customHeight="false" outlineLevel="0" collapsed="false">
      <c r="A16" s="49" t="n">
        <v>36963</v>
      </c>
      <c r="B16" s="0" t="n">
        <f aca="false">B$2+B$3</f>
        <v>5.35</v>
      </c>
      <c r="C16" s="48" t="n">
        <f aca="false">GasDaily!C16</f>
        <v>3.77</v>
      </c>
      <c r="D16" s="30" t="n">
        <v>-20000</v>
      </c>
      <c r="E16" s="30" t="n">
        <v>5000</v>
      </c>
      <c r="F16" s="30" t="n">
        <v>5000</v>
      </c>
      <c r="G16" s="30" t="n">
        <v>8500</v>
      </c>
      <c r="H16" s="30" t="n">
        <v>10000</v>
      </c>
      <c r="I16" s="30" t="n">
        <v>5000</v>
      </c>
      <c r="J16" s="30" t="n">
        <v>10000</v>
      </c>
      <c r="K16" s="30" t="n">
        <v>10000</v>
      </c>
      <c r="L16" s="30" t="n">
        <v>-10000</v>
      </c>
      <c r="M16" s="30" t="n">
        <v>-10000</v>
      </c>
      <c r="N16" s="30" t="n">
        <v>-10000</v>
      </c>
      <c r="O16" s="30" t="n">
        <v>10000</v>
      </c>
      <c r="P16" s="30" t="n">
        <v>10000</v>
      </c>
      <c r="Q16" s="30" t="n">
        <v>-10000</v>
      </c>
      <c r="R16" s="30" t="n">
        <v>10000</v>
      </c>
      <c r="S16" s="30" t="n">
        <v>10000</v>
      </c>
      <c r="T16" s="30" t="n">
        <v>10000</v>
      </c>
      <c r="U16" s="30" t="n">
        <v>-10000</v>
      </c>
      <c r="V16" s="30" t="n">
        <v>-10000</v>
      </c>
      <c r="W16" s="30" t="n">
        <v>10000</v>
      </c>
      <c r="X16" s="30" t="n">
        <v>-10000</v>
      </c>
      <c r="Y16" s="30" t="n">
        <v>4487</v>
      </c>
      <c r="Z16" s="30" t="n">
        <v>10000</v>
      </c>
      <c r="AA16" s="30" t="n">
        <v>-11500</v>
      </c>
      <c r="AB16" s="30" t="n">
        <v>-15000</v>
      </c>
      <c r="AC16" s="30" t="n">
        <v>-10000</v>
      </c>
      <c r="AD16" s="30" t="n">
        <v>-10000</v>
      </c>
      <c r="AE16" s="30" t="n">
        <v>-15000</v>
      </c>
      <c r="AF16" s="30" t="n">
        <v>15000</v>
      </c>
      <c r="AG16" s="30" t="n">
        <v>-10000</v>
      </c>
      <c r="AH16" s="30" t="n">
        <v>10000</v>
      </c>
      <c r="AI16" s="30"/>
      <c r="AJ16" s="17" t="n">
        <f aca="false">SUM(D16:AI16)</f>
        <v>-8513</v>
      </c>
      <c r="AK16" s="50"/>
      <c r="AL16" s="0" t="n">
        <f aca="false">D16*($C16-D$2)</f>
        <v>-599.999999999996</v>
      </c>
      <c r="AM16" s="0" t="n">
        <f aca="false">E16*($C16-E$2)</f>
        <v>500</v>
      </c>
      <c r="AN16" s="0" t="n">
        <f aca="false">F16*($C16-F$2)</f>
        <v>525</v>
      </c>
      <c r="AO16" s="0" t="n">
        <f aca="false">G16*($C16-G$2)</f>
        <v>1062.5</v>
      </c>
      <c r="AP16" s="0" t="n">
        <f aca="false">H16*($C16-H$2)</f>
        <v>1450</v>
      </c>
      <c r="AQ16" s="0" t="n">
        <f aca="false">I16*($C16-I$2)</f>
        <v>725</v>
      </c>
      <c r="AR16" s="0" t="n">
        <f aca="false">J16*($C16-J$2)</f>
        <v>1350</v>
      </c>
      <c r="AS16" s="0" t="n">
        <f aca="false">K16*($C16-K$2)</f>
        <v>-499.999999999998</v>
      </c>
      <c r="AT16" s="0" t="n">
        <f aca="false">L16*($C16-L$2)</f>
        <v>400</v>
      </c>
      <c r="AU16" s="0" t="n">
        <f aca="false">M16*($C16-M$2)</f>
        <v>-0</v>
      </c>
      <c r="AV16" s="0" t="n">
        <f aca="false">N16*($C16-N$2)</f>
        <v>200</v>
      </c>
      <c r="AW16" s="0" t="n">
        <f aca="false">O16*($C16-O$2)</f>
        <v>-150.000000000001</v>
      </c>
      <c r="AX16" s="0" t="n">
        <f aca="false">P16*($C16-P$2)</f>
        <v>-449.999999999999</v>
      </c>
      <c r="AY16" s="0" t="n">
        <f aca="false">Q16*($C16-Q$2)</f>
        <v>850</v>
      </c>
      <c r="AZ16" s="0" t="n">
        <f aca="false">R16*($C16-R$2)</f>
        <v>-950.000000000002</v>
      </c>
      <c r="BA16" s="0" t="n">
        <f aca="false">S16*($C16-S$2)</f>
        <v>-1850</v>
      </c>
      <c r="BB16" s="0" t="n">
        <f aca="false">T16*($C16-T$2)</f>
        <v>-2000</v>
      </c>
      <c r="BC16" s="0" t="n">
        <f aca="false">U16*($C16-U$2)</f>
        <v>2700</v>
      </c>
      <c r="BD16" s="0" t="n">
        <f aca="false">V16*($C16-V$2)</f>
        <v>2650</v>
      </c>
      <c r="BE16" s="0" t="n">
        <f aca="false">W16*($C16-W$2)</f>
        <v>-2900</v>
      </c>
      <c r="BF16" s="0" t="n">
        <f aca="false">X16*($C16-X$2)</f>
        <v>449.999999999999</v>
      </c>
      <c r="BG16" s="0" t="n">
        <f aca="false">Y16*($C16-Y$2)</f>
        <v>-246.785000000001</v>
      </c>
      <c r="BH16" s="0" t="n">
        <f aca="false">Z16*($C16-Z$2)</f>
        <v>-699.999999999998</v>
      </c>
      <c r="BI16" s="0" t="n">
        <f aca="false">AA16*($C16-AA$2)</f>
        <v>-1150</v>
      </c>
      <c r="BJ16" s="0" t="n">
        <f aca="false">AB16*($C16-AB$2)</f>
        <v>-1162.5</v>
      </c>
      <c r="BK16" s="0" t="n">
        <f aca="false">AC16*($C16-AC$2)</f>
        <v>-850</v>
      </c>
      <c r="BL16" s="0" t="n">
        <f aca="false">AD16*($C16-AD$2)</f>
        <v>-1200</v>
      </c>
      <c r="BM16" s="0" t="n">
        <f aca="false">AE16*($C16-AE$2)</f>
        <v>-2400</v>
      </c>
      <c r="BN16" s="0" t="n">
        <f aca="false">AF16*($C16-AF$2)</f>
        <v>2250</v>
      </c>
      <c r="BO16" s="0" t="n">
        <f aca="false">AG16*($C16-AG$2)</f>
        <v>-299.999999999998</v>
      </c>
      <c r="BR16" s="0" t="n">
        <f aca="false">SUM(AL16:BQ16)</f>
        <v>-2296.785</v>
      </c>
    </row>
    <row r="17" customFormat="false" ht="12.75" hidden="false" customHeight="false" outlineLevel="0" collapsed="false">
      <c r="A17" s="49" t="n">
        <v>36964</v>
      </c>
      <c r="B17" s="0" t="n">
        <f aca="false">B$2+B$3</f>
        <v>5.35</v>
      </c>
      <c r="C17" s="48" t="n">
        <f aca="false">GasDaily!C17</f>
        <v>3.77</v>
      </c>
      <c r="D17" s="30" t="n">
        <v>-20000</v>
      </c>
      <c r="E17" s="30" t="n">
        <v>5000</v>
      </c>
      <c r="F17" s="30" t="n">
        <v>5000</v>
      </c>
      <c r="G17" s="30" t="n">
        <v>8500</v>
      </c>
      <c r="H17" s="30" t="n">
        <v>10000</v>
      </c>
      <c r="I17" s="30" t="n">
        <v>5000</v>
      </c>
      <c r="J17" s="30" t="n">
        <v>10000</v>
      </c>
      <c r="K17" s="30" t="n">
        <v>10000</v>
      </c>
      <c r="L17" s="30" t="n">
        <v>-10000</v>
      </c>
      <c r="M17" s="30" t="n">
        <v>-10000</v>
      </c>
      <c r="N17" s="30" t="n">
        <v>-10000</v>
      </c>
      <c r="O17" s="30" t="n">
        <v>10000</v>
      </c>
      <c r="P17" s="30" t="n">
        <v>10000</v>
      </c>
      <c r="Q17" s="30" t="n">
        <v>-10000</v>
      </c>
      <c r="R17" s="30" t="n">
        <v>10000</v>
      </c>
      <c r="S17" s="30" t="n">
        <v>10000</v>
      </c>
      <c r="T17" s="30" t="n">
        <v>10000</v>
      </c>
      <c r="U17" s="30" t="n">
        <v>-10000</v>
      </c>
      <c r="V17" s="30" t="n">
        <v>-10000</v>
      </c>
      <c r="W17" s="30" t="n">
        <v>10000</v>
      </c>
      <c r="X17" s="30" t="n">
        <v>-10000</v>
      </c>
      <c r="Y17" s="30" t="n">
        <v>4487</v>
      </c>
      <c r="Z17" s="30" t="n">
        <v>10000</v>
      </c>
      <c r="AA17" s="30" t="n">
        <v>-11500</v>
      </c>
      <c r="AB17" s="30" t="n">
        <v>-15000</v>
      </c>
      <c r="AC17" s="30" t="n">
        <v>-10000</v>
      </c>
      <c r="AD17" s="30" t="n">
        <v>-10000</v>
      </c>
      <c r="AE17" s="30" t="n">
        <v>-15000</v>
      </c>
      <c r="AF17" s="30" t="n">
        <v>15000</v>
      </c>
      <c r="AG17" s="30" t="n">
        <v>-10000</v>
      </c>
      <c r="AH17" s="30" t="n">
        <v>10000</v>
      </c>
      <c r="AI17" s="30"/>
      <c r="AJ17" s="17" t="n">
        <f aca="false">SUM(D17:AI17)</f>
        <v>-8513</v>
      </c>
      <c r="AK17" s="50"/>
      <c r="AL17" s="0" t="n">
        <f aca="false">D17*($C17-D$2)</f>
        <v>-599.999999999996</v>
      </c>
      <c r="AM17" s="0" t="n">
        <f aca="false">E17*($C17-E$2)</f>
        <v>500</v>
      </c>
      <c r="AN17" s="0" t="n">
        <f aca="false">F17*($C17-F$2)</f>
        <v>525</v>
      </c>
      <c r="AO17" s="0" t="n">
        <f aca="false">G17*($C17-G$2)</f>
        <v>1062.5</v>
      </c>
      <c r="AP17" s="0" t="n">
        <f aca="false">H17*($C17-H$2)</f>
        <v>1450</v>
      </c>
      <c r="AQ17" s="0" t="n">
        <f aca="false">I17*($C17-I$2)</f>
        <v>725</v>
      </c>
      <c r="AR17" s="0" t="n">
        <f aca="false">J17*($C17-J$2)</f>
        <v>1350</v>
      </c>
      <c r="AS17" s="0" t="n">
        <f aca="false">K17*($C17-K$2)</f>
        <v>-499.999999999998</v>
      </c>
      <c r="AT17" s="0" t="n">
        <f aca="false">L17*($C17-L$2)</f>
        <v>400</v>
      </c>
      <c r="AU17" s="0" t="n">
        <f aca="false">M17*($C17-M$2)</f>
        <v>-0</v>
      </c>
      <c r="AV17" s="0" t="n">
        <f aca="false">N17*($C17-N$2)</f>
        <v>200</v>
      </c>
      <c r="AW17" s="0" t="n">
        <f aca="false">O17*($C17-O$2)</f>
        <v>-150.000000000001</v>
      </c>
      <c r="AX17" s="0" t="n">
        <f aca="false">P17*($C17-P$2)</f>
        <v>-449.999999999999</v>
      </c>
      <c r="AY17" s="0" t="n">
        <f aca="false">Q17*($C17-Q$2)</f>
        <v>850</v>
      </c>
      <c r="AZ17" s="0" t="n">
        <f aca="false">R17*($C17-R$2)</f>
        <v>-950.000000000002</v>
      </c>
      <c r="BA17" s="0" t="n">
        <f aca="false">S17*($C17-S$2)</f>
        <v>-1850</v>
      </c>
      <c r="BB17" s="0" t="n">
        <f aca="false">T17*($C17-T$2)</f>
        <v>-2000</v>
      </c>
      <c r="BC17" s="0" t="n">
        <f aca="false">U17*($C17-U$2)</f>
        <v>2700</v>
      </c>
      <c r="BD17" s="0" t="n">
        <f aca="false">V17*($C17-V$2)</f>
        <v>2650</v>
      </c>
      <c r="BE17" s="0" t="n">
        <f aca="false">W17*($C17-W$2)</f>
        <v>-2900</v>
      </c>
      <c r="BF17" s="0" t="n">
        <f aca="false">X17*($C17-X$2)</f>
        <v>449.999999999999</v>
      </c>
      <c r="BG17" s="0" t="n">
        <f aca="false">Y17*($C17-Y$2)</f>
        <v>-246.785000000001</v>
      </c>
      <c r="BH17" s="0" t="n">
        <f aca="false">Z17*($C17-Z$2)</f>
        <v>-699.999999999998</v>
      </c>
      <c r="BI17" s="0" t="n">
        <f aca="false">AA17*($C17-AA$2)</f>
        <v>-1150</v>
      </c>
      <c r="BJ17" s="0" t="n">
        <f aca="false">AB17*($C17-AB$2)</f>
        <v>-1162.5</v>
      </c>
      <c r="BK17" s="0" t="n">
        <f aca="false">AC17*($C17-AC$2)</f>
        <v>-850</v>
      </c>
      <c r="BL17" s="0" t="n">
        <f aca="false">AD17*($C17-AD$2)</f>
        <v>-1200</v>
      </c>
      <c r="BM17" s="0" t="n">
        <f aca="false">AE17*($C17-AE$2)</f>
        <v>-2400</v>
      </c>
      <c r="BN17" s="0" t="n">
        <f aca="false">AF17*($C17-AF$2)</f>
        <v>2250</v>
      </c>
      <c r="BO17" s="0" t="n">
        <f aca="false">AG17*($C17-AG$2)</f>
        <v>-299.999999999998</v>
      </c>
      <c r="BR17" s="0" t="n">
        <f aca="false">SUM(AL17:BQ17)</f>
        <v>-2296.785</v>
      </c>
    </row>
    <row r="18" customFormat="false" ht="12.75" hidden="false" customHeight="false" outlineLevel="0" collapsed="false">
      <c r="A18" s="49" t="n">
        <v>36965</v>
      </c>
      <c r="B18" s="0" t="n">
        <f aca="false">B$2+B$3</f>
        <v>5.35</v>
      </c>
      <c r="C18" s="48" t="n">
        <f aca="false">GasDaily!C18</f>
        <v>3.77</v>
      </c>
      <c r="D18" s="30" t="n">
        <v>-20000</v>
      </c>
      <c r="E18" s="30" t="n">
        <v>5000</v>
      </c>
      <c r="F18" s="30" t="n">
        <v>5000</v>
      </c>
      <c r="G18" s="30" t="n">
        <v>8500</v>
      </c>
      <c r="H18" s="30" t="n">
        <v>10000</v>
      </c>
      <c r="I18" s="30" t="n">
        <v>5000</v>
      </c>
      <c r="J18" s="30" t="n">
        <v>10000</v>
      </c>
      <c r="K18" s="30" t="n">
        <v>10000</v>
      </c>
      <c r="L18" s="30" t="n">
        <v>-10000</v>
      </c>
      <c r="M18" s="30" t="n">
        <v>-10000</v>
      </c>
      <c r="N18" s="30" t="n">
        <v>-10000</v>
      </c>
      <c r="O18" s="30" t="n">
        <v>10000</v>
      </c>
      <c r="P18" s="30" t="n">
        <v>10000</v>
      </c>
      <c r="Q18" s="30" t="n">
        <v>-10000</v>
      </c>
      <c r="R18" s="30" t="n">
        <v>10000</v>
      </c>
      <c r="S18" s="30" t="n">
        <v>10000</v>
      </c>
      <c r="T18" s="30" t="n">
        <v>10000</v>
      </c>
      <c r="U18" s="30" t="n">
        <v>-10000</v>
      </c>
      <c r="V18" s="30" t="n">
        <v>-10000</v>
      </c>
      <c r="W18" s="30" t="n">
        <v>10000</v>
      </c>
      <c r="X18" s="30" t="n">
        <v>-10000</v>
      </c>
      <c r="Y18" s="30" t="n">
        <v>4487</v>
      </c>
      <c r="Z18" s="30" t="n">
        <v>10000</v>
      </c>
      <c r="AA18" s="30" t="n">
        <v>-11500</v>
      </c>
      <c r="AB18" s="30" t="n">
        <v>-15000</v>
      </c>
      <c r="AC18" s="30" t="n">
        <v>-10000</v>
      </c>
      <c r="AD18" s="30" t="n">
        <v>-10000</v>
      </c>
      <c r="AE18" s="30" t="n">
        <v>-15000</v>
      </c>
      <c r="AF18" s="30" t="n">
        <v>15000</v>
      </c>
      <c r="AG18" s="30" t="n">
        <v>-10000</v>
      </c>
      <c r="AH18" s="30" t="n">
        <v>10000</v>
      </c>
      <c r="AI18" s="30"/>
      <c r="AJ18" s="17" t="n">
        <f aca="false">SUM(D18:AI18)</f>
        <v>-8513</v>
      </c>
      <c r="AK18" s="50"/>
      <c r="AL18" s="0" t="n">
        <f aca="false">D18*($C18-D$2)</f>
        <v>-599.999999999996</v>
      </c>
      <c r="AM18" s="0" t="n">
        <f aca="false">E18*($C18-E$2)</f>
        <v>500</v>
      </c>
      <c r="AN18" s="0" t="n">
        <f aca="false">F18*($C18-F$2)</f>
        <v>525</v>
      </c>
      <c r="AO18" s="0" t="n">
        <f aca="false">G18*($C18-G$2)</f>
        <v>1062.5</v>
      </c>
      <c r="AP18" s="0" t="n">
        <f aca="false">H18*($C18-H$2)</f>
        <v>1450</v>
      </c>
      <c r="AQ18" s="0" t="n">
        <f aca="false">I18*($C18-I$2)</f>
        <v>725</v>
      </c>
      <c r="AR18" s="0" t="n">
        <f aca="false">J18*($C18-J$2)</f>
        <v>1350</v>
      </c>
      <c r="AS18" s="0" t="n">
        <f aca="false">K18*($C18-K$2)</f>
        <v>-499.999999999998</v>
      </c>
      <c r="AT18" s="0" t="n">
        <f aca="false">L18*($C18-L$2)</f>
        <v>400</v>
      </c>
      <c r="AU18" s="0" t="n">
        <f aca="false">M18*($C18-M$2)</f>
        <v>-0</v>
      </c>
      <c r="AV18" s="0" t="n">
        <f aca="false">N18*($C18-N$2)</f>
        <v>200</v>
      </c>
      <c r="AW18" s="0" t="n">
        <f aca="false">O18*($C18-O$2)</f>
        <v>-150.000000000001</v>
      </c>
      <c r="AX18" s="0" t="n">
        <f aca="false">P18*($C18-P$2)</f>
        <v>-449.999999999999</v>
      </c>
      <c r="AY18" s="0" t="n">
        <f aca="false">Q18*($C18-Q$2)</f>
        <v>850</v>
      </c>
      <c r="AZ18" s="0" t="n">
        <f aca="false">R18*($C18-R$2)</f>
        <v>-950.000000000002</v>
      </c>
      <c r="BA18" s="0" t="n">
        <f aca="false">S18*($C18-S$2)</f>
        <v>-1850</v>
      </c>
      <c r="BB18" s="0" t="n">
        <f aca="false">T18*($C18-T$2)</f>
        <v>-2000</v>
      </c>
      <c r="BC18" s="0" t="n">
        <f aca="false">U18*($C18-U$2)</f>
        <v>2700</v>
      </c>
      <c r="BD18" s="0" t="n">
        <f aca="false">V18*($C18-V$2)</f>
        <v>2650</v>
      </c>
      <c r="BE18" s="0" t="n">
        <f aca="false">W18*($C18-W$2)</f>
        <v>-2900</v>
      </c>
      <c r="BF18" s="0" t="n">
        <f aca="false">X18*($C18-X$2)</f>
        <v>449.999999999999</v>
      </c>
      <c r="BG18" s="0" t="n">
        <f aca="false">Y18*($C18-Y$2)</f>
        <v>-246.785000000001</v>
      </c>
      <c r="BH18" s="0" t="n">
        <f aca="false">Z18*($C18-Z$2)</f>
        <v>-699.999999999998</v>
      </c>
      <c r="BI18" s="0" t="n">
        <f aca="false">AA18*($C18-AA$2)</f>
        <v>-1150</v>
      </c>
      <c r="BJ18" s="0" t="n">
        <f aca="false">AB18*($C18-AB$2)</f>
        <v>-1162.5</v>
      </c>
      <c r="BK18" s="0" t="n">
        <f aca="false">AC18*($C18-AC$2)</f>
        <v>-850</v>
      </c>
      <c r="BL18" s="0" t="n">
        <f aca="false">AD18*($C18-AD$2)</f>
        <v>-1200</v>
      </c>
      <c r="BM18" s="0" t="n">
        <f aca="false">AE18*($C18-AE$2)</f>
        <v>-2400</v>
      </c>
      <c r="BN18" s="0" t="n">
        <f aca="false">AF18*($C18-AF$2)</f>
        <v>2250</v>
      </c>
      <c r="BO18" s="0" t="n">
        <f aca="false">AG18*($C18-AG$2)</f>
        <v>-299.999999999998</v>
      </c>
      <c r="BR18" s="0" t="n">
        <f aca="false">SUM(AL18:BQ18)</f>
        <v>-2296.785</v>
      </c>
    </row>
    <row r="19" customFormat="false" ht="12.75" hidden="false" customHeight="false" outlineLevel="0" collapsed="false">
      <c r="A19" s="49" t="n">
        <v>36966</v>
      </c>
      <c r="B19" s="0" t="n">
        <f aca="false">B$2+B$3</f>
        <v>5.35</v>
      </c>
      <c r="C19" s="48" t="n">
        <f aca="false">GasDaily!C19</f>
        <v>3.77</v>
      </c>
      <c r="D19" s="30" t="n">
        <v>-20000</v>
      </c>
      <c r="E19" s="30" t="n">
        <v>5000</v>
      </c>
      <c r="F19" s="30" t="n">
        <v>5000</v>
      </c>
      <c r="G19" s="30" t="n">
        <v>8500</v>
      </c>
      <c r="H19" s="30" t="n">
        <v>10000</v>
      </c>
      <c r="I19" s="30" t="n">
        <v>5000</v>
      </c>
      <c r="J19" s="30" t="n">
        <v>10000</v>
      </c>
      <c r="K19" s="30" t="n">
        <v>10000</v>
      </c>
      <c r="L19" s="30" t="n">
        <v>-10000</v>
      </c>
      <c r="M19" s="30" t="n">
        <v>-10000</v>
      </c>
      <c r="N19" s="30" t="n">
        <v>-10000</v>
      </c>
      <c r="O19" s="30" t="n">
        <v>10000</v>
      </c>
      <c r="P19" s="30" t="n">
        <v>10000</v>
      </c>
      <c r="Q19" s="30" t="n">
        <v>-10000</v>
      </c>
      <c r="R19" s="30" t="n">
        <v>10000</v>
      </c>
      <c r="S19" s="30" t="n">
        <v>10000</v>
      </c>
      <c r="T19" s="30" t="n">
        <v>10000</v>
      </c>
      <c r="U19" s="30" t="n">
        <v>-10000</v>
      </c>
      <c r="V19" s="30" t="n">
        <v>-10000</v>
      </c>
      <c r="W19" s="30" t="n">
        <v>10000</v>
      </c>
      <c r="X19" s="30" t="n">
        <v>-10000</v>
      </c>
      <c r="Y19" s="30" t="n">
        <v>4487</v>
      </c>
      <c r="Z19" s="30" t="n">
        <v>10000</v>
      </c>
      <c r="AA19" s="30" t="n">
        <v>-11500</v>
      </c>
      <c r="AB19" s="30" t="n">
        <v>-15000</v>
      </c>
      <c r="AC19" s="30" t="n">
        <v>-10000</v>
      </c>
      <c r="AD19" s="30" t="n">
        <v>-10000</v>
      </c>
      <c r="AE19" s="30" t="n">
        <v>-15000</v>
      </c>
      <c r="AF19" s="30" t="n">
        <v>15000</v>
      </c>
      <c r="AG19" s="30" t="n">
        <v>-10000</v>
      </c>
      <c r="AH19" s="30" t="n">
        <v>10000</v>
      </c>
      <c r="AI19" s="30"/>
      <c r="AJ19" s="17" t="n">
        <f aca="false">SUM(D19:AI19)</f>
        <v>-8513</v>
      </c>
      <c r="AK19" s="50"/>
      <c r="AL19" s="0" t="n">
        <f aca="false">D19*($C19-D$2)</f>
        <v>-599.999999999996</v>
      </c>
      <c r="AM19" s="0" t="n">
        <f aca="false">E19*($C19-E$2)</f>
        <v>500</v>
      </c>
      <c r="AN19" s="0" t="n">
        <f aca="false">F19*($C19-F$2)</f>
        <v>525</v>
      </c>
      <c r="AO19" s="0" t="n">
        <f aca="false">G19*($C19-G$2)</f>
        <v>1062.5</v>
      </c>
      <c r="AP19" s="0" t="n">
        <f aca="false">H19*($C19-H$2)</f>
        <v>1450</v>
      </c>
      <c r="AQ19" s="0" t="n">
        <f aca="false">I19*($C19-I$2)</f>
        <v>725</v>
      </c>
      <c r="AR19" s="0" t="n">
        <f aca="false">J19*($C19-J$2)</f>
        <v>1350</v>
      </c>
      <c r="AS19" s="0" t="n">
        <f aca="false">K19*($C19-K$2)</f>
        <v>-499.999999999998</v>
      </c>
      <c r="AT19" s="0" t="n">
        <f aca="false">L19*($C19-L$2)</f>
        <v>400</v>
      </c>
      <c r="AU19" s="0" t="n">
        <f aca="false">M19*($C19-M$2)</f>
        <v>-0</v>
      </c>
      <c r="AV19" s="0" t="n">
        <f aca="false">N19*($C19-N$2)</f>
        <v>200</v>
      </c>
      <c r="AW19" s="0" t="n">
        <f aca="false">O19*($C19-O$2)</f>
        <v>-150.000000000001</v>
      </c>
      <c r="AX19" s="0" t="n">
        <f aca="false">P19*($C19-P$2)</f>
        <v>-449.999999999999</v>
      </c>
      <c r="AY19" s="0" t="n">
        <f aca="false">Q19*($C19-Q$2)</f>
        <v>850</v>
      </c>
      <c r="AZ19" s="0" t="n">
        <f aca="false">R19*($C19-R$2)</f>
        <v>-950.000000000002</v>
      </c>
      <c r="BA19" s="0" t="n">
        <f aca="false">S19*($C19-S$2)</f>
        <v>-1850</v>
      </c>
      <c r="BB19" s="0" t="n">
        <f aca="false">T19*($C19-T$2)</f>
        <v>-2000</v>
      </c>
      <c r="BC19" s="0" t="n">
        <f aca="false">U19*($C19-U$2)</f>
        <v>2700</v>
      </c>
      <c r="BD19" s="0" t="n">
        <f aca="false">V19*($C19-V$2)</f>
        <v>2650</v>
      </c>
      <c r="BE19" s="0" t="n">
        <f aca="false">W19*($C19-W$2)</f>
        <v>-2900</v>
      </c>
      <c r="BF19" s="0" t="n">
        <f aca="false">X19*($C19-X$2)</f>
        <v>449.999999999999</v>
      </c>
      <c r="BG19" s="0" t="n">
        <f aca="false">Y19*($C19-Y$2)</f>
        <v>-246.785000000001</v>
      </c>
      <c r="BH19" s="0" t="n">
        <f aca="false">Z19*($C19-Z$2)</f>
        <v>-699.999999999998</v>
      </c>
      <c r="BI19" s="0" t="n">
        <f aca="false">AA19*($C19-AA$2)</f>
        <v>-1150</v>
      </c>
      <c r="BJ19" s="0" t="n">
        <f aca="false">AB19*($C19-AB$2)</f>
        <v>-1162.5</v>
      </c>
      <c r="BK19" s="0" t="n">
        <f aca="false">AC19*($C19-AC$2)</f>
        <v>-850</v>
      </c>
      <c r="BL19" s="0" t="n">
        <f aca="false">AD19*($C19-AD$2)</f>
        <v>-1200</v>
      </c>
      <c r="BM19" s="0" t="n">
        <f aca="false">AE19*($C19-AE$2)</f>
        <v>-2400</v>
      </c>
      <c r="BN19" s="0" t="n">
        <f aca="false">AF19*($C19-AF$2)</f>
        <v>2250</v>
      </c>
      <c r="BO19" s="0" t="n">
        <f aca="false">AG19*($C19-AG$2)</f>
        <v>-299.999999999998</v>
      </c>
      <c r="BR19" s="0" t="n">
        <f aca="false">SUM(AL19:BQ19)</f>
        <v>-2296.785</v>
      </c>
    </row>
    <row r="20" customFormat="false" ht="12.75" hidden="false" customHeight="false" outlineLevel="0" collapsed="false">
      <c r="A20" s="49" t="n">
        <v>36967</v>
      </c>
      <c r="B20" s="0" t="n">
        <f aca="false">B$2+B$3</f>
        <v>5.35</v>
      </c>
      <c r="C20" s="48" t="n">
        <f aca="false">GasDaily!C20</f>
        <v>3.77</v>
      </c>
      <c r="D20" s="30" t="n">
        <v>-20000</v>
      </c>
      <c r="E20" s="30" t="n">
        <v>5000</v>
      </c>
      <c r="F20" s="30" t="n">
        <v>5000</v>
      </c>
      <c r="G20" s="30" t="n">
        <v>8500</v>
      </c>
      <c r="H20" s="30" t="n">
        <v>10000</v>
      </c>
      <c r="I20" s="30" t="n">
        <v>5000</v>
      </c>
      <c r="J20" s="30" t="n">
        <v>10000</v>
      </c>
      <c r="K20" s="30" t="n">
        <v>10000</v>
      </c>
      <c r="L20" s="30" t="n">
        <v>-10000</v>
      </c>
      <c r="M20" s="30" t="n">
        <v>-10000</v>
      </c>
      <c r="N20" s="30" t="n">
        <v>-10000</v>
      </c>
      <c r="O20" s="30" t="n">
        <v>10000</v>
      </c>
      <c r="P20" s="30" t="n">
        <v>10000</v>
      </c>
      <c r="Q20" s="30" t="n">
        <v>-10000</v>
      </c>
      <c r="R20" s="30" t="n">
        <v>10000</v>
      </c>
      <c r="S20" s="30" t="n">
        <v>10000</v>
      </c>
      <c r="T20" s="30" t="n">
        <v>10000</v>
      </c>
      <c r="U20" s="30" t="n">
        <v>-10000</v>
      </c>
      <c r="V20" s="30" t="n">
        <v>-10000</v>
      </c>
      <c r="W20" s="30" t="n">
        <v>10000</v>
      </c>
      <c r="X20" s="30" t="n">
        <v>-10000</v>
      </c>
      <c r="Y20" s="30" t="n">
        <v>4487</v>
      </c>
      <c r="Z20" s="30" t="n">
        <v>10000</v>
      </c>
      <c r="AA20" s="30" t="n">
        <v>-11500</v>
      </c>
      <c r="AB20" s="30" t="n">
        <v>-15000</v>
      </c>
      <c r="AC20" s="30" t="n">
        <v>-10000</v>
      </c>
      <c r="AD20" s="30" t="n">
        <v>-10000</v>
      </c>
      <c r="AE20" s="30" t="n">
        <v>-15000</v>
      </c>
      <c r="AF20" s="30" t="n">
        <v>15000</v>
      </c>
      <c r="AG20" s="30" t="n">
        <v>-10000</v>
      </c>
      <c r="AH20" s="30" t="n">
        <v>10000</v>
      </c>
      <c r="AI20" s="30"/>
      <c r="AJ20" s="17" t="n">
        <f aca="false">SUM(D20:AI20)</f>
        <v>-8513</v>
      </c>
      <c r="AK20" s="50"/>
      <c r="AL20" s="0" t="n">
        <f aca="false">D20*($C20-D$2)</f>
        <v>-599.999999999996</v>
      </c>
      <c r="AM20" s="0" t="n">
        <f aca="false">E20*($C20-E$2)</f>
        <v>500</v>
      </c>
      <c r="AN20" s="0" t="n">
        <f aca="false">F20*($C20-F$2)</f>
        <v>525</v>
      </c>
      <c r="AO20" s="0" t="n">
        <f aca="false">G20*($C20-G$2)</f>
        <v>1062.5</v>
      </c>
      <c r="AP20" s="0" t="n">
        <f aca="false">H20*($C20-H$2)</f>
        <v>1450</v>
      </c>
      <c r="AQ20" s="0" t="n">
        <f aca="false">I20*($C20-I$2)</f>
        <v>725</v>
      </c>
      <c r="AR20" s="0" t="n">
        <f aca="false">J20*($C20-J$2)</f>
        <v>1350</v>
      </c>
      <c r="AS20" s="0" t="n">
        <f aca="false">K20*($C20-K$2)</f>
        <v>-499.999999999998</v>
      </c>
      <c r="AT20" s="0" t="n">
        <f aca="false">L20*($C20-L$2)</f>
        <v>400</v>
      </c>
      <c r="AU20" s="0" t="n">
        <f aca="false">M20*($C20-M$2)</f>
        <v>-0</v>
      </c>
      <c r="AV20" s="0" t="n">
        <f aca="false">N20*($C20-N$2)</f>
        <v>200</v>
      </c>
      <c r="AW20" s="0" t="n">
        <f aca="false">O20*($C20-O$2)</f>
        <v>-150.000000000001</v>
      </c>
      <c r="AX20" s="0" t="n">
        <f aca="false">P20*($C20-P$2)</f>
        <v>-449.999999999999</v>
      </c>
      <c r="AY20" s="0" t="n">
        <f aca="false">Q20*($C20-Q$2)</f>
        <v>850</v>
      </c>
      <c r="AZ20" s="0" t="n">
        <f aca="false">R20*($C20-R$2)</f>
        <v>-950.000000000002</v>
      </c>
      <c r="BA20" s="0" t="n">
        <f aca="false">S20*($C20-S$2)</f>
        <v>-1850</v>
      </c>
      <c r="BB20" s="0" t="n">
        <f aca="false">T20*($C20-T$2)</f>
        <v>-2000</v>
      </c>
      <c r="BC20" s="0" t="n">
        <f aca="false">U20*($C20-U$2)</f>
        <v>2700</v>
      </c>
      <c r="BD20" s="0" t="n">
        <f aca="false">V20*($C20-V$2)</f>
        <v>2650</v>
      </c>
      <c r="BE20" s="0" t="n">
        <f aca="false">W20*($C20-W$2)</f>
        <v>-2900</v>
      </c>
      <c r="BF20" s="0" t="n">
        <f aca="false">X20*($C20-X$2)</f>
        <v>449.999999999999</v>
      </c>
      <c r="BG20" s="0" t="n">
        <f aca="false">Y20*($C20-Y$2)</f>
        <v>-246.785000000001</v>
      </c>
      <c r="BH20" s="0" t="n">
        <f aca="false">Z20*($C20-Z$2)</f>
        <v>-699.999999999998</v>
      </c>
      <c r="BI20" s="0" t="n">
        <f aca="false">AA20*($C20-AA$2)</f>
        <v>-1150</v>
      </c>
      <c r="BJ20" s="0" t="n">
        <f aca="false">AB20*($C20-AB$2)</f>
        <v>-1162.5</v>
      </c>
      <c r="BK20" s="0" t="n">
        <f aca="false">AC20*($C20-AC$2)</f>
        <v>-850</v>
      </c>
      <c r="BL20" s="0" t="n">
        <f aca="false">AD20*($C20-AD$2)</f>
        <v>-1200</v>
      </c>
      <c r="BM20" s="0" t="n">
        <f aca="false">AE20*($C20-AE$2)</f>
        <v>-2400</v>
      </c>
      <c r="BN20" s="0" t="n">
        <f aca="false">AF20*($C20-AF$2)</f>
        <v>2250</v>
      </c>
      <c r="BO20" s="0" t="n">
        <f aca="false">AG20*($C20-AG$2)</f>
        <v>-299.999999999998</v>
      </c>
      <c r="BR20" s="0" t="n">
        <f aca="false">SUM(AL20:BQ20)</f>
        <v>-2296.785</v>
      </c>
    </row>
    <row r="21" customFormat="false" ht="12.75" hidden="false" customHeight="false" outlineLevel="0" collapsed="false">
      <c r="A21" s="49" t="n">
        <v>36968</v>
      </c>
      <c r="B21" s="0" t="n">
        <f aca="false">B$2+B$3</f>
        <v>5.35</v>
      </c>
      <c r="C21" s="48" t="n">
        <f aca="false">GasDaily!C21</f>
        <v>3.77</v>
      </c>
      <c r="D21" s="30" t="n">
        <v>-20000</v>
      </c>
      <c r="E21" s="30" t="n">
        <v>5000</v>
      </c>
      <c r="F21" s="30" t="n">
        <v>5000</v>
      </c>
      <c r="G21" s="30" t="n">
        <v>8500</v>
      </c>
      <c r="H21" s="30" t="n">
        <v>10000</v>
      </c>
      <c r="I21" s="30" t="n">
        <v>5000</v>
      </c>
      <c r="J21" s="30" t="n">
        <v>10000</v>
      </c>
      <c r="K21" s="30" t="n">
        <v>10000</v>
      </c>
      <c r="L21" s="30" t="n">
        <v>-10000</v>
      </c>
      <c r="M21" s="30" t="n">
        <v>-10000</v>
      </c>
      <c r="N21" s="30" t="n">
        <v>-10000</v>
      </c>
      <c r="O21" s="30" t="n">
        <v>10000</v>
      </c>
      <c r="P21" s="30" t="n">
        <v>10000</v>
      </c>
      <c r="Q21" s="30" t="n">
        <v>-10000</v>
      </c>
      <c r="R21" s="30" t="n">
        <v>10000</v>
      </c>
      <c r="S21" s="30" t="n">
        <v>10000</v>
      </c>
      <c r="T21" s="30" t="n">
        <v>10000</v>
      </c>
      <c r="U21" s="30" t="n">
        <v>-10000</v>
      </c>
      <c r="V21" s="30" t="n">
        <v>-10000</v>
      </c>
      <c r="W21" s="30" t="n">
        <v>10000</v>
      </c>
      <c r="X21" s="30" t="n">
        <v>-10000</v>
      </c>
      <c r="Y21" s="30" t="n">
        <v>4487</v>
      </c>
      <c r="Z21" s="30" t="n">
        <v>10000</v>
      </c>
      <c r="AA21" s="30" t="n">
        <v>-11500</v>
      </c>
      <c r="AB21" s="30" t="n">
        <v>-15000</v>
      </c>
      <c r="AC21" s="30" t="n">
        <v>-10000</v>
      </c>
      <c r="AD21" s="30" t="n">
        <v>-10000</v>
      </c>
      <c r="AE21" s="30" t="n">
        <v>-15000</v>
      </c>
      <c r="AF21" s="30" t="n">
        <v>15000</v>
      </c>
      <c r="AG21" s="30" t="n">
        <v>-10000</v>
      </c>
      <c r="AH21" s="30" t="n">
        <v>10000</v>
      </c>
      <c r="AI21" s="30"/>
      <c r="AJ21" s="17" t="n">
        <f aca="false">SUM(D21:AI21)</f>
        <v>-8513</v>
      </c>
      <c r="AK21" s="50"/>
      <c r="AL21" s="0" t="n">
        <f aca="false">D21*($C21-D$2)</f>
        <v>-599.999999999996</v>
      </c>
      <c r="AM21" s="0" t="n">
        <f aca="false">E21*($C21-E$2)</f>
        <v>500</v>
      </c>
      <c r="AN21" s="0" t="n">
        <f aca="false">F21*($C21-F$2)</f>
        <v>525</v>
      </c>
      <c r="AO21" s="0" t="n">
        <f aca="false">G21*($C21-G$2)</f>
        <v>1062.5</v>
      </c>
      <c r="AP21" s="0" t="n">
        <f aca="false">H21*($C21-H$2)</f>
        <v>1450</v>
      </c>
      <c r="AQ21" s="0" t="n">
        <f aca="false">I21*($C21-I$2)</f>
        <v>725</v>
      </c>
      <c r="AR21" s="0" t="n">
        <f aca="false">J21*($C21-J$2)</f>
        <v>1350</v>
      </c>
      <c r="AS21" s="0" t="n">
        <f aca="false">K21*($C21-K$2)</f>
        <v>-499.999999999998</v>
      </c>
      <c r="AT21" s="0" t="n">
        <f aca="false">L21*($C21-L$2)</f>
        <v>400</v>
      </c>
      <c r="AU21" s="0" t="n">
        <f aca="false">M21*($C21-M$2)</f>
        <v>-0</v>
      </c>
      <c r="AV21" s="0" t="n">
        <f aca="false">N21*($C21-N$2)</f>
        <v>200</v>
      </c>
      <c r="AW21" s="0" t="n">
        <f aca="false">O21*($C21-O$2)</f>
        <v>-150.000000000001</v>
      </c>
      <c r="AX21" s="0" t="n">
        <f aca="false">P21*($C21-P$2)</f>
        <v>-449.999999999999</v>
      </c>
      <c r="AY21" s="0" t="n">
        <f aca="false">Q21*($C21-Q$2)</f>
        <v>850</v>
      </c>
      <c r="AZ21" s="0" t="n">
        <f aca="false">R21*($C21-R$2)</f>
        <v>-950.000000000002</v>
      </c>
      <c r="BA21" s="0" t="n">
        <f aca="false">S21*($C21-S$2)</f>
        <v>-1850</v>
      </c>
      <c r="BB21" s="0" t="n">
        <f aca="false">T21*($C21-T$2)</f>
        <v>-2000</v>
      </c>
      <c r="BC21" s="0" t="n">
        <f aca="false">U21*($C21-U$2)</f>
        <v>2700</v>
      </c>
      <c r="BD21" s="0" t="n">
        <f aca="false">V21*($C21-V$2)</f>
        <v>2650</v>
      </c>
      <c r="BE21" s="0" t="n">
        <f aca="false">W21*($C21-W$2)</f>
        <v>-2900</v>
      </c>
      <c r="BF21" s="0" t="n">
        <f aca="false">X21*($C21-X$2)</f>
        <v>449.999999999999</v>
      </c>
      <c r="BG21" s="0" t="n">
        <f aca="false">Y21*($C21-Y$2)</f>
        <v>-246.785000000001</v>
      </c>
      <c r="BH21" s="0" t="n">
        <f aca="false">Z21*($C21-Z$2)</f>
        <v>-699.999999999998</v>
      </c>
      <c r="BI21" s="0" t="n">
        <f aca="false">AA21*($C21-AA$2)</f>
        <v>-1150</v>
      </c>
      <c r="BJ21" s="0" t="n">
        <f aca="false">AB21*($C21-AB$2)</f>
        <v>-1162.5</v>
      </c>
      <c r="BK21" s="0" t="n">
        <f aca="false">AC21*($C21-AC$2)</f>
        <v>-850</v>
      </c>
      <c r="BL21" s="0" t="n">
        <f aca="false">AD21*($C21-AD$2)</f>
        <v>-1200</v>
      </c>
      <c r="BM21" s="0" t="n">
        <f aca="false">AE21*($C21-AE$2)</f>
        <v>-2400</v>
      </c>
      <c r="BN21" s="0" t="n">
        <f aca="false">AF21*($C21-AF$2)</f>
        <v>2250</v>
      </c>
      <c r="BO21" s="0" t="n">
        <f aca="false">AG21*($C21-AG$2)</f>
        <v>-299.999999999998</v>
      </c>
      <c r="BR21" s="0" t="n">
        <f aca="false">SUM(AL21:BQ21)</f>
        <v>-2296.785</v>
      </c>
    </row>
    <row r="22" customFormat="false" ht="12.75" hidden="false" customHeight="false" outlineLevel="0" collapsed="false">
      <c r="A22" s="49" t="n">
        <v>36969</v>
      </c>
      <c r="B22" s="0" t="n">
        <f aca="false">B$2+B$3</f>
        <v>5.35</v>
      </c>
      <c r="C22" s="48" t="n">
        <f aca="false">GasDaily!C22</f>
        <v>3.77</v>
      </c>
      <c r="D22" s="30" t="n">
        <v>-20000</v>
      </c>
      <c r="E22" s="30" t="n">
        <v>5000</v>
      </c>
      <c r="F22" s="30" t="n">
        <v>5000</v>
      </c>
      <c r="G22" s="30" t="n">
        <v>8500</v>
      </c>
      <c r="H22" s="30" t="n">
        <v>10000</v>
      </c>
      <c r="I22" s="30" t="n">
        <v>5000</v>
      </c>
      <c r="J22" s="30" t="n">
        <v>10000</v>
      </c>
      <c r="K22" s="30" t="n">
        <v>10000</v>
      </c>
      <c r="L22" s="30" t="n">
        <v>-10000</v>
      </c>
      <c r="M22" s="30" t="n">
        <v>-10000</v>
      </c>
      <c r="N22" s="30" t="n">
        <v>-10000</v>
      </c>
      <c r="O22" s="30" t="n">
        <v>10000</v>
      </c>
      <c r="P22" s="30" t="n">
        <v>10000</v>
      </c>
      <c r="Q22" s="30" t="n">
        <v>-10000</v>
      </c>
      <c r="R22" s="30" t="n">
        <v>10000</v>
      </c>
      <c r="S22" s="30" t="n">
        <v>10000</v>
      </c>
      <c r="T22" s="30" t="n">
        <v>10000</v>
      </c>
      <c r="U22" s="30" t="n">
        <v>-10000</v>
      </c>
      <c r="V22" s="30" t="n">
        <v>-10000</v>
      </c>
      <c r="W22" s="30" t="n">
        <v>10000</v>
      </c>
      <c r="X22" s="30" t="n">
        <v>-10000</v>
      </c>
      <c r="Y22" s="30" t="n">
        <v>4487</v>
      </c>
      <c r="Z22" s="30" t="n">
        <v>10000</v>
      </c>
      <c r="AA22" s="30" t="n">
        <v>-11500</v>
      </c>
      <c r="AB22" s="30" t="n">
        <v>-15000</v>
      </c>
      <c r="AC22" s="30" t="n">
        <v>-10000</v>
      </c>
      <c r="AD22" s="30" t="n">
        <v>-10000</v>
      </c>
      <c r="AE22" s="30" t="n">
        <v>-15000</v>
      </c>
      <c r="AF22" s="30" t="n">
        <v>15000</v>
      </c>
      <c r="AG22" s="30" t="n">
        <v>-10000</v>
      </c>
      <c r="AH22" s="30" t="n">
        <v>10000</v>
      </c>
      <c r="AI22" s="30"/>
      <c r="AJ22" s="17" t="n">
        <f aca="false">SUM(D22:AI22)</f>
        <v>-8513</v>
      </c>
      <c r="AK22" s="50"/>
      <c r="AL22" s="0" t="n">
        <f aca="false">D22*($C22-D$2)</f>
        <v>-599.999999999996</v>
      </c>
      <c r="AM22" s="0" t="n">
        <f aca="false">E22*($C22-E$2)</f>
        <v>500</v>
      </c>
      <c r="AN22" s="0" t="n">
        <f aca="false">F22*($C22-F$2)</f>
        <v>525</v>
      </c>
      <c r="AO22" s="0" t="n">
        <f aca="false">G22*($C22-G$2)</f>
        <v>1062.5</v>
      </c>
      <c r="AP22" s="0" t="n">
        <f aca="false">H22*($C22-H$2)</f>
        <v>1450</v>
      </c>
      <c r="AQ22" s="0" t="n">
        <f aca="false">I22*($C22-I$2)</f>
        <v>725</v>
      </c>
      <c r="AR22" s="0" t="n">
        <f aca="false">J22*($C22-J$2)</f>
        <v>1350</v>
      </c>
      <c r="AS22" s="0" t="n">
        <f aca="false">K22*($C22-K$2)</f>
        <v>-499.999999999998</v>
      </c>
      <c r="AT22" s="0" t="n">
        <f aca="false">L22*($C22-L$2)</f>
        <v>400</v>
      </c>
      <c r="AU22" s="0" t="n">
        <f aca="false">M22*($C22-M$2)</f>
        <v>-0</v>
      </c>
      <c r="AV22" s="0" t="n">
        <f aca="false">N22*($C22-N$2)</f>
        <v>200</v>
      </c>
      <c r="AW22" s="0" t="n">
        <f aca="false">O22*($C22-O$2)</f>
        <v>-150.000000000001</v>
      </c>
      <c r="AX22" s="0" t="n">
        <f aca="false">P22*($C22-P$2)</f>
        <v>-449.999999999999</v>
      </c>
      <c r="AY22" s="0" t="n">
        <f aca="false">Q22*($C22-Q$2)</f>
        <v>850</v>
      </c>
      <c r="AZ22" s="0" t="n">
        <f aca="false">R22*($C22-R$2)</f>
        <v>-950.000000000002</v>
      </c>
      <c r="BA22" s="0" t="n">
        <f aca="false">S22*($C22-S$2)</f>
        <v>-1850</v>
      </c>
      <c r="BB22" s="0" t="n">
        <f aca="false">T22*($C22-T$2)</f>
        <v>-2000</v>
      </c>
      <c r="BC22" s="0" t="n">
        <f aca="false">U22*($C22-U$2)</f>
        <v>2700</v>
      </c>
      <c r="BD22" s="0" t="n">
        <f aca="false">V22*($C22-V$2)</f>
        <v>2650</v>
      </c>
      <c r="BE22" s="0" t="n">
        <f aca="false">W22*($C22-W$2)</f>
        <v>-2900</v>
      </c>
      <c r="BF22" s="0" t="n">
        <f aca="false">X22*($C22-X$2)</f>
        <v>449.999999999999</v>
      </c>
      <c r="BG22" s="0" t="n">
        <f aca="false">Y22*($C22-Y$2)</f>
        <v>-246.785000000001</v>
      </c>
      <c r="BH22" s="0" t="n">
        <f aca="false">Z22*($C22-Z$2)</f>
        <v>-699.999999999998</v>
      </c>
      <c r="BI22" s="0" t="n">
        <f aca="false">AA22*($C22-AA$2)</f>
        <v>-1150</v>
      </c>
      <c r="BJ22" s="0" t="n">
        <f aca="false">AB22*($C22-AB$2)</f>
        <v>-1162.5</v>
      </c>
      <c r="BK22" s="0" t="n">
        <f aca="false">AC22*($C22-AC$2)</f>
        <v>-850</v>
      </c>
      <c r="BL22" s="0" t="n">
        <f aca="false">AD22*($C22-AD$2)</f>
        <v>-1200</v>
      </c>
      <c r="BM22" s="0" t="n">
        <f aca="false">AE22*($C22-AE$2)</f>
        <v>-2400</v>
      </c>
      <c r="BN22" s="0" t="n">
        <f aca="false">AF22*($C22-AF$2)</f>
        <v>2250</v>
      </c>
      <c r="BO22" s="0" t="n">
        <f aca="false">AG22*($C22-AG$2)</f>
        <v>-299.999999999998</v>
      </c>
      <c r="BR22" s="0" t="n">
        <f aca="false">SUM(AL22:BQ22)</f>
        <v>-2296.785</v>
      </c>
    </row>
    <row r="23" customFormat="false" ht="12.75" hidden="false" customHeight="false" outlineLevel="0" collapsed="false">
      <c r="A23" s="49" t="n">
        <v>36970</v>
      </c>
      <c r="B23" s="0" t="n">
        <f aca="false">B$2+B$3</f>
        <v>5.35</v>
      </c>
      <c r="C23" s="48" t="n">
        <f aca="false">GasDaily!C23</f>
        <v>3.77</v>
      </c>
      <c r="D23" s="30" t="n">
        <v>-20000</v>
      </c>
      <c r="E23" s="30" t="n">
        <v>5000</v>
      </c>
      <c r="F23" s="30" t="n">
        <v>5000</v>
      </c>
      <c r="G23" s="30" t="n">
        <v>8500</v>
      </c>
      <c r="H23" s="30" t="n">
        <v>10000</v>
      </c>
      <c r="I23" s="30" t="n">
        <v>5000</v>
      </c>
      <c r="J23" s="30" t="n">
        <v>10000</v>
      </c>
      <c r="K23" s="30" t="n">
        <v>10000</v>
      </c>
      <c r="L23" s="30" t="n">
        <v>-10000</v>
      </c>
      <c r="M23" s="30" t="n">
        <v>-10000</v>
      </c>
      <c r="N23" s="30" t="n">
        <v>-10000</v>
      </c>
      <c r="O23" s="30" t="n">
        <v>10000</v>
      </c>
      <c r="P23" s="30" t="n">
        <v>10000</v>
      </c>
      <c r="Q23" s="30" t="n">
        <v>-10000</v>
      </c>
      <c r="R23" s="30" t="n">
        <v>10000</v>
      </c>
      <c r="S23" s="30" t="n">
        <v>10000</v>
      </c>
      <c r="T23" s="30" t="n">
        <v>10000</v>
      </c>
      <c r="U23" s="30" t="n">
        <v>-10000</v>
      </c>
      <c r="V23" s="30" t="n">
        <v>-10000</v>
      </c>
      <c r="W23" s="30" t="n">
        <v>10000</v>
      </c>
      <c r="X23" s="30" t="n">
        <v>-10000</v>
      </c>
      <c r="Y23" s="30" t="n">
        <v>4487</v>
      </c>
      <c r="Z23" s="30" t="n">
        <v>10000</v>
      </c>
      <c r="AA23" s="30" t="n">
        <v>-11500</v>
      </c>
      <c r="AB23" s="30" t="n">
        <v>-15000</v>
      </c>
      <c r="AC23" s="30" t="n">
        <v>-10000</v>
      </c>
      <c r="AD23" s="30" t="n">
        <v>-10000</v>
      </c>
      <c r="AE23" s="30" t="n">
        <v>-15000</v>
      </c>
      <c r="AF23" s="30" t="n">
        <v>15000</v>
      </c>
      <c r="AG23" s="30" t="n">
        <v>-10000</v>
      </c>
      <c r="AH23" s="30" t="n">
        <v>10000</v>
      </c>
      <c r="AI23" s="30"/>
      <c r="AJ23" s="17" t="n">
        <f aca="false">SUM(D23:AI23)</f>
        <v>-8513</v>
      </c>
      <c r="AK23" s="50"/>
      <c r="AL23" s="0" t="n">
        <f aca="false">D23*($C23-D$2)</f>
        <v>-599.999999999996</v>
      </c>
      <c r="AM23" s="0" t="n">
        <f aca="false">E23*($C23-E$2)</f>
        <v>500</v>
      </c>
      <c r="AN23" s="0" t="n">
        <f aca="false">F23*($C23-F$2)</f>
        <v>525</v>
      </c>
      <c r="AO23" s="0" t="n">
        <f aca="false">G23*($C23-G$2)</f>
        <v>1062.5</v>
      </c>
      <c r="AP23" s="0" t="n">
        <f aca="false">H23*($C23-H$2)</f>
        <v>1450</v>
      </c>
      <c r="AQ23" s="0" t="n">
        <f aca="false">I23*($C23-I$2)</f>
        <v>725</v>
      </c>
      <c r="AR23" s="0" t="n">
        <f aca="false">J23*($C23-J$2)</f>
        <v>1350</v>
      </c>
      <c r="AS23" s="0" t="n">
        <f aca="false">K23*($C23-K$2)</f>
        <v>-499.999999999998</v>
      </c>
      <c r="AT23" s="0" t="n">
        <f aca="false">L23*($C23-L$2)</f>
        <v>400</v>
      </c>
      <c r="AU23" s="0" t="n">
        <f aca="false">M23*($C23-M$2)</f>
        <v>-0</v>
      </c>
      <c r="AV23" s="0" t="n">
        <f aca="false">N23*($C23-N$2)</f>
        <v>200</v>
      </c>
      <c r="AW23" s="0" t="n">
        <f aca="false">O23*($C23-O$2)</f>
        <v>-150.000000000001</v>
      </c>
      <c r="AX23" s="0" t="n">
        <f aca="false">P23*($C23-P$2)</f>
        <v>-449.999999999999</v>
      </c>
      <c r="AY23" s="0" t="n">
        <f aca="false">Q23*($C23-Q$2)</f>
        <v>850</v>
      </c>
      <c r="AZ23" s="0" t="n">
        <f aca="false">R23*($C23-R$2)</f>
        <v>-950.000000000002</v>
      </c>
      <c r="BA23" s="0" t="n">
        <f aca="false">S23*($C23-S$2)</f>
        <v>-1850</v>
      </c>
      <c r="BB23" s="0" t="n">
        <f aca="false">T23*($C23-T$2)</f>
        <v>-2000</v>
      </c>
      <c r="BC23" s="0" t="n">
        <f aca="false">U23*($C23-U$2)</f>
        <v>2700</v>
      </c>
      <c r="BD23" s="0" t="n">
        <f aca="false">V23*($C23-V$2)</f>
        <v>2650</v>
      </c>
      <c r="BE23" s="0" t="n">
        <f aca="false">W23*($C23-W$2)</f>
        <v>-2900</v>
      </c>
      <c r="BF23" s="0" t="n">
        <f aca="false">X23*($C23-X$2)</f>
        <v>449.999999999999</v>
      </c>
      <c r="BG23" s="0" t="n">
        <f aca="false">Y23*($C23-Y$2)</f>
        <v>-246.785000000001</v>
      </c>
      <c r="BH23" s="0" t="n">
        <f aca="false">Z23*($C23-Z$2)</f>
        <v>-699.999999999998</v>
      </c>
      <c r="BI23" s="0" t="n">
        <f aca="false">AA23*($C23-AA$2)</f>
        <v>-1150</v>
      </c>
      <c r="BJ23" s="0" t="n">
        <f aca="false">AB23*($C23-AB$2)</f>
        <v>-1162.5</v>
      </c>
      <c r="BK23" s="0" t="n">
        <f aca="false">AC23*($C23-AC$2)</f>
        <v>-850</v>
      </c>
      <c r="BL23" s="0" t="n">
        <f aca="false">AD23*($C23-AD$2)</f>
        <v>-1200</v>
      </c>
      <c r="BM23" s="0" t="n">
        <f aca="false">AE23*($C23-AE$2)</f>
        <v>-2400</v>
      </c>
      <c r="BN23" s="0" t="n">
        <f aca="false">AF23*($C23-AF$2)</f>
        <v>2250</v>
      </c>
      <c r="BO23" s="0" t="n">
        <f aca="false">AG23*($C23-AG$2)</f>
        <v>-299.999999999998</v>
      </c>
      <c r="BR23" s="0" t="n">
        <f aca="false">SUM(AL23:BQ23)</f>
        <v>-2296.785</v>
      </c>
    </row>
    <row r="24" customFormat="false" ht="12.75" hidden="false" customHeight="false" outlineLevel="0" collapsed="false">
      <c r="A24" s="49" t="n">
        <v>36971</v>
      </c>
      <c r="B24" s="0" t="n">
        <f aca="false">B$2+B$3</f>
        <v>5.35</v>
      </c>
      <c r="C24" s="48" t="n">
        <f aca="false">GasDaily!C24</f>
        <v>3.77</v>
      </c>
      <c r="D24" s="30" t="n">
        <v>-20000</v>
      </c>
      <c r="E24" s="30" t="n">
        <v>5000</v>
      </c>
      <c r="F24" s="30" t="n">
        <v>5000</v>
      </c>
      <c r="G24" s="30" t="n">
        <v>8500</v>
      </c>
      <c r="H24" s="30" t="n">
        <v>10000</v>
      </c>
      <c r="I24" s="30" t="n">
        <v>5000</v>
      </c>
      <c r="J24" s="30" t="n">
        <v>10000</v>
      </c>
      <c r="K24" s="30" t="n">
        <v>10000</v>
      </c>
      <c r="L24" s="30" t="n">
        <v>-10000</v>
      </c>
      <c r="M24" s="30" t="n">
        <v>-10000</v>
      </c>
      <c r="N24" s="30" t="n">
        <v>-10000</v>
      </c>
      <c r="O24" s="30" t="n">
        <v>10000</v>
      </c>
      <c r="P24" s="30" t="n">
        <v>10000</v>
      </c>
      <c r="Q24" s="30" t="n">
        <v>-10000</v>
      </c>
      <c r="R24" s="30" t="n">
        <v>10000</v>
      </c>
      <c r="S24" s="30" t="n">
        <v>10000</v>
      </c>
      <c r="T24" s="30" t="n">
        <v>10000</v>
      </c>
      <c r="U24" s="30" t="n">
        <v>-10000</v>
      </c>
      <c r="V24" s="30" t="n">
        <v>-10000</v>
      </c>
      <c r="W24" s="30" t="n">
        <v>10000</v>
      </c>
      <c r="X24" s="30" t="n">
        <v>-10000</v>
      </c>
      <c r="Y24" s="30" t="n">
        <v>4487</v>
      </c>
      <c r="Z24" s="30" t="n">
        <v>10000</v>
      </c>
      <c r="AA24" s="30" t="n">
        <v>-11500</v>
      </c>
      <c r="AB24" s="30" t="n">
        <v>-15000</v>
      </c>
      <c r="AC24" s="30" t="n">
        <v>-10000</v>
      </c>
      <c r="AD24" s="30" t="n">
        <v>-10000</v>
      </c>
      <c r="AE24" s="30" t="n">
        <v>-15000</v>
      </c>
      <c r="AF24" s="30" t="n">
        <v>15000</v>
      </c>
      <c r="AG24" s="30" t="n">
        <v>-10000</v>
      </c>
      <c r="AH24" s="30" t="n">
        <v>10000</v>
      </c>
      <c r="AI24" s="30"/>
      <c r="AJ24" s="17" t="n">
        <f aca="false">SUM(D24:AI24)</f>
        <v>-8513</v>
      </c>
      <c r="AK24" s="50"/>
      <c r="AL24" s="0" t="n">
        <f aca="false">D24*($C24-D$2)</f>
        <v>-599.999999999996</v>
      </c>
      <c r="AM24" s="0" t="n">
        <f aca="false">E24*($C24-E$2)</f>
        <v>500</v>
      </c>
      <c r="AN24" s="0" t="n">
        <f aca="false">F24*($C24-F$2)</f>
        <v>525</v>
      </c>
      <c r="AO24" s="0" t="n">
        <f aca="false">G24*($C24-G$2)</f>
        <v>1062.5</v>
      </c>
      <c r="AP24" s="0" t="n">
        <f aca="false">H24*($C24-H$2)</f>
        <v>1450</v>
      </c>
      <c r="AQ24" s="0" t="n">
        <f aca="false">I24*($C24-I$2)</f>
        <v>725</v>
      </c>
      <c r="AR24" s="0" t="n">
        <f aca="false">J24*($C24-J$2)</f>
        <v>1350</v>
      </c>
      <c r="AS24" s="0" t="n">
        <f aca="false">K24*($C24-K$2)</f>
        <v>-499.999999999998</v>
      </c>
      <c r="AT24" s="0" t="n">
        <f aca="false">L24*($C24-L$2)</f>
        <v>400</v>
      </c>
      <c r="AU24" s="0" t="n">
        <f aca="false">M24*($C24-M$2)</f>
        <v>-0</v>
      </c>
      <c r="AV24" s="0" t="n">
        <f aca="false">N24*($C24-N$2)</f>
        <v>200</v>
      </c>
      <c r="AW24" s="0" t="n">
        <f aca="false">O24*($C24-O$2)</f>
        <v>-150.000000000001</v>
      </c>
      <c r="AX24" s="0" t="n">
        <f aca="false">P24*($C24-P$2)</f>
        <v>-449.999999999999</v>
      </c>
      <c r="AY24" s="0" t="n">
        <f aca="false">Q24*($C24-Q$2)</f>
        <v>850</v>
      </c>
      <c r="AZ24" s="0" t="n">
        <f aca="false">R24*($C24-R$2)</f>
        <v>-950.000000000002</v>
      </c>
      <c r="BA24" s="0" t="n">
        <f aca="false">S24*($C24-S$2)</f>
        <v>-1850</v>
      </c>
      <c r="BB24" s="0" t="n">
        <f aca="false">T24*($C24-T$2)</f>
        <v>-2000</v>
      </c>
      <c r="BC24" s="0" t="n">
        <f aca="false">U24*($C24-U$2)</f>
        <v>2700</v>
      </c>
      <c r="BD24" s="0" t="n">
        <f aca="false">V24*($C24-V$2)</f>
        <v>2650</v>
      </c>
      <c r="BE24" s="0" t="n">
        <f aca="false">W24*($C24-W$2)</f>
        <v>-2900</v>
      </c>
      <c r="BF24" s="0" t="n">
        <f aca="false">X24*($C24-X$2)</f>
        <v>449.999999999999</v>
      </c>
      <c r="BG24" s="0" t="n">
        <f aca="false">Y24*($C24-Y$2)</f>
        <v>-246.785000000001</v>
      </c>
      <c r="BH24" s="0" t="n">
        <f aca="false">Z24*($C24-Z$2)</f>
        <v>-699.999999999998</v>
      </c>
      <c r="BI24" s="0" t="n">
        <f aca="false">AA24*($C24-AA$2)</f>
        <v>-1150</v>
      </c>
      <c r="BJ24" s="0" t="n">
        <f aca="false">AB24*($C24-AB$2)</f>
        <v>-1162.5</v>
      </c>
      <c r="BK24" s="0" t="n">
        <f aca="false">AC24*($C24-AC$2)</f>
        <v>-850</v>
      </c>
      <c r="BL24" s="0" t="n">
        <f aca="false">AD24*($C24-AD$2)</f>
        <v>-1200</v>
      </c>
      <c r="BM24" s="0" t="n">
        <f aca="false">AE24*($C24-AE$2)</f>
        <v>-2400</v>
      </c>
      <c r="BN24" s="0" t="n">
        <f aca="false">AF24*($C24-AF$2)</f>
        <v>2250</v>
      </c>
      <c r="BO24" s="0" t="n">
        <f aca="false">AG24*($C24-AG$2)</f>
        <v>-299.999999999998</v>
      </c>
      <c r="BR24" s="0" t="n">
        <f aca="false">SUM(AL24:BQ24)</f>
        <v>-2296.785</v>
      </c>
    </row>
    <row r="25" customFormat="false" ht="12.75" hidden="false" customHeight="false" outlineLevel="0" collapsed="false">
      <c r="A25" s="49" t="n">
        <v>36972</v>
      </c>
      <c r="B25" s="0" t="n">
        <f aca="false">B$2+B$3</f>
        <v>5.35</v>
      </c>
      <c r="C25" s="48" t="n">
        <f aca="false">GasDaily!C25</f>
        <v>3.77</v>
      </c>
      <c r="D25" s="30" t="n">
        <v>-20000</v>
      </c>
      <c r="E25" s="30" t="n">
        <v>5000</v>
      </c>
      <c r="F25" s="30" t="n">
        <v>5000</v>
      </c>
      <c r="G25" s="30" t="n">
        <v>8500</v>
      </c>
      <c r="H25" s="30" t="n">
        <v>10000</v>
      </c>
      <c r="I25" s="30" t="n">
        <v>5000</v>
      </c>
      <c r="J25" s="30" t="n">
        <v>10000</v>
      </c>
      <c r="K25" s="30" t="n">
        <v>10000</v>
      </c>
      <c r="L25" s="30" t="n">
        <v>-10000</v>
      </c>
      <c r="M25" s="30" t="n">
        <v>-10000</v>
      </c>
      <c r="N25" s="30" t="n">
        <v>-10000</v>
      </c>
      <c r="O25" s="30" t="n">
        <v>10000</v>
      </c>
      <c r="P25" s="30" t="n">
        <v>10000</v>
      </c>
      <c r="Q25" s="30" t="n">
        <v>-10000</v>
      </c>
      <c r="R25" s="30" t="n">
        <v>10000</v>
      </c>
      <c r="S25" s="30" t="n">
        <v>10000</v>
      </c>
      <c r="T25" s="30" t="n">
        <v>10000</v>
      </c>
      <c r="U25" s="30" t="n">
        <v>-10000</v>
      </c>
      <c r="V25" s="30" t="n">
        <v>-10000</v>
      </c>
      <c r="W25" s="30" t="n">
        <v>10000</v>
      </c>
      <c r="X25" s="30" t="n">
        <v>-10000</v>
      </c>
      <c r="Y25" s="30" t="n">
        <v>4487</v>
      </c>
      <c r="Z25" s="30" t="n">
        <v>10000</v>
      </c>
      <c r="AA25" s="30" t="n">
        <v>-11500</v>
      </c>
      <c r="AB25" s="30" t="n">
        <v>-15000</v>
      </c>
      <c r="AC25" s="30" t="n">
        <v>-10000</v>
      </c>
      <c r="AD25" s="30" t="n">
        <v>-10000</v>
      </c>
      <c r="AE25" s="30" t="n">
        <v>-15000</v>
      </c>
      <c r="AF25" s="30" t="n">
        <v>15000</v>
      </c>
      <c r="AG25" s="30" t="n">
        <v>-10000</v>
      </c>
      <c r="AH25" s="30" t="n">
        <v>10000</v>
      </c>
      <c r="AI25" s="30"/>
      <c r="AJ25" s="17" t="n">
        <f aca="false">SUM(D25:AI25)</f>
        <v>-8513</v>
      </c>
      <c r="AK25" s="50"/>
      <c r="AL25" s="0" t="n">
        <f aca="false">D25*($C25-D$2)</f>
        <v>-599.999999999996</v>
      </c>
      <c r="AM25" s="0" t="n">
        <f aca="false">E25*($C25-E$2)</f>
        <v>500</v>
      </c>
      <c r="AN25" s="0" t="n">
        <f aca="false">F25*($C25-F$2)</f>
        <v>525</v>
      </c>
      <c r="AO25" s="0" t="n">
        <f aca="false">G25*($C25-G$2)</f>
        <v>1062.5</v>
      </c>
      <c r="AP25" s="0" t="n">
        <f aca="false">H25*($C25-H$2)</f>
        <v>1450</v>
      </c>
      <c r="AQ25" s="0" t="n">
        <f aca="false">I25*($C25-I$2)</f>
        <v>725</v>
      </c>
      <c r="AR25" s="0" t="n">
        <f aca="false">J25*($C25-J$2)</f>
        <v>1350</v>
      </c>
      <c r="AS25" s="0" t="n">
        <f aca="false">K25*($C25-K$2)</f>
        <v>-499.999999999998</v>
      </c>
      <c r="AT25" s="0" t="n">
        <f aca="false">L25*($C25-L$2)</f>
        <v>400</v>
      </c>
      <c r="AU25" s="0" t="n">
        <f aca="false">M25*($C25-M$2)</f>
        <v>-0</v>
      </c>
      <c r="AV25" s="0" t="n">
        <f aca="false">N25*($C25-N$2)</f>
        <v>200</v>
      </c>
      <c r="AW25" s="0" t="n">
        <f aca="false">O25*($C25-O$2)</f>
        <v>-150.000000000001</v>
      </c>
      <c r="AX25" s="0" t="n">
        <f aca="false">P25*($C25-P$2)</f>
        <v>-449.999999999999</v>
      </c>
      <c r="AY25" s="0" t="n">
        <f aca="false">Q25*($C25-Q$2)</f>
        <v>850</v>
      </c>
      <c r="AZ25" s="0" t="n">
        <f aca="false">R25*($C25-R$2)</f>
        <v>-950.000000000002</v>
      </c>
      <c r="BA25" s="0" t="n">
        <f aca="false">S25*($C25-S$2)</f>
        <v>-1850</v>
      </c>
      <c r="BB25" s="0" t="n">
        <f aca="false">T25*($C25-T$2)</f>
        <v>-2000</v>
      </c>
      <c r="BC25" s="0" t="n">
        <f aca="false">U25*($C25-U$2)</f>
        <v>2700</v>
      </c>
      <c r="BD25" s="0" t="n">
        <f aca="false">V25*($C25-V$2)</f>
        <v>2650</v>
      </c>
      <c r="BE25" s="0" t="n">
        <f aca="false">W25*($C25-W$2)</f>
        <v>-2900</v>
      </c>
      <c r="BF25" s="0" t="n">
        <f aca="false">X25*($C25-X$2)</f>
        <v>449.999999999999</v>
      </c>
      <c r="BG25" s="0" t="n">
        <f aca="false">Y25*($C25-Y$2)</f>
        <v>-246.785000000001</v>
      </c>
      <c r="BH25" s="0" t="n">
        <f aca="false">Z25*($C25-Z$2)</f>
        <v>-699.999999999998</v>
      </c>
      <c r="BI25" s="0" t="n">
        <f aca="false">AA25*($C25-AA$2)</f>
        <v>-1150</v>
      </c>
      <c r="BJ25" s="0" t="n">
        <f aca="false">AB25*($C25-AB$2)</f>
        <v>-1162.5</v>
      </c>
      <c r="BK25" s="0" t="n">
        <f aca="false">AC25*($C25-AC$2)</f>
        <v>-850</v>
      </c>
      <c r="BL25" s="0" t="n">
        <f aca="false">AD25*($C25-AD$2)</f>
        <v>-1200</v>
      </c>
      <c r="BM25" s="0" t="n">
        <f aca="false">AE25*($C25-AE$2)</f>
        <v>-2400</v>
      </c>
      <c r="BN25" s="0" t="n">
        <f aca="false">AF25*($C25-AF$2)</f>
        <v>2250</v>
      </c>
      <c r="BO25" s="0" t="n">
        <f aca="false">AG25*($C25-AG$2)</f>
        <v>-299.999999999998</v>
      </c>
      <c r="BR25" s="0" t="n">
        <f aca="false">SUM(AL25:BQ25)</f>
        <v>-2296.785</v>
      </c>
    </row>
    <row r="26" customFormat="false" ht="12.75" hidden="false" customHeight="false" outlineLevel="0" collapsed="false">
      <c r="A26" s="49" t="n">
        <v>36973</v>
      </c>
      <c r="B26" s="0" t="n">
        <f aca="false">B$2+B$3</f>
        <v>5.35</v>
      </c>
      <c r="C26" s="48" t="n">
        <f aca="false">GasDaily!C26</f>
        <v>3.77</v>
      </c>
      <c r="D26" s="30" t="n">
        <v>-20000</v>
      </c>
      <c r="E26" s="30" t="n">
        <v>5000</v>
      </c>
      <c r="F26" s="30" t="n">
        <v>5000</v>
      </c>
      <c r="G26" s="30" t="n">
        <v>8500</v>
      </c>
      <c r="H26" s="30" t="n">
        <v>10000</v>
      </c>
      <c r="I26" s="30" t="n">
        <v>5000</v>
      </c>
      <c r="J26" s="30" t="n">
        <v>10000</v>
      </c>
      <c r="K26" s="30" t="n">
        <v>10000</v>
      </c>
      <c r="L26" s="30" t="n">
        <v>-10000</v>
      </c>
      <c r="M26" s="30" t="n">
        <v>-10000</v>
      </c>
      <c r="N26" s="30" t="n">
        <v>-10000</v>
      </c>
      <c r="O26" s="30" t="n">
        <v>10000</v>
      </c>
      <c r="P26" s="30" t="n">
        <v>10000</v>
      </c>
      <c r="Q26" s="30" t="n">
        <v>-10000</v>
      </c>
      <c r="R26" s="30" t="n">
        <v>10000</v>
      </c>
      <c r="S26" s="30" t="n">
        <v>10000</v>
      </c>
      <c r="T26" s="30" t="n">
        <v>10000</v>
      </c>
      <c r="U26" s="30" t="n">
        <v>-10000</v>
      </c>
      <c r="V26" s="30" t="n">
        <v>-10000</v>
      </c>
      <c r="W26" s="30" t="n">
        <v>10000</v>
      </c>
      <c r="X26" s="30" t="n">
        <v>-10000</v>
      </c>
      <c r="Y26" s="30" t="n">
        <v>4487</v>
      </c>
      <c r="Z26" s="30" t="n">
        <v>10000</v>
      </c>
      <c r="AA26" s="30" t="n">
        <v>-11500</v>
      </c>
      <c r="AB26" s="30" t="n">
        <v>-15000</v>
      </c>
      <c r="AC26" s="30" t="n">
        <v>-10000</v>
      </c>
      <c r="AD26" s="30" t="n">
        <v>-10000</v>
      </c>
      <c r="AE26" s="30" t="n">
        <v>-15000</v>
      </c>
      <c r="AF26" s="30" t="n">
        <v>15000</v>
      </c>
      <c r="AG26" s="30" t="n">
        <v>-10000</v>
      </c>
      <c r="AH26" s="30" t="n">
        <v>10000</v>
      </c>
      <c r="AI26" s="30"/>
      <c r="AJ26" s="17" t="n">
        <f aca="false">SUM(D26:AI26)</f>
        <v>-8513</v>
      </c>
      <c r="AK26" s="50"/>
      <c r="AL26" s="0" t="n">
        <f aca="false">D26*($C26-D$2)</f>
        <v>-599.999999999996</v>
      </c>
      <c r="AM26" s="0" t="n">
        <f aca="false">E26*($C26-E$2)</f>
        <v>500</v>
      </c>
      <c r="AN26" s="0" t="n">
        <f aca="false">F26*($C26-F$2)</f>
        <v>525</v>
      </c>
      <c r="AO26" s="0" t="n">
        <f aca="false">G26*($C26-G$2)</f>
        <v>1062.5</v>
      </c>
      <c r="AP26" s="0" t="n">
        <f aca="false">H26*($C26-H$2)</f>
        <v>1450</v>
      </c>
      <c r="AQ26" s="0" t="n">
        <f aca="false">I26*($C26-I$2)</f>
        <v>725</v>
      </c>
      <c r="AR26" s="0" t="n">
        <f aca="false">J26*($C26-J$2)</f>
        <v>1350</v>
      </c>
      <c r="AS26" s="0" t="n">
        <f aca="false">K26*($C26-K$2)</f>
        <v>-499.999999999998</v>
      </c>
      <c r="AT26" s="0" t="n">
        <f aca="false">L26*($C26-L$2)</f>
        <v>400</v>
      </c>
      <c r="AU26" s="0" t="n">
        <f aca="false">M26*($C26-M$2)</f>
        <v>-0</v>
      </c>
      <c r="AV26" s="0" t="n">
        <f aca="false">N26*($C26-N$2)</f>
        <v>200</v>
      </c>
      <c r="AW26" s="0" t="n">
        <f aca="false">O26*($C26-O$2)</f>
        <v>-150.000000000001</v>
      </c>
      <c r="AX26" s="0" t="n">
        <f aca="false">P26*($C26-P$2)</f>
        <v>-449.999999999999</v>
      </c>
      <c r="AY26" s="0" t="n">
        <f aca="false">Q26*($C26-Q$2)</f>
        <v>850</v>
      </c>
      <c r="AZ26" s="0" t="n">
        <f aca="false">R26*($C26-R$2)</f>
        <v>-950.000000000002</v>
      </c>
      <c r="BA26" s="0" t="n">
        <f aca="false">S26*($C26-S$2)</f>
        <v>-1850</v>
      </c>
      <c r="BB26" s="0" t="n">
        <f aca="false">T26*($C26-T$2)</f>
        <v>-2000</v>
      </c>
      <c r="BC26" s="0" t="n">
        <f aca="false">U26*($C26-U$2)</f>
        <v>2700</v>
      </c>
      <c r="BD26" s="0" t="n">
        <f aca="false">V26*($C26-V$2)</f>
        <v>2650</v>
      </c>
      <c r="BE26" s="0" t="n">
        <f aca="false">W26*($C26-W$2)</f>
        <v>-2900</v>
      </c>
      <c r="BF26" s="0" t="n">
        <f aca="false">X26*($C26-X$2)</f>
        <v>449.999999999999</v>
      </c>
      <c r="BG26" s="0" t="n">
        <f aca="false">Y26*($C26-Y$2)</f>
        <v>-246.785000000001</v>
      </c>
      <c r="BH26" s="0" t="n">
        <f aca="false">Z26*($C26-Z$2)</f>
        <v>-699.999999999998</v>
      </c>
      <c r="BI26" s="0" t="n">
        <f aca="false">AA26*($C26-AA$2)</f>
        <v>-1150</v>
      </c>
      <c r="BJ26" s="0" t="n">
        <f aca="false">AB26*($C26-AB$2)</f>
        <v>-1162.5</v>
      </c>
      <c r="BK26" s="0" t="n">
        <f aca="false">AC26*($C26-AC$2)</f>
        <v>-850</v>
      </c>
      <c r="BL26" s="0" t="n">
        <f aca="false">AD26*($C26-AD$2)</f>
        <v>-1200</v>
      </c>
      <c r="BM26" s="0" t="n">
        <f aca="false">AE26*($C26-AE$2)</f>
        <v>-2400</v>
      </c>
      <c r="BN26" s="0" t="n">
        <f aca="false">AF26*($C26-AF$2)</f>
        <v>2250</v>
      </c>
      <c r="BO26" s="0" t="n">
        <f aca="false">AG26*($C26-AG$2)</f>
        <v>-299.999999999998</v>
      </c>
      <c r="BR26" s="0" t="n">
        <f aca="false">SUM(AL26:BQ26)</f>
        <v>-2296.785</v>
      </c>
    </row>
    <row r="27" customFormat="false" ht="12.75" hidden="false" customHeight="false" outlineLevel="0" collapsed="false">
      <c r="A27" s="49" t="n">
        <v>36974</v>
      </c>
      <c r="B27" s="0" t="n">
        <f aca="false">B$2+B$3</f>
        <v>5.35</v>
      </c>
      <c r="C27" s="48" t="n">
        <f aca="false">GasDaily!C27</f>
        <v>3.77</v>
      </c>
      <c r="D27" s="30" t="n">
        <v>-20000</v>
      </c>
      <c r="E27" s="30" t="n">
        <v>5000</v>
      </c>
      <c r="F27" s="30" t="n">
        <v>5000</v>
      </c>
      <c r="G27" s="30" t="n">
        <v>8500</v>
      </c>
      <c r="H27" s="30" t="n">
        <v>10000</v>
      </c>
      <c r="I27" s="30" t="n">
        <v>5000</v>
      </c>
      <c r="J27" s="30" t="n">
        <v>10000</v>
      </c>
      <c r="K27" s="30" t="n">
        <v>10000</v>
      </c>
      <c r="L27" s="30" t="n">
        <v>-10000</v>
      </c>
      <c r="M27" s="30" t="n">
        <v>-10000</v>
      </c>
      <c r="N27" s="30" t="n">
        <v>-10000</v>
      </c>
      <c r="O27" s="30" t="n">
        <v>10000</v>
      </c>
      <c r="P27" s="30" t="n">
        <v>10000</v>
      </c>
      <c r="Q27" s="30" t="n">
        <v>-10000</v>
      </c>
      <c r="R27" s="30" t="n">
        <v>10000</v>
      </c>
      <c r="S27" s="30" t="n">
        <v>10000</v>
      </c>
      <c r="T27" s="30" t="n">
        <v>10000</v>
      </c>
      <c r="U27" s="30" t="n">
        <v>-10000</v>
      </c>
      <c r="V27" s="30" t="n">
        <v>-10000</v>
      </c>
      <c r="W27" s="30" t="n">
        <v>10000</v>
      </c>
      <c r="X27" s="30" t="n">
        <v>-10000</v>
      </c>
      <c r="Y27" s="30" t="n">
        <v>4487</v>
      </c>
      <c r="Z27" s="30" t="n">
        <v>10000</v>
      </c>
      <c r="AA27" s="30" t="n">
        <v>-11500</v>
      </c>
      <c r="AB27" s="30" t="n">
        <v>-15000</v>
      </c>
      <c r="AC27" s="30" t="n">
        <v>-10000</v>
      </c>
      <c r="AD27" s="30" t="n">
        <v>-10000</v>
      </c>
      <c r="AE27" s="30" t="n">
        <v>-15000</v>
      </c>
      <c r="AF27" s="30" t="n">
        <v>15000</v>
      </c>
      <c r="AG27" s="30" t="n">
        <v>-10000</v>
      </c>
      <c r="AH27" s="30" t="n">
        <v>10000</v>
      </c>
      <c r="AI27" s="30"/>
      <c r="AJ27" s="17" t="n">
        <f aca="false">SUM(D27:AI27)</f>
        <v>-8513</v>
      </c>
      <c r="AK27" s="50"/>
      <c r="AL27" s="0" t="n">
        <f aca="false">D27*($C27-D$2)</f>
        <v>-599.999999999996</v>
      </c>
      <c r="AM27" s="0" t="n">
        <f aca="false">E27*($C27-E$2)</f>
        <v>500</v>
      </c>
      <c r="AN27" s="0" t="n">
        <f aca="false">F27*($C27-F$2)</f>
        <v>525</v>
      </c>
      <c r="AO27" s="0" t="n">
        <f aca="false">G27*($C27-G$2)</f>
        <v>1062.5</v>
      </c>
      <c r="AP27" s="0" t="n">
        <f aca="false">H27*($C27-H$2)</f>
        <v>1450</v>
      </c>
      <c r="AQ27" s="0" t="n">
        <f aca="false">I27*($C27-I$2)</f>
        <v>725</v>
      </c>
      <c r="AR27" s="0" t="n">
        <f aca="false">J27*($C27-J$2)</f>
        <v>1350</v>
      </c>
      <c r="AS27" s="0" t="n">
        <f aca="false">K27*($C27-K$2)</f>
        <v>-499.999999999998</v>
      </c>
      <c r="AT27" s="0" t="n">
        <f aca="false">L27*($C27-L$2)</f>
        <v>400</v>
      </c>
      <c r="AU27" s="0" t="n">
        <f aca="false">M27*($C27-M$2)</f>
        <v>-0</v>
      </c>
      <c r="AV27" s="0" t="n">
        <f aca="false">N27*($C27-N$2)</f>
        <v>200</v>
      </c>
      <c r="AW27" s="0" t="n">
        <f aca="false">O27*($C27-O$2)</f>
        <v>-150.000000000001</v>
      </c>
      <c r="AX27" s="0" t="n">
        <f aca="false">P27*($C27-P$2)</f>
        <v>-449.999999999999</v>
      </c>
      <c r="AY27" s="0" t="n">
        <f aca="false">Q27*($C27-Q$2)</f>
        <v>850</v>
      </c>
      <c r="AZ27" s="0" t="n">
        <f aca="false">R27*($C27-R$2)</f>
        <v>-950.000000000002</v>
      </c>
      <c r="BA27" s="0" t="n">
        <f aca="false">S27*($C27-S$2)</f>
        <v>-1850</v>
      </c>
      <c r="BB27" s="0" t="n">
        <f aca="false">T27*($C27-T$2)</f>
        <v>-2000</v>
      </c>
      <c r="BC27" s="0" t="n">
        <f aca="false">U27*($C27-U$2)</f>
        <v>2700</v>
      </c>
      <c r="BD27" s="0" t="n">
        <f aca="false">V27*($C27-V$2)</f>
        <v>2650</v>
      </c>
      <c r="BE27" s="0" t="n">
        <f aca="false">W27*($C27-W$2)</f>
        <v>-2900</v>
      </c>
      <c r="BF27" s="0" t="n">
        <f aca="false">X27*($C27-X$2)</f>
        <v>449.999999999999</v>
      </c>
      <c r="BG27" s="0" t="n">
        <f aca="false">Y27*($C27-Y$2)</f>
        <v>-246.785000000001</v>
      </c>
      <c r="BH27" s="0" t="n">
        <f aca="false">Z27*($C27-Z$2)</f>
        <v>-699.999999999998</v>
      </c>
      <c r="BI27" s="0" t="n">
        <f aca="false">AA27*($C27-AA$2)</f>
        <v>-1150</v>
      </c>
      <c r="BJ27" s="0" t="n">
        <f aca="false">AB27*($C27-AB$2)</f>
        <v>-1162.5</v>
      </c>
      <c r="BK27" s="0" t="n">
        <f aca="false">AC27*($C27-AC$2)</f>
        <v>-850</v>
      </c>
      <c r="BL27" s="0" t="n">
        <f aca="false">AD27*($C27-AD$2)</f>
        <v>-1200</v>
      </c>
      <c r="BM27" s="0" t="n">
        <f aca="false">AE27*($C27-AE$2)</f>
        <v>-2400</v>
      </c>
      <c r="BN27" s="0" t="n">
        <f aca="false">AF27*($C27-AF$2)</f>
        <v>2250</v>
      </c>
      <c r="BO27" s="0" t="n">
        <f aca="false">AG27*($C27-AG$2)</f>
        <v>-299.999999999998</v>
      </c>
      <c r="BR27" s="0" t="n">
        <f aca="false">SUM(AL27:BQ27)</f>
        <v>-2296.785</v>
      </c>
    </row>
    <row r="28" customFormat="false" ht="12.75" hidden="false" customHeight="false" outlineLevel="0" collapsed="false">
      <c r="A28" s="49" t="n">
        <v>36975</v>
      </c>
      <c r="B28" s="0" t="n">
        <f aca="false">B$2+B$3</f>
        <v>5.35</v>
      </c>
      <c r="C28" s="48" t="n">
        <f aca="false">GasDaily!C28</f>
        <v>3.77</v>
      </c>
      <c r="D28" s="30" t="n">
        <v>-20000</v>
      </c>
      <c r="E28" s="30" t="n">
        <v>5000</v>
      </c>
      <c r="F28" s="30" t="n">
        <v>5000</v>
      </c>
      <c r="G28" s="30" t="n">
        <v>8500</v>
      </c>
      <c r="H28" s="30" t="n">
        <v>10000</v>
      </c>
      <c r="I28" s="30" t="n">
        <v>5000</v>
      </c>
      <c r="J28" s="30" t="n">
        <v>10000</v>
      </c>
      <c r="K28" s="30" t="n">
        <v>10000</v>
      </c>
      <c r="L28" s="30" t="n">
        <v>-10000</v>
      </c>
      <c r="M28" s="30" t="n">
        <v>-10000</v>
      </c>
      <c r="N28" s="30" t="n">
        <v>-10000</v>
      </c>
      <c r="O28" s="30" t="n">
        <v>10000</v>
      </c>
      <c r="P28" s="30" t="n">
        <v>10000</v>
      </c>
      <c r="Q28" s="30" t="n">
        <v>-10000</v>
      </c>
      <c r="R28" s="30" t="n">
        <v>10000</v>
      </c>
      <c r="S28" s="30" t="n">
        <v>10000</v>
      </c>
      <c r="T28" s="30" t="n">
        <v>10000</v>
      </c>
      <c r="U28" s="30" t="n">
        <v>-10000</v>
      </c>
      <c r="V28" s="30" t="n">
        <v>-10000</v>
      </c>
      <c r="W28" s="30" t="n">
        <v>10000</v>
      </c>
      <c r="X28" s="30" t="n">
        <v>-10000</v>
      </c>
      <c r="Y28" s="30" t="n">
        <v>4487</v>
      </c>
      <c r="Z28" s="30" t="n">
        <v>10000</v>
      </c>
      <c r="AA28" s="30" t="n">
        <v>-11500</v>
      </c>
      <c r="AB28" s="30" t="n">
        <v>-15000</v>
      </c>
      <c r="AC28" s="30" t="n">
        <v>-10000</v>
      </c>
      <c r="AD28" s="30" t="n">
        <v>-10000</v>
      </c>
      <c r="AE28" s="30" t="n">
        <v>-15000</v>
      </c>
      <c r="AF28" s="30" t="n">
        <v>15000</v>
      </c>
      <c r="AG28" s="30" t="n">
        <v>-10000</v>
      </c>
      <c r="AH28" s="30" t="n">
        <v>10000</v>
      </c>
      <c r="AI28" s="30"/>
      <c r="AJ28" s="17" t="n">
        <f aca="false">SUM(D28:AI28)</f>
        <v>-8513</v>
      </c>
      <c r="AK28" s="50"/>
      <c r="AL28" s="0" t="n">
        <f aca="false">D28*($C28-D$2)</f>
        <v>-599.999999999996</v>
      </c>
      <c r="AM28" s="0" t="n">
        <f aca="false">E28*($C28-E$2)</f>
        <v>500</v>
      </c>
      <c r="AN28" s="0" t="n">
        <f aca="false">F28*($C28-F$2)</f>
        <v>525</v>
      </c>
      <c r="AO28" s="0" t="n">
        <f aca="false">G28*($C28-G$2)</f>
        <v>1062.5</v>
      </c>
      <c r="AP28" s="0" t="n">
        <f aca="false">H28*($C28-H$2)</f>
        <v>1450</v>
      </c>
      <c r="AQ28" s="0" t="n">
        <f aca="false">I28*($C28-I$2)</f>
        <v>725</v>
      </c>
      <c r="AR28" s="0" t="n">
        <f aca="false">J28*($C28-J$2)</f>
        <v>1350</v>
      </c>
      <c r="AS28" s="0" t="n">
        <f aca="false">K28*($C28-K$2)</f>
        <v>-499.999999999998</v>
      </c>
      <c r="AT28" s="0" t="n">
        <f aca="false">L28*($C28-L$2)</f>
        <v>400</v>
      </c>
      <c r="AU28" s="0" t="n">
        <f aca="false">M28*($C28-M$2)</f>
        <v>-0</v>
      </c>
      <c r="AV28" s="0" t="n">
        <f aca="false">N28*($C28-N$2)</f>
        <v>200</v>
      </c>
      <c r="AW28" s="0" t="n">
        <f aca="false">O28*($C28-O$2)</f>
        <v>-150.000000000001</v>
      </c>
      <c r="AX28" s="0" t="n">
        <f aca="false">P28*($C28-P$2)</f>
        <v>-449.999999999999</v>
      </c>
      <c r="AY28" s="0" t="n">
        <f aca="false">Q28*($C28-Q$2)</f>
        <v>850</v>
      </c>
      <c r="AZ28" s="0" t="n">
        <f aca="false">R28*($C28-R$2)</f>
        <v>-950.000000000002</v>
      </c>
      <c r="BA28" s="0" t="n">
        <f aca="false">S28*($C28-S$2)</f>
        <v>-1850</v>
      </c>
      <c r="BB28" s="0" t="n">
        <f aca="false">T28*($C28-T$2)</f>
        <v>-2000</v>
      </c>
      <c r="BC28" s="0" t="n">
        <f aca="false">U28*($C28-U$2)</f>
        <v>2700</v>
      </c>
      <c r="BD28" s="0" t="n">
        <f aca="false">V28*($C28-V$2)</f>
        <v>2650</v>
      </c>
      <c r="BE28" s="0" t="n">
        <f aca="false">W28*($C28-W$2)</f>
        <v>-2900</v>
      </c>
      <c r="BF28" s="0" t="n">
        <f aca="false">X28*($C28-X$2)</f>
        <v>449.999999999999</v>
      </c>
      <c r="BG28" s="0" t="n">
        <f aca="false">Y28*($C28-Y$2)</f>
        <v>-246.785000000001</v>
      </c>
      <c r="BH28" s="0" t="n">
        <f aca="false">Z28*($C28-Z$2)</f>
        <v>-699.999999999998</v>
      </c>
      <c r="BI28" s="0" t="n">
        <f aca="false">AA28*($C28-AA$2)</f>
        <v>-1150</v>
      </c>
      <c r="BJ28" s="0" t="n">
        <f aca="false">AB28*($C28-AB$2)</f>
        <v>-1162.5</v>
      </c>
      <c r="BK28" s="0" t="n">
        <f aca="false">AC28*($C28-AC$2)</f>
        <v>-850</v>
      </c>
      <c r="BL28" s="0" t="n">
        <f aca="false">AD28*($C28-AD$2)</f>
        <v>-1200</v>
      </c>
      <c r="BM28" s="0" t="n">
        <f aca="false">AE28*($C28-AE$2)</f>
        <v>-2400</v>
      </c>
      <c r="BN28" s="0" t="n">
        <f aca="false">AF28*($C28-AF$2)</f>
        <v>2250</v>
      </c>
      <c r="BO28" s="0" t="n">
        <f aca="false">AG28*($C28-AG$2)</f>
        <v>-299.999999999998</v>
      </c>
      <c r="BR28" s="0" t="n">
        <f aca="false">SUM(AL28:BQ28)</f>
        <v>-2296.785</v>
      </c>
    </row>
    <row r="29" customFormat="false" ht="12.75" hidden="false" customHeight="false" outlineLevel="0" collapsed="false">
      <c r="A29" s="49" t="n">
        <v>36976</v>
      </c>
      <c r="B29" s="0" t="n">
        <f aca="false">B$2+B$3</f>
        <v>5.35</v>
      </c>
      <c r="C29" s="48" t="n">
        <f aca="false">GasDaily!C29</f>
        <v>3.77</v>
      </c>
      <c r="D29" s="30" t="n">
        <v>-20000</v>
      </c>
      <c r="E29" s="30" t="n">
        <v>5000</v>
      </c>
      <c r="F29" s="30" t="n">
        <v>5000</v>
      </c>
      <c r="G29" s="30" t="n">
        <v>8500</v>
      </c>
      <c r="H29" s="30" t="n">
        <v>10000</v>
      </c>
      <c r="I29" s="30" t="n">
        <v>5000</v>
      </c>
      <c r="J29" s="30" t="n">
        <v>10000</v>
      </c>
      <c r="K29" s="30" t="n">
        <v>10000</v>
      </c>
      <c r="L29" s="30" t="n">
        <v>-10000</v>
      </c>
      <c r="M29" s="30" t="n">
        <v>-10000</v>
      </c>
      <c r="N29" s="30" t="n">
        <v>-10000</v>
      </c>
      <c r="O29" s="30" t="n">
        <v>10000</v>
      </c>
      <c r="P29" s="30" t="n">
        <v>10000</v>
      </c>
      <c r="Q29" s="30" t="n">
        <v>-10000</v>
      </c>
      <c r="R29" s="30" t="n">
        <v>10000</v>
      </c>
      <c r="S29" s="30" t="n">
        <v>10000</v>
      </c>
      <c r="T29" s="30" t="n">
        <v>10000</v>
      </c>
      <c r="U29" s="30" t="n">
        <v>-10000</v>
      </c>
      <c r="V29" s="30" t="n">
        <v>-10000</v>
      </c>
      <c r="W29" s="30" t="n">
        <v>10000</v>
      </c>
      <c r="X29" s="30" t="n">
        <v>-10000</v>
      </c>
      <c r="Y29" s="30" t="n">
        <v>4487</v>
      </c>
      <c r="Z29" s="30" t="n">
        <v>10000</v>
      </c>
      <c r="AA29" s="30" t="n">
        <v>-11500</v>
      </c>
      <c r="AB29" s="30" t="n">
        <v>-15000</v>
      </c>
      <c r="AC29" s="30" t="n">
        <v>-10000</v>
      </c>
      <c r="AD29" s="30" t="n">
        <v>-10000</v>
      </c>
      <c r="AE29" s="30" t="n">
        <v>-15000</v>
      </c>
      <c r="AF29" s="30" t="n">
        <v>15000</v>
      </c>
      <c r="AG29" s="30" t="n">
        <v>-10000</v>
      </c>
      <c r="AH29" s="30" t="n">
        <v>10000</v>
      </c>
      <c r="AI29" s="30"/>
      <c r="AJ29" s="17" t="n">
        <f aca="false">SUM(D29:AI29)</f>
        <v>-8513</v>
      </c>
      <c r="AK29" s="50"/>
      <c r="AL29" s="0" t="n">
        <f aca="false">D29*($C29-D$2)</f>
        <v>-599.999999999996</v>
      </c>
      <c r="AM29" s="0" t="n">
        <f aca="false">E29*($C29-E$2)</f>
        <v>500</v>
      </c>
      <c r="AN29" s="0" t="n">
        <f aca="false">F29*($C29-F$2)</f>
        <v>525</v>
      </c>
      <c r="AO29" s="0" t="n">
        <f aca="false">G29*($C29-G$2)</f>
        <v>1062.5</v>
      </c>
      <c r="AP29" s="0" t="n">
        <f aca="false">H29*($C29-H$2)</f>
        <v>1450</v>
      </c>
      <c r="AQ29" s="0" t="n">
        <f aca="false">I29*($C29-I$2)</f>
        <v>725</v>
      </c>
      <c r="AR29" s="0" t="n">
        <f aca="false">J29*($C29-J$2)</f>
        <v>1350</v>
      </c>
      <c r="AS29" s="0" t="n">
        <f aca="false">K29*($C29-K$2)</f>
        <v>-499.999999999998</v>
      </c>
      <c r="AT29" s="0" t="n">
        <f aca="false">L29*($C29-L$2)</f>
        <v>400</v>
      </c>
      <c r="AU29" s="0" t="n">
        <f aca="false">M29*($C29-M$2)</f>
        <v>-0</v>
      </c>
      <c r="AV29" s="0" t="n">
        <f aca="false">N29*($C29-N$2)</f>
        <v>200</v>
      </c>
      <c r="AW29" s="0" t="n">
        <f aca="false">O29*($C29-O$2)</f>
        <v>-150.000000000001</v>
      </c>
      <c r="AX29" s="0" t="n">
        <f aca="false">P29*($C29-P$2)</f>
        <v>-449.999999999999</v>
      </c>
      <c r="AY29" s="0" t="n">
        <f aca="false">Q29*($C29-Q$2)</f>
        <v>850</v>
      </c>
      <c r="AZ29" s="0" t="n">
        <f aca="false">R29*($C29-R$2)</f>
        <v>-950.000000000002</v>
      </c>
      <c r="BA29" s="0" t="n">
        <f aca="false">S29*($C29-S$2)</f>
        <v>-1850</v>
      </c>
      <c r="BB29" s="0" t="n">
        <f aca="false">T29*($C29-T$2)</f>
        <v>-2000</v>
      </c>
      <c r="BC29" s="0" t="n">
        <f aca="false">U29*($C29-U$2)</f>
        <v>2700</v>
      </c>
      <c r="BD29" s="0" t="n">
        <f aca="false">V29*($C29-V$2)</f>
        <v>2650</v>
      </c>
      <c r="BE29" s="0" t="n">
        <f aca="false">W29*($C29-W$2)</f>
        <v>-2900</v>
      </c>
      <c r="BF29" s="0" t="n">
        <f aca="false">X29*($C29-X$2)</f>
        <v>449.999999999999</v>
      </c>
      <c r="BG29" s="0" t="n">
        <f aca="false">Y29*($C29-Y$2)</f>
        <v>-246.785000000001</v>
      </c>
      <c r="BH29" s="0" t="n">
        <f aca="false">Z29*($C29-Z$2)</f>
        <v>-699.999999999998</v>
      </c>
      <c r="BI29" s="0" t="n">
        <f aca="false">AA29*($C29-AA$2)</f>
        <v>-1150</v>
      </c>
      <c r="BJ29" s="0" t="n">
        <f aca="false">AB29*($C29-AB$2)</f>
        <v>-1162.5</v>
      </c>
      <c r="BK29" s="0" t="n">
        <f aca="false">AC29*($C29-AC$2)</f>
        <v>-850</v>
      </c>
      <c r="BL29" s="0" t="n">
        <f aca="false">AD29*($C29-AD$2)</f>
        <v>-1200</v>
      </c>
      <c r="BM29" s="0" t="n">
        <f aca="false">AE29*($C29-AE$2)</f>
        <v>-2400</v>
      </c>
      <c r="BN29" s="0" t="n">
        <f aca="false">AF29*($C29-AF$2)</f>
        <v>2250</v>
      </c>
      <c r="BO29" s="0" t="n">
        <f aca="false">AG29*($C29-AG$2)</f>
        <v>-299.999999999998</v>
      </c>
      <c r="BR29" s="0" t="n">
        <f aca="false">SUM(AL29:BQ29)</f>
        <v>-2296.785</v>
      </c>
    </row>
    <row r="30" customFormat="false" ht="12.75" hidden="false" customHeight="false" outlineLevel="0" collapsed="false">
      <c r="A30" s="49" t="n">
        <v>36977</v>
      </c>
      <c r="B30" s="0" t="n">
        <f aca="false">B$2+B$3</f>
        <v>5.35</v>
      </c>
      <c r="C30" s="48" t="n">
        <f aca="false">GasDaily!C30</f>
        <v>3.77</v>
      </c>
      <c r="D30" s="30" t="n">
        <v>-20000</v>
      </c>
      <c r="E30" s="30" t="n">
        <v>5000</v>
      </c>
      <c r="F30" s="30" t="n">
        <v>5000</v>
      </c>
      <c r="G30" s="30" t="n">
        <v>8500</v>
      </c>
      <c r="H30" s="30" t="n">
        <v>10000</v>
      </c>
      <c r="I30" s="30" t="n">
        <v>5000</v>
      </c>
      <c r="J30" s="30" t="n">
        <v>10000</v>
      </c>
      <c r="K30" s="30" t="n">
        <v>10000</v>
      </c>
      <c r="L30" s="30" t="n">
        <v>-10000</v>
      </c>
      <c r="M30" s="30" t="n">
        <v>-10000</v>
      </c>
      <c r="N30" s="30" t="n">
        <v>-10000</v>
      </c>
      <c r="O30" s="30" t="n">
        <v>10000</v>
      </c>
      <c r="P30" s="30" t="n">
        <v>10000</v>
      </c>
      <c r="Q30" s="30" t="n">
        <v>-10000</v>
      </c>
      <c r="R30" s="30" t="n">
        <v>10000</v>
      </c>
      <c r="S30" s="30" t="n">
        <v>10000</v>
      </c>
      <c r="T30" s="30" t="n">
        <v>10000</v>
      </c>
      <c r="U30" s="30" t="n">
        <v>-10000</v>
      </c>
      <c r="V30" s="30" t="n">
        <v>-10000</v>
      </c>
      <c r="W30" s="30" t="n">
        <v>10000</v>
      </c>
      <c r="X30" s="30" t="n">
        <v>-10000</v>
      </c>
      <c r="Y30" s="30" t="n">
        <v>4487</v>
      </c>
      <c r="Z30" s="30" t="n">
        <v>10000</v>
      </c>
      <c r="AA30" s="30" t="n">
        <v>-11500</v>
      </c>
      <c r="AB30" s="30" t="n">
        <v>-15000</v>
      </c>
      <c r="AC30" s="30" t="n">
        <v>-10000</v>
      </c>
      <c r="AD30" s="30" t="n">
        <v>-10000</v>
      </c>
      <c r="AE30" s="30" t="n">
        <v>-15000</v>
      </c>
      <c r="AF30" s="30" t="n">
        <v>15000</v>
      </c>
      <c r="AG30" s="30" t="n">
        <v>-10000</v>
      </c>
      <c r="AH30" s="30" t="n">
        <v>10000</v>
      </c>
      <c r="AI30" s="30"/>
      <c r="AJ30" s="17" t="n">
        <f aca="false">SUM(D30:AI30)</f>
        <v>-8513</v>
      </c>
      <c r="AK30" s="50"/>
      <c r="AL30" s="0" t="n">
        <f aca="false">D30*($C30-D$2)</f>
        <v>-599.999999999996</v>
      </c>
      <c r="AM30" s="0" t="n">
        <f aca="false">E30*($C30-E$2)</f>
        <v>500</v>
      </c>
      <c r="AN30" s="0" t="n">
        <f aca="false">F30*($C30-F$2)</f>
        <v>525</v>
      </c>
      <c r="AO30" s="0" t="n">
        <f aca="false">G30*($C30-G$2)</f>
        <v>1062.5</v>
      </c>
      <c r="AP30" s="0" t="n">
        <f aca="false">H30*($C30-H$2)</f>
        <v>1450</v>
      </c>
      <c r="AQ30" s="0" t="n">
        <f aca="false">I30*($C30-I$2)</f>
        <v>725</v>
      </c>
      <c r="AR30" s="0" t="n">
        <f aca="false">J30*($C30-J$2)</f>
        <v>1350</v>
      </c>
      <c r="AS30" s="0" t="n">
        <f aca="false">K30*($C30-K$2)</f>
        <v>-499.999999999998</v>
      </c>
      <c r="AT30" s="0" t="n">
        <f aca="false">L30*($C30-L$2)</f>
        <v>400</v>
      </c>
      <c r="AU30" s="0" t="n">
        <f aca="false">M30*($C30-M$2)</f>
        <v>-0</v>
      </c>
      <c r="AV30" s="0" t="n">
        <f aca="false">N30*($C30-N$2)</f>
        <v>200</v>
      </c>
      <c r="AW30" s="0" t="n">
        <f aca="false">O30*($C30-O$2)</f>
        <v>-150.000000000001</v>
      </c>
      <c r="AX30" s="0" t="n">
        <f aca="false">P30*($C30-P$2)</f>
        <v>-449.999999999999</v>
      </c>
      <c r="AY30" s="0" t="n">
        <f aca="false">Q30*($C30-Q$2)</f>
        <v>850</v>
      </c>
      <c r="AZ30" s="0" t="n">
        <f aca="false">R30*($C30-R$2)</f>
        <v>-950.000000000002</v>
      </c>
      <c r="BA30" s="0" t="n">
        <f aca="false">S30*($C30-S$2)</f>
        <v>-1850</v>
      </c>
      <c r="BB30" s="0" t="n">
        <f aca="false">T30*($C30-T$2)</f>
        <v>-2000</v>
      </c>
      <c r="BC30" s="0" t="n">
        <f aca="false">U30*($C30-U$2)</f>
        <v>2700</v>
      </c>
      <c r="BD30" s="0" t="n">
        <f aca="false">V30*($C30-V$2)</f>
        <v>2650</v>
      </c>
      <c r="BE30" s="0" t="n">
        <f aca="false">W30*($C30-W$2)</f>
        <v>-2900</v>
      </c>
      <c r="BF30" s="0" t="n">
        <f aca="false">X30*($C30-X$2)</f>
        <v>449.999999999999</v>
      </c>
      <c r="BG30" s="0" t="n">
        <f aca="false">Y30*($C30-Y$2)</f>
        <v>-246.785000000001</v>
      </c>
      <c r="BH30" s="0" t="n">
        <f aca="false">Z30*($C30-Z$2)</f>
        <v>-699.999999999998</v>
      </c>
      <c r="BI30" s="0" t="n">
        <f aca="false">AA30*($C30-AA$2)</f>
        <v>-1150</v>
      </c>
      <c r="BJ30" s="0" t="n">
        <f aca="false">AB30*($C30-AB$2)</f>
        <v>-1162.5</v>
      </c>
      <c r="BK30" s="0" t="n">
        <f aca="false">AC30*($C30-AC$2)</f>
        <v>-850</v>
      </c>
      <c r="BL30" s="0" t="n">
        <f aca="false">AD30*($C30-AD$2)</f>
        <v>-1200</v>
      </c>
      <c r="BM30" s="0" t="n">
        <f aca="false">AE30*($C30-AE$2)</f>
        <v>-2400</v>
      </c>
      <c r="BN30" s="0" t="n">
        <f aca="false">AF30*($C30-AF$2)</f>
        <v>2250</v>
      </c>
      <c r="BO30" s="0" t="n">
        <f aca="false">AG30*($C30-AG$2)</f>
        <v>-299.999999999998</v>
      </c>
      <c r="BR30" s="0" t="n">
        <f aca="false">SUM(AL30:BQ30)</f>
        <v>-2296.785</v>
      </c>
    </row>
    <row r="31" customFormat="false" ht="12.75" hidden="false" customHeight="false" outlineLevel="0" collapsed="false">
      <c r="A31" s="49" t="n">
        <v>36978</v>
      </c>
      <c r="B31" s="0" t="n">
        <f aca="false">B$2+B$3</f>
        <v>5.35</v>
      </c>
      <c r="C31" s="48" t="n">
        <f aca="false">GasDaily!C31</f>
        <v>3.77</v>
      </c>
      <c r="D31" s="30" t="n">
        <v>-20000</v>
      </c>
      <c r="E31" s="30" t="n">
        <v>5000</v>
      </c>
      <c r="F31" s="30" t="n">
        <v>5000</v>
      </c>
      <c r="G31" s="30" t="n">
        <v>8500</v>
      </c>
      <c r="H31" s="30" t="n">
        <v>10000</v>
      </c>
      <c r="I31" s="30" t="n">
        <v>5000</v>
      </c>
      <c r="J31" s="30" t="n">
        <v>10000</v>
      </c>
      <c r="K31" s="30" t="n">
        <v>10000</v>
      </c>
      <c r="L31" s="30" t="n">
        <v>-10000</v>
      </c>
      <c r="M31" s="30" t="n">
        <v>-10000</v>
      </c>
      <c r="N31" s="30" t="n">
        <v>-10000</v>
      </c>
      <c r="O31" s="30" t="n">
        <v>10000</v>
      </c>
      <c r="P31" s="30" t="n">
        <v>10000</v>
      </c>
      <c r="Q31" s="30" t="n">
        <v>-10000</v>
      </c>
      <c r="R31" s="30" t="n">
        <v>10000</v>
      </c>
      <c r="S31" s="30" t="n">
        <v>10000</v>
      </c>
      <c r="T31" s="30" t="n">
        <v>10000</v>
      </c>
      <c r="U31" s="30" t="n">
        <v>-10000</v>
      </c>
      <c r="V31" s="30" t="n">
        <v>-10000</v>
      </c>
      <c r="W31" s="30" t="n">
        <v>10000</v>
      </c>
      <c r="X31" s="30" t="n">
        <v>-10000</v>
      </c>
      <c r="Y31" s="30" t="n">
        <v>4487</v>
      </c>
      <c r="Z31" s="30" t="n">
        <v>10000</v>
      </c>
      <c r="AA31" s="30" t="n">
        <v>-11500</v>
      </c>
      <c r="AB31" s="30" t="n">
        <v>-15000</v>
      </c>
      <c r="AC31" s="30" t="n">
        <v>-10000</v>
      </c>
      <c r="AD31" s="30" t="n">
        <v>-10000</v>
      </c>
      <c r="AE31" s="30" t="n">
        <v>-15000</v>
      </c>
      <c r="AF31" s="30" t="n">
        <v>15000</v>
      </c>
      <c r="AG31" s="30" t="n">
        <v>-10000</v>
      </c>
      <c r="AH31" s="30" t="n">
        <v>10000</v>
      </c>
      <c r="AI31" s="30"/>
      <c r="AJ31" s="17" t="n">
        <f aca="false">SUM(D31:AI31)</f>
        <v>-8513</v>
      </c>
      <c r="AK31" s="50"/>
      <c r="AL31" s="0" t="n">
        <f aca="false">D31*($C31-D$2)</f>
        <v>-599.999999999996</v>
      </c>
      <c r="AM31" s="0" t="n">
        <f aca="false">E31*($C31-E$2)</f>
        <v>500</v>
      </c>
      <c r="AN31" s="0" t="n">
        <f aca="false">F31*($C31-F$2)</f>
        <v>525</v>
      </c>
      <c r="AO31" s="0" t="n">
        <f aca="false">G31*($C31-G$2)</f>
        <v>1062.5</v>
      </c>
      <c r="AP31" s="0" t="n">
        <f aca="false">H31*($C31-H$2)</f>
        <v>1450</v>
      </c>
      <c r="AQ31" s="0" t="n">
        <f aca="false">I31*($C31-I$2)</f>
        <v>725</v>
      </c>
      <c r="AR31" s="0" t="n">
        <f aca="false">J31*($C31-J$2)</f>
        <v>1350</v>
      </c>
      <c r="AS31" s="0" t="n">
        <f aca="false">K31*($C31-K$2)</f>
        <v>-499.999999999998</v>
      </c>
      <c r="AT31" s="0" t="n">
        <f aca="false">L31*($C31-L$2)</f>
        <v>400</v>
      </c>
      <c r="AU31" s="0" t="n">
        <f aca="false">M31*($C31-M$2)</f>
        <v>-0</v>
      </c>
      <c r="AV31" s="0" t="n">
        <f aca="false">N31*($C31-N$2)</f>
        <v>200</v>
      </c>
      <c r="AW31" s="0" t="n">
        <f aca="false">O31*($C31-O$2)</f>
        <v>-150.000000000001</v>
      </c>
      <c r="AX31" s="0" t="n">
        <f aca="false">P31*($C31-P$2)</f>
        <v>-449.999999999999</v>
      </c>
      <c r="AY31" s="0" t="n">
        <f aca="false">Q31*($C31-Q$2)</f>
        <v>850</v>
      </c>
      <c r="AZ31" s="0" t="n">
        <f aca="false">R31*($C31-R$2)</f>
        <v>-950.000000000002</v>
      </c>
      <c r="BA31" s="0" t="n">
        <f aca="false">S31*($C31-S$2)</f>
        <v>-1850</v>
      </c>
      <c r="BB31" s="0" t="n">
        <f aca="false">T31*($C31-T$2)</f>
        <v>-2000</v>
      </c>
      <c r="BC31" s="0" t="n">
        <f aca="false">U31*($C31-U$2)</f>
        <v>2700</v>
      </c>
      <c r="BD31" s="0" t="n">
        <f aca="false">V31*($C31-V$2)</f>
        <v>2650</v>
      </c>
      <c r="BE31" s="0" t="n">
        <f aca="false">W31*($C31-W$2)</f>
        <v>-2900</v>
      </c>
      <c r="BF31" s="0" t="n">
        <f aca="false">X31*($C31-X$2)</f>
        <v>449.999999999999</v>
      </c>
      <c r="BG31" s="0" t="n">
        <f aca="false">Y31*($C31-Y$2)</f>
        <v>-246.785000000001</v>
      </c>
      <c r="BH31" s="0" t="n">
        <f aca="false">Z31*($C31-Z$2)</f>
        <v>-699.999999999998</v>
      </c>
      <c r="BI31" s="0" t="n">
        <f aca="false">AA31*($C31-AA$2)</f>
        <v>-1150</v>
      </c>
      <c r="BJ31" s="0" t="n">
        <f aca="false">AB31*($C31-AB$2)</f>
        <v>-1162.5</v>
      </c>
      <c r="BK31" s="0" t="n">
        <f aca="false">AC31*($C31-AC$2)</f>
        <v>-850</v>
      </c>
      <c r="BL31" s="0" t="n">
        <f aca="false">AD31*($C31-AD$2)</f>
        <v>-1200</v>
      </c>
      <c r="BM31" s="0" t="n">
        <f aca="false">AE31*($C31-AE$2)</f>
        <v>-2400</v>
      </c>
      <c r="BN31" s="0" t="n">
        <f aca="false">AF31*($C31-AF$2)</f>
        <v>2250</v>
      </c>
      <c r="BO31" s="0" t="n">
        <f aca="false">AG31*($C31-AG$2)</f>
        <v>-299.999999999998</v>
      </c>
      <c r="BR31" s="0" t="n">
        <f aca="false">SUM(AL31:BQ31)</f>
        <v>-2296.785</v>
      </c>
    </row>
    <row r="32" customFormat="false" ht="12.75" hidden="false" customHeight="false" outlineLevel="0" collapsed="false">
      <c r="A32" s="49" t="n">
        <v>36979</v>
      </c>
      <c r="B32" s="0" t="n">
        <f aca="false">B$2+B$3</f>
        <v>5.35</v>
      </c>
      <c r="C32" s="48" t="n">
        <f aca="false">GasDaily!C32</f>
        <v>3.77</v>
      </c>
      <c r="D32" s="30" t="n">
        <v>-20000</v>
      </c>
      <c r="E32" s="30" t="n">
        <v>5000</v>
      </c>
      <c r="F32" s="30" t="n">
        <v>5000</v>
      </c>
      <c r="G32" s="30" t="n">
        <v>8500</v>
      </c>
      <c r="H32" s="30" t="n">
        <v>10000</v>
      </c>
      <c r="I32" s="30" t="n">
        <v>5000</v>
      </c>
      <c r="J32" s="30" t="n">
        <v>10000</v>
      </c>
      <c r="K32" s="30" t="n">
        <v>10000</v>
      </c>
      <c r="L32" s="30" t="n">
        <v>-10000</v>
      </c>
      <c r="M32" s="30" t="n">
        <v>-10000</v>
      </c>
      <c r="N32" s="30" t="n">
        <v>-10000</v>
      </c>
      <c r="O32" s="30" t="n">
        <v>10000</v>
      </c>
      <c r="P32" s="30" t="n">
        <v>10000</v>
      </c>
      <c r="Q32" s="30" t="n">
        <v>-10000</v>
      </c>
      <c r="R32" s="30" t="n">
        <v>10000</v>
      </c>
      <c r="S32" s="30" t="n">
        <v>10000</v>
      </c>
      <c r="T32" s="30" t="n">
        <v>10000</v>
      </c>
      <c r="U32" s="30" t="n">
        <v>-10000</v>
      </c>
      <c r="V32" s="30" t="n">
        <v>-10000</v>
      </c>
      <c r="W32" s="30" t="n">
        <v>10000</v>
      </c>
      <c r="X32" s="30" t="n">
        <v>-10000</v>
      </c>
      <c r="Y32" s="30" t="n">
        <v>4487</v>
      </c>
      <c r="Z32" s="30" t="n">
        <v>10000</v>
      </c>
      <c r="AA32" s="30" t="n">
        <v>-11500</v>
      </c>
      <c r="AB32" s="30" t="n">
        <v>-15000</v>
      </c>
      <c r="AC32" s="30" t="n">
        <v>-10000</v>
      </c>
      <c r="AD32" s="30" t="n">
        <v>-10000</v>
      </c>
      <c r="AE32" s="30" t="n">
        <v>-15000</v>
      </c>
      <c r="AF32" s="30" t="n">
        <v>15000</v>
      </c>
      <c r="AG32" s="30" t="n">
        <v>-10000</v>
      </c>
      <c r="AH32" s="30" t="n">
        <v>10000</v>
      </c>
      <c r="AI32" s="30"/>
      <c r="AJ32" s="17" t="n">
        <f aca="false">SUM(D32:AI32)</f>
        <v>-8513</v>
      </c>
      <c r="AK32" s="50"/>
      <c r="AL32" s="0" t="n">
        <f aca="false">D32*($C32-D$2)</f>
        <v>-599.999999999996</v>
      </c>
      <c r="AM32" s="0" t="n">
        <f aca="false">E32*($C32-E$2)</f>
        <v>500</v>
      </c>
      <c r="AN32" s="0" t="n">
        <f aca="false">F32*($C32-F$2)</f>
        <v>525</v>
      </c>
      <c r="AO32" s="0" t="n">
        <f aca="false">G32*($C32-G$2)</f>
        <v>1062.5</v>
      </c>
      <c r="AP32" s="0" t="n">
        <f aca="false">H32*($C32-H$2)</f>
        <v>1450</v>
      </c>
      <c r="AQ32" s="0" t="n">
        <f aca="false">I32*($C32-I$2)</f>
        <v>725</v>
      </c>
      <c r="AR32" s="0" t="n">
        <f aca="false">J32*($C32-J$2)</f>
        <v>1350</v>
      </c>
      <c r="AS32" s="0" t="n">
        <f aca="false">K32*($C32-K$2)</f>
        <v>-499.999999999998</v>
      </c>
      <c r="AT32" s="0" t="n">
        <f aca="false">L32*($C32-L$2)</f>
        <v>400</v>
      </c>
      <c r="AU32" s="0" t="n">
        <f aca="false">M32*($C32-M$2)</f>
        <v>-0</v>
      </c>
      <c r="AV32" s="0" t="n">
        <f aca="false">N32*($C32-N$2)</f>
        <v>200</v>
      </c>
      <c r="AW32" s="0" t="n">
        <f aca="false">O32*($C32-O$2)</f>
        <v>-150.000000000001</v>
      </c>
      <c r="AX32" s="0" t="n">
        <f aca="false">P32*($C32-P$2)</f>
        <v>-449.999999999999</v>
      </c>
      <c r="AY32" s="0" t="n">
        <f aca="false">Q32*($C32-Q$2)</f>
        <v>850</v>
      </c>
      <c r="AZ32" s="0" t="n">
        <f aca="false">R32*($C32-R$2)</f>
        <v>-950.000000000002</v>
      </c>
      <c r="BA32" s="0" t="n">
        <f aca="false">S32*($C32-S$2)</f>
        <v>-1850</v>
      </c>
      <c r="BB32" s="0" t="n">
        <f aca="false">T32*($C32-T$2)</f>
        <v>-2000</v>
      </c>
      <c r="BC32" s="0" t="n">
        <f aca="false">U32*($C32-U$2)</f>
        <v>2700</v>
      </c>
      <c r="BD32" s="0" t="n">
        <f aca="false">V32*($C32-V$2)</f>
        <v>2650</v>
      </c>
      <c r="BE32" s="0" t="n">
        <f aca="false">W32*($C32-W$2)</f>
        <v>-2900</v>
      </c>
      <c r="BF32" s="0" t="n">
        <f aca="false">X32*($C32-X$2)</f>
        <v>449.999999999999</v>
      </c>
      <c r="BG32" s="0" t="n">
        <f aca="false">Y32*($C32-Y$2)</f>
        <v>-246.785000000001</v>
      </c>
      <c r="BH32" s="0" t="n">
        <f aca="false">Z32*($C32-Z$2)</f>
        <v>-699.999999999998</v>
      </c>
      <c r="BI32" s="0" t="n">
        <f aca="false">AA32*($C32-AA$2)</f>
        <v>-1150</v>
      </c>
      <c r="BJ32" s="0" t="n">
        <f aca="false">AB32*($C32-AB$2)</f>
        <v>-1162.5</v>
      </c>
      <c r="BK32" s="0" t="n">
        <f aca="false">AC32*($C32-AC$2)</f>
        <v>-850</v>
      </c>
      <c r="BL32" s="0" t="n">
        <f aca="false">AD32*($C32-AD$2)</f>
        <v>-1200</v>
      </c>
      <c r="BM32" s="0" t="n">
        <f aca="false">AE32*($C32-AE$2)</f>
        <v>-2400</v>
      </c>
      <c r="BN32" s="0" t="n">
        <f aca="false">AF32*($C32-AF$2)</f>
        <v>2250</v>
      </c>
      <c r="BO32" s="0" t="n">
        <f aca="false">AG32*($C32-AG$2)</f>
        <v>-299.999999999998</v>
      </c>
      <c r="BR32" s="0" t="n">
        <f aca="false">SUM(AL32:BQ32)</f>
        <v>-2296.785</v>
      </c>
    </row>
    <row r="33" customFormat="false" ht="12.75" hidden="false" customHeight="false" outlineLevel="0" collapsed="false">
      <c r="A33" s="49" t="n">
        <v>36980</v>
      </c>
      <c r="B33" s="0" t="n">
        <f aca="false">B$2+B$3</f>
        <v>5.35</v>
      </c>
      <c r="C33" s="48" t="n">
        <f aca="false">GasDaily!C33</f>
        <v>3.77</v>
      </c>
      <c r="D33" s="30" t="n">
        <v>-20000</v>
      </c>
      <c r="E33" s="30" t="n">
        <v>5000</v>
      </c>
      <c r="F33" s="30" t="n">
        <v>5000</v>
      </c>
      <c r="G33" s="30" t="n">
        <v>8500</v>
      </c>
      <c r="H33" s="30" t="n">
        <v>10000</v>
      </c>
      <c r="I33" s="30" t="n">
        <v>5000</v>
      </c>
      <c r="J33" s="30" t="n">
        <v>10000</v>
      </c>
      <c r="K33" s="30" t="n">
        <v>10000</v>
      </c>
      <c r="L33" s="30" t="n">
        <v>-10000</v>
      </c>
      <c r="M33" s="30" t="n">
        <v>-10000</v>
      </c>
      <c r="N33" s="30" t="n">
        <v>-10000</v>
      </c>
      <c r="O33" s="30" t="n">
        <v>10000</v>
      </c>
      <c r="P33" s="30" t="n">
        <v>10000</v>
      </c>
      <c r="Q33" s="30" t="n">
        <v>-10000</v>
      </c>
      <c r="R33" s="30" t="n">
        <v>10000</v>
      </c>
      <c r="S33" s="30" t="n">
        <v>10000</v>
      </c>
      <c r="T33" s="30" t="n">
        <v>10000</v>
      </c>
      <c r="U33" s="30" t="n">
        <v>-10000</v>
      </c>
      <c r="V33" s="30" t="n">
        <v>-10000</v>
      </c>
      <c r="W33" s="30" t="n">
        <v>10000</v>
      </c>
      <c r="X33" s="30" t="n">
        <v>-10000</v>
      </c>
      <c r="Y33" s="30" t="n">
        <v>4487</v>
      </c>
      <c r="Z33" s="30" t="n">
        <v>10000</v>
      </c>
      <c r="AA33" s="30" t="n">
        <v>-11500</v>
      </c>
      <c r="AB33" s="30" t="n">
        <v>-15000</v>
      </c>
      <c r="AC33" s="30" t="n">
        <v>-10000</v>
      </c>
      <c r="AD33" s="30" t="n">
        <v>-10000</v>
      </c>
      <c r="AE33" s="30" t="n">
        <v>-15000</v>
      </c>
      <c r="AF33" s="30" t="n">
        <v>15000</v>
      </c>
      <c r="AG33" s="30" t="n">
        <v>-10000</v>
      </c>
      <c r="AH33" s="30" t="n">
        <v>10000</v>
      </c>
      <c r="AI33" s="30"/>
      <c r="AJ33" s="17" t="n">
        <f aca="false">SUM(D33:AI33)</f>
        <v>-8513</v>
      </c>
      <c r="AL33" s="0" t="n">
        <f aca="false">D33*($C33-D$2)</f>
        <v>-599.999999999996</v>
      </c>
      <c r="AM33" s="0" t="n">
        <f aca="false">E33*($C33-E$2)</f>
        <v>500</v>
      </c>
      <c r="AN33" s="0" t="n">
        <f aca="false">F33*($C33-F$2)</f>
        <v>525</v>
      </c>
      <c r="AO33" s="0" t="n">
        <f aca="false">G33*($C33-G$2)</f>
        <v>1062.5</v>
      </c>
      <c r="AP33" s="0" t="n">
        <f aca="false">H33*($C33-H$2)</f>
        <v>1450</v>
      </c>
      <c r="AQ33" s="0" t="n">
        <f aca="false">I33*($C33-I$2)</f>
        <v>725</v>
      </c>
      <c r="AR33" s="0" t="n">
        <f aca="false">J33*($C33-J$2)</f>
        <v>1350</v>
      </c>
      <c r="AS33" s="0" t="n">
        <f aca="false">K33*($C33-K$2)</f>
        <v>-499.999999999998</v>
      </c>
      <c r="AT33" s="0" t="n">
        <f aca="false">L33*($C33-L$2)</f>
        <v>400</v>
      </c>
      <c r="AU33" s="0" t="n">
        <f aca="false">M33*($C33-M$2)</f>
        <v>-0</v>
      </c>
      <c r="AV33" s="0" t="n">
        <f aca="false">N33*($C33-N$2)</f>
        <v>200</v>
      </c>
      <c r="AW33" s="0" t="n">
        <f aca="false">O33*($C33-O$2)</f>
        <v>-150.000000000001</v>
      </c>
      <c r="AX33" s="0" t="n">
        <f aca="false">P33*($C33-P$2)</f>
        <v>-449.999999999999</v>
      </c>
      <c r="AY33" s="0" t="n">
        <f aca="false">Q33*($C33-Q$2)</f>
        <v>850</v>
      </c>
      <c r="AZ33" s="0" t="n">
        <f aca="false">R33*($C33-R$2)</f>
        <v>-950.000000000002</v>
      </c>
      <c r="BA33" s="0" t="n">
        <f aca="false">S33*($C33-S$2)</f>
        <v>-1850</v>
      </c>
      <c r="BB33" s="0" t="n">
        <f aca="false">T33*($C33-T$2)</f>
        <v>-2000</v>
      </c>
      <c r="BC33" s="0" t="n">
        <f aca="false">U33*($C33-U$2)</f>
        <v>2700</v>
      </c>
      <c r="BD33" s="0" t="n">
        <f aca="false">V33*($C33-V$2)</f>
        <v>2650</v>
      </c>
      <c r="BE33" s="0" t="n">
        <f aca="false">W33*($C33-W$2)</f>
        <v>-2900</v>
      </c>
      <c r="BF33" s="0" t="n">
        <f aca="false">X33*($C33-X$2)</f>
        <v>449.999999999999</v>
      </c>
      <c r="BG33" s="0" t="n">
        <f aca="false">Y33*($C33-Y$2)</f>
        <v>-246.785000000001</v>
      </c>
      <c r="BH33" s="0" t="n">
        <f aca="false">Z33*($C33-Z$2)</f>
        <v>-699.999999999998</v>
      </c>
      <c r="BI33" s="0" t="n">
        <f aca="false">AA33*($C33-AA$2)</f>
        <v>-1150</v>
      </c>
      <c r="BJ33" s="0" t="n">
        <f aca="false">AB33*($C33-AB$2)</f>
        <v>-1162.5</v>
      </c>
      <c r="BK33" s="0" t="n">
        <f aca="false">AC33*($C33-AC$2)</f>
        <v>-850</v>
      </c>
      <c r="BL33" s="0" t="n">
        <f aca="false">AD33*($C33-AD$2)</f>
        <v>-1200</v>
      </c>
      <c r="BM33" s="0" t="n">
        <f aca="false">AE33*($C33-AE$2)</f>
        <v>-2400</v>
      </c>
      <c r="BN33" s="0" t="n">
        <f aca="false">AF33*($C33-AF$2)</f>
        <v>2250</v>
      </c>
      <c r="BO33" s="0" t="n">
        <f aca="false">AG33*($C33-AG$2)</f>
        <v>-299.999999999998</v>
      </c>
      <c r="BR33" s="0" t="n">
        <f aca="false">SUM(AL33:BQ33)</f>
        <v>-2296.785</v>
      </c>
    </row>
    <row r="34" customFormat="false" ht="12.75" hidden="false" customHeight="false" outlineLevel="0" collapsed="false">
      <c r="A34" s="49" t="n">
        <v>36981</v>
      </c>
      <c r="B34" s="0" t="n">
        <f aca="false">B$2+B$3</f>
        <v>5.35</v>
      </c>
      <c r="C34" s="48" t="n">
        <f aca="false">GasDaily!C34</f>
        <v>0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17" t="n">
        <f aca="false">SUM(D34:AD34)</f>
        <v>0</v>
      </c>
      <c r="AL34" s="0" t="n">
        <f aca="false">D34*($C34-D$2)</f>
        <v>-0</v>
      </c>
      <c r="AM34" s="0" t="n">
        <f aca="false">E34*($C34-E$2)</f>
        <v>-0</v>
      </c>
      <c r="AN34" s="0" t="n">
        <f aca="false">F34*($C34-F$2)</f>
        <v>-0</v>
      </c>
      <c r="AO34" s="0" t="n">
        <f aca="false">G34*($C34-G$2)</f>
        <v>-0</v>
      </c>
      <c r="AP34" s="0" t="n">
        <f aca="false">H34*($C34-H$2)</f>
        <v>-0</v>
      </c>
      <c r="AQ34" s="0" t="n">
        <f aca="false">I34*($C34-I$2)</f>
        <v>-0</v>
      </c>
      <c r="AR34" s="0" t="n">
        <f aca="false">J34*($C34-J$2)</f>
        <v>-0</v>
      </c>
      <c r="AS34" s="0" t="n">
        <f aca="false">K34*($C34-K$2)</f>
        <v>-0</v>
      </c>
      <c r="AT34" s="0" t="n">
        <f aca="false">L34*($C34-L$2)</f>
        <v>-0</v>
      </c>
      <c r="AU34" s="0" t="n">
        <f aca="false">M34*($C34-M$2)</f>
        <v>-0</v>
      </c>
      <c r="AV34" s="0" t="n">
        <f aca="false">N34*($C34-N$2)</f>
        <v>-0</v>
      </c>
      <c r="AW34" s="0" t="n">
        <f aca="false">O34*($C34-O$2)</f>
        <v>-0</v>
      </c>
      <c r="AX34" s="0" t="n">
        <f aca="false">P34*($C34-P$2)</f>
        <v>-0</v>
      </c>
      <c r="AY34" s="0" t="n">
        <f aca="false">Q34*($C34-Q$2)</f>
        <v>-0</v>
      </c>
      <c r="AZ34" s="0" t="n">
        <f aca="false">R34*($C34-R$2)</f>
        <v>-0</v>
      </c>
      <c r="BA34" s="0" t="n">
        <f aca="false">S34*($C34-S$2)</f>
        <v>-0</v>
      </c>
      <c r="BB34" s="0" t="n">
        <f aca="false">T34*($C34-T$2)</f>
        <v>-0</v>
      </c>
      <c r="BC34" s="0" t="n">
        <f aca="false">U34*($C34-U$2)</f>
        <v>-0</v>
      </c>
      <c r="BD34" s="0" t="n">
        <f aca="false">V34*($C34-V$2)</f>
        <v>-0</v>
      </c>
      <c r="BE34" s="0" t="n">
        <f aca="false">W34*($C34-W$2)</f>
        <v>-0</v>
      </c>
      <c r="BF34" s="0" t="n">
        <f aca="false">X34*($C34-X$2)</f>
        <v>-0</v>
      </c>
      <c r="BG34" s="0" t="n">
        <f aca="false">Y34*($C34-Y$2)</f>
        <v>-0</v>
      </c>
      <c r="BH34" s="0" t="n">
        <f aca="false">Z34*($C34-Z$2)</f>
        <v>-0</v>
      </c>
      <c r="BI34" s="0" t="n">
        <f aca="false">AA34*($C34-AA$2)</f>
        <v>-0</v>
      </c>
      <c r="BJ34" s="0" t="n">
        <f aca="false">AB34*($C34-AB$2)</f>
        <v>-0</v>
      </c>
      <c r="BK34" s="0" t="n">
        <f aca="false">AC34*($C34-AC$2)</f>
        <v>-0</v>
      </c>
      <c r="BL34" s="0" t="n">
        <f aca="false">AD34*($C34-AD$2)</f>
        <v>-0</v>
      </c>
      <c r="BM34" s="0" t="n">
        <f aca="false">AE34*($C34-AE$2)</f>
        <v>-0</v>
      </c>
      <c r="BN34" s="0" t="n">
        <f aca="false">AF34*($C34-AF$2)</f>
        <v>-0</v>
      </c>
      <c r="BO34" s="0" t="n">
        <f aca="false">AG34*($C34-AG$2)</f>
        <v>-0</v>
      </c>
      <c r="BR34" s="0" t="n">
        <f aca="false">SUM(AL34:BQ34)</f>
        <v>0</v>
      </c>
    </row>
    <row r="35" customFormat="false" ht="12.75" hidden="false" customHeight="false" outlineLevel="0" collapsed="false">
      <c r="A35" s="51"/>
      <c r="C35" s="48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BU35" s="0" t="s">
        <v>528</v>
      </c>
    </row>
    <row r="36" customFormat="false" ht="12.75" hidden="false" customHeight="false" outlineLevel="0" collapsed="false">
      <c r="D36" s="30" t="n">
        <f aca="false">SUM(D4:D34)</f>
        <v>-600000</v>
      </c>
      <c r="E36" s="30" t="n">
        <f aca="false">SUM(E4:E34)</f>
        <v>150000</v>
      </c>
      <c r="F36" s="30" t="n">
        <f aca="false">SUM(F4:F34)</f>
        <v>150000</v>
      </c>
      <c r="G36" s="30" t="n">
        <f aca="false">SUM(G4:G34)</f>
        <v>255000</v>
      </c>
      <c r="H36" s="30" t="n">
        <f aca="false">SUM(H4:H34)</f>
        <v>300000</v>
      </c>
      <c r="I36" s="30" t="n">
        <f aca="false">SUM(I4:I34)</f>
        <v>150000</v>
      </c>
      <c r="J36" s="30" t="n">
        <f aca="false">SUM(J4:J34)</f>
        <v>300000</v>
      </c>
      <c r="K36" s="30" t="n">
        <f aca="false">SUM(K4:K34)</f>
        <v>300000</v>
      </c>
      <c r="L36" s="30" t="n">
        <f aca="false">SUM(L4:L34)</f>
        <v>-300000</v>
      </c>
      <c r="M36" s="30" t="n">
        <f aca="false">SUM(M4:M34)</f>
        <v>-300000</v>
      </c>
      <c r="N36" s="30" t="n">
        <f aca="false">SUM(N4:N34)</f>
        <v>-300000</v>
      </c>
      <c r="O36" s="30" t="n">
        <f aca="false">SUM(O4:O34)</f>
        <v>300000</v>
      </c>
      <c r="P36" s="30" t="n">
        <f aca="false">SUM(P4:P34)</f>
        <v>300000</v>
      </c>
      <c r="Q36" s="30" t="n">
        <f aca="false">SUM(Q4:Q34)</f>
        <v>-290000</v>
      </c>
      <c r="R36" s="30" t="n">
        <f aca="false">SUM(R4:R34)</f>
        <v>260000</v>
      </c>
      <c r="S36" s="30" t="n">
        <f aca="false">SUM(S4:S34)</f>
        <v>250000</v>
      </c>
      <c r="T36" s="30" t="n">
        <f aca="false">SUM(T4:T34)</f>
        <v>250000</v>
      </c>
      <c r="U36" s="30" t="n">
        <f aca="false">SUM(U4:U34)</f>
        <v>-250000</v>
      </c>
      <c r="V36" s="30" t="n">
        <f aca="false">SUM(V4:V34)</f>
        <v>-250000</v>
      </c>
      <c r="W36" s="30" t="n">
        <f aca="false">SUM(W4:W34)</f>
        <v>250000</v>
      </c>
      <c r="X36" s="30" t="n">
        <f aca="false">SUM(X4:X34)</f>
        <v>-250000</v>
      </c>
      <c r="Y36" s="30" t="n">
        <f aca="false">SUM(Y4:Y34)</f>
        <v>107688</v>
      </c>
      <c r="Z36" s="30" t="n">
        <f aca="false">SUM(Z4:Z34)</f>
        <v>240000</v>
      </c>
      <c r="AA36" s="30" t="n">
        <f aca="false">SUM(AA4:AA34)</f>
        <v>-264500</v>
      </c>
      <c r="AB36" s="30" t="n">
        <f aca="false">SUM(AB4:AB34)</f>
        <v>-330000</v>
      </c>
      <c r="AC36" s="30" t="n">
        <f aca="false">SUM(AC4:AC34)</f>
        <v>-220000</v>
      </c>
      <c r="AD36" s="30" t="n">
        <f aca="false">SUM(AD4:AD34)</f>
        <v>-220000</v>
      </c>
      <c r="AE36" s="30" t="n">
        <f aca="false">SUM(AE4:AE34)</f>
        <v>-330000</v>
      </c>
      <c r="AF36" s="30" t="n">
        <f aca="false">SUM(AF4:AF34)</f>
        <v>330000</v>
      </c>
      <c r="AG36" s="30" t="n">
        <f aca="false">SUM(AG4:AG34)</f>
        <v>-190000</v>
      </c>
      <c r="AH36" s="30" t="n">
        <f aca="false">SUM(AH4:AH34)</f>
        <v>190000</v>
      </c>
      <c r="AI36" s="30"/>
      <c r="AJ36" s="17" t="n">
        <f aca="false">SUM(AJ15:AJ34)</f>
        <v>-161747</v>
      </c>
      <c r="BR36" s="52" t="n">
        <f aca="false">SUM(BR4:BR34)</f>
        <v>-10993.0599999999</v>
      </c>
      <c r="BU36" s="10" t="e">
        <f aca="false">BR36+#REF!+#REF!+#REF!</f>
        <v>#REF!</v>
      </c>
    </row>
    <row r="37" customFormat="false" ht="12.75" hidden="false" customHeight="false" outlineLevel="0" collapsed="false">
      <c r="A37" s="0" t="n">
        <f aca="false">COUNT(A18:A33)</f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D1" activePane="topRight" state="frozen"/>
      <selection pane="topLeft" activeCell="A1" activeCellId="0" sqref="A1"/>
      <selection pane="topRight" activeCell="P37" activeCellId="0" sqref="P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16" style="44" width="13.14"/>
    <col collapsed="false" customWidth="true" hidden="false" outlineLevel="0" max="17" min="17" style="45" width="2.84"/>
    <col collapsed="false" customWidth="true" hidden="false" outlineLevel="0" max="30" min="30" style="45" width="2.7"/>
    <col collapsed="false" customWidth="true" hidden="false" outlineLevel="0" max="31" min="31" style="0" width="10.85"/>
  </cols>
  <sheetData>
    <row r="1" customFormat="false" ht="12.75" hidden="false" customHeight="false" outlineLevel="0" collapsed="false">
      <c r="B1" s="44" t="s">
        <v>523</v>
      </c>
    </row>
    <row r="2" customFormat="false" ht="12.75" hidden="false" customHeight="false" outlineLevel="0" collapsed="false">
      <c r="B2" s="46" t="n">
        <v>3.86</v>
      </c>
      <c r="C2" s="47"/>
      <c r="P2" s="44" t="s">
        <v>524</v>
      </c>
    </row>
    <row r="3" customFormat="false" ht="12.75" hidden="false" customHeight="false" outlineLevel="0" collapsed="false">
      <c r="B3" s="48" t="n">
        <v>0</v>
      </c>
      <c r="C3" s="0" t="s">
        <v>525</v>
      </c>
      <c r="D3" s="48" t="n">
        <v>3.665</v>
      </c>
      <c r="E3" s="48" t="n">
        <v>3.785</v>
      </c>
      <c r="F3" s="48" t="n">
        <v>3.82</v>
      </c>
      <c r="G3" s="48" t="n">
        <v>3.845</v>
      </c>
      <c r="H3" s="48" t="n">
        <v>3.85</v>
      </c>
      <c r="I3" s="48" t="n">
        <v>3.885</v>
      </c>
      <c r="J3" s="48" t="n">
        <v>4.02</v>
      </c>
      <c r="K3" s="48" t="n">
        <v>4.035</v>
      </c>
      <c r="L3" s="48" t="n">
        <v>3.96</v>
      </c>
      <c r="M3" s="48" t="n">
        <v>3.865</v>
      </c>
      <c r="N3" s="48" t="n">
        <v>3.635</v>
      </c>
      <c r="O3" s="48"/>
      <c r="AE3" s="0" t="s">
        <v>526</v>
      </c>
    </row>
    <row r="4" customFormat="false" ht="12.75" hidden="false" customHeight="false" outlineLevel="0" collapsed="false">
      <c r="A4" s="51" t="n">
        <v>36586</v>
      </c>
      <c r="B4" s="0" t="n">
        <f aca="false">B$2+B$3</f>
        <v>3.86</v>
      </c>
      <c r="C4" s="48" t="n">
        <f aca="false">GasDaily!AF4</f>
        <v>3.83</v>
      </c>
      <c r="D4" s="30" t="n">
        <v>5000</v>
      </c>
      <c r="E4" s="30" t="n">
        <v>15000</v>
      </c>
      <c r="F4" s="30" t="n">
        <v>10000</v>
      </c>
      <c r="G4" s="30"/>
      <c r="H4" s="30"/>
      <c r="I4" s="30"/>
      <c r="J4" s="30"/>
      <c r="K4" s="30"/>
      <c r="L4" s="30"/>
      <c r="M4" s="30"/>
      <c r="N4" s="30"/>
      <c r="O4" s="30"/>
      <c r="P4" s="17" t="n">
        <f aca="false">SUM(D4:M4)</f>
        <v>30000</v>
      </c>
      <c r="Q4" s="50"/>
      <c r="R4" s="0" t="n">
        <f aca="false">D4*($C4-D$3)</f>
        <v>825</v>
      </c>
      <c r="S4" s="0" t="n">
        <f aca="false">E4*($C4-E$3)</f>
        <v>674.999999999999</v>
      </c>
      <c r="T4" s="0" t="n">
        <f aca="false">F4*($C4-F$3)</f>
        <v>100.000000000002</v>
      </c>
      <c r="U4" s="0" t="n">
        <f aca="false">G4*($C4-G$3)</f>
        <v>-0</v>
      </c>
      <c r="V4" s="0" t="n">
        <f aca="false">H4*($C4-H$3)</f>
        <v>-0</v>
      </c>
      <c r="AE4" s="0" t="n">
        <f aca="false">SUM(R4:AD4)</f>
        <v>1600</v>
      </c>
    </row>
    <row r="5" customFormat="false" ht="12.75" hidden="false" customHeight="false" outlineLevel="0" collapsed="false">
      <c r="A5" s="51" t="n">
        <v>36587</v>
      </c>
      <c r="B5" s="0" t="n">
        <f aca="false">B$2+B$3</f>
        <v>3.86</v>
      </c>
      <c r="C5" s="48" t="n">
        <f aca="false">GasDaily!AF5</f>
        <v>3.77</v>
      </c>
      <c r="D5" s="30" t="n">
        <v>5000</v>
      </c>
      <c r="E5" s="30" t="n">
        <v>15000</v>
      </c>
      <c r="F5" s="30" t="n">
        <v>10000</v>
      </c>
      <c r="G5" s="30" t="n">
        <v>-15000</v>
      </c>
      <c r="H5" s="30"/>
      <c r="I5" s="30"/>
      <c r="J5" s="30"/>
      <c r="K5" s="30"/>
      <c r="L5" s="30"/>
      <c r="M5" s="30"/>
      <c r="N5" s="30"/>
      <c r="O5" s="30"/>
      <c r="P5" s="17" t="n">
        <f aca="false">SUM(D5:M5)</f>
        <v>15000</v>
      </c>
      <c r="Q5" s="50"/>
      <c r="R5" s="0" t="n">
        <f aca="false">D5*($C5-D$3)</f>
        <v>525</v>
      </c>
      <c r="S5" s="0" t="n">
        <f aca="false">E5*($C5-E$3)</f>
        <v>-225.000000000002</v>
      </c>
      <c r="T5" s="0" t="n">
        <f aca="false">F5*($C5-F$3)</f>
        <v>-499.999999999998</v>
      </c>
      <c r="U5" s="0" t="n">
        <f aca="false">G5*($C5-G$3)</f>
        <v>1125</v>
      </c>
      <c r="V5" s="0" t="n">
        <f aca="false">H5*($C5-H$3)</f>
        <v>-0</v>
      </c>
      <c r="W5" s="0" t="n">
        <f aca="false">I5*($C5-I$3)</f>
        <v>-0</v>
      </c>
      <c r="X5" s="0" t="n">
        <f aca="false">J5*($C5-J$3)</f>
        <v>-0</v>
      </c>
      <c r="Y5" s="0" t="n">
        <f aca="false">K5*($C5-K$3)</f>
        <v>-0</v>
      </c>
      <c r="Z5" s="0" t="n">
        <f aca="false">L5*($C5-L$3)</f>
        <v>-0</v>
      </c>
      <c r="AA5" s="0" t="n">
        <f aca="false">M5*($C5-M$3)</f>
        <v>-0</v>
      </c>
      <c r="AB5" s="0" t="n">
        <f aca="false">N5*($C5-N$3)</f>
        <v>0</v>
      </c>
      <c r="AE5" s="0" t="n">
        <f aca="false">SUM(R5:AD5)</f>
        <v>925.000000000003</v>
      </c>
    </row>
    <row r="6" customFormat="false" ht="12.75" hidden="false" customHeight="false" outlineLevel="0" collapsed="false">
      <c r="A6" s="51" t="n">
        <v>36588</v>
      </c>
      <c r="B6" s="0" t="n">
        <f aca="false">B$2+B$3</f>
        <v>3.86</v>
      </c>
      <c r="C6" s="48" t="n">
        <f aca="false">GasDaily!AF6</f>
        <v>3.77</v>
      </c>
      <c r="D6" s="30" t="n">
        <v>5000</v>
      </c>
      <c r="E6" s="30" t="n">
        <v>15000</v>
      </c>
      <c r="F6" s="30" t="n">
        <v>10000</v>
      </c>
      <c r="G6" s="30" t="n">
        <v>-15000</v>
      </c>
      <c r="H6" s="30"/>
      <c r="I6" s="30"/>
      <c r="J6" s="30"/>
      <c r="K6" s="30"/>
      <c r="L6" s="30"/>
      <c r="M6" s="30"/>
      <c r="N6" s="30"/>
      <c r="O6" s="30"/>
      <c r="P6" s="17" t="n">
        <f aca="false">SUM(D6:M6)</f>
        <v>15000</v>
      </c>
      <c r="Q6" s="50"/>
      <c r="R6" s="0" t="n">
        <f aca="false">D6*($C6-D$3)</f>
        <v>525</v>
      </c>
      <c r="S6" s="0" t="n">
        <f aca="false">E6*($C6-E$3)</f>
        <v>-225.000000000002</v>
      </c>
      <c r="T6" s="0" t="n">
        <f aca="false">F6*($C6-F$3)</f>
        <v>-499.999999999998</v>
      </c>
      <c r="U6" s="0" t="n">
        <f aca="false">G6*($C6-G$3)</f>
        <v>1125</v>
      </c>
      <c r="V6" s="0" t="n">
        <f aca="false">H6*($C6-H$3)</f>
        <v>-0</v>
      </c>
      <c r="W6" s="0" t="n">
        <f aca="false">I6*($C6-I$3)</f>
        <v>-0</v>
      </c>
      <c r="X6" s="0" t="n">
        <f aca="false">J6*($C6-J$3)</f>
        <v>-0</v>
      </c>
      <c r="Y6" s="0" t="n">
        <f aca="false">K6*($C6-K$3)</f>
        <v>-0</v>
      </c>
      <c r="Z6" s="0" t="n">
        <f aca="false">L6*($C6-L$3)</f>
        <v>-0</v>
      </c>
      <c r="AA6" s="0" t="n">
        <f aca="false">M6*($C6-M$3)</f>
        <v>-0</v>
      </c>
      <c r="AB6" s="0" t="n">
        <f aca="false">N6*($C6-N$3)</f>
        <v>0</v>
      </c>
      <c r="AE6" s="0" t="n">
        <f aca="false">SUM(R6:AD6)</f>
        <v>925.000000000003</v>
      </c>
    </row>
    <row r="7" customFormat="false" ht="12.75" hidden="false" customHeight="false" outlineLevel="0" collapsed="false">
      <c r="A7" s="51" t="n">
        <v>36589</v>
      </c>
      <c r="B7" s="0" t="n">
        <f aca="false">B$2+B$3</f>
        <v>3.86</v>
      </c>
      <c r="C7" s="48" t="n">
        <f aca="false">GasDaily!AF7</f>
        <v>3.77</v>
      </c>
      <c r="D7" s="30" t="n">
        <v>5000</v>
      </c>
      <c r="E7" s="30" t="n">
        <v>15000</v>
      </c>
      <c r="F7" s="30" t="n">
        <v>10000</v>
      </c>
      <c r="G7" s="30" t="n">
        <v>-15000</v>
      </c>
      <c r="H7" s="30"/>
      <c r="I7" s="30"/>
      <c r="J7" s="30"/>
      <c r="K7" s="30"/>
      <c r="L7" s="30"/>
      <c r="M7" s="30"/>
      <c r="N7" s="30"/>
      <c r="O7" s="30"/>
      <c r="P7" s="17" t="n">
        <f aca="false">SUM(D7:M7)</f>
        <v>15000</v>
      </c>
      <c r="Q7" s="50"/>
      <c r="R7" s="0" t="n">
        <f aca="false">D7*($C7-D$3)</f>
        <v>525</v>
      </c>
      <c r="S7" s="0" t="n">
        <f aca="false">E7*($C7-E$3)</f>
        <v>-225.000000000002</v>
      </c>
      <c r="T7" s="0" t="n">
        <f aca="false">F7*($C7-F$3)</f>
        <v>-499.999999999998</v>
      </c>
      <c r="U7" s="0" t="n">
        <f aca="false">G7*($C7-G$3)</f>
        <v>1125</v>
      </c>
      <c r="V7" s="0" t="n">
        <f aca="false">H7*($C7-H$3)</f>
        <v>-0</v>
      </c>
      <c r="W7" s="0" t="n">
        <f aca="false">I7*($C7-I$3)</f>
        <v>-0</v>
      </c>
      <c r="X7" s="0" t="n">
        <f aca="false">J7*($C7-J$3)</f>
        <v>-0</v>
      </c>
      <c r="Y7" s="0" t="n">
        <f aca="false">K7*($C7-K$3)</f>
        <v>-0</v>
      </c>
      <c r="Z7" s="0" t="n">
        <f aca="false">L7*($C7-L$3)</f>
        <v>-0</v>
      </c>
      <c r="AA7" s="0" t="n">
        <f aca="false">M7*($C7-M$3)</f>
        <v>-0</v>
      </c>
      <c r="AB7" s="0" t="n">
        <f aca="false">N7*($C7-N$3)</f>
        <v>0</v>
      </c>
      <c r="AE7" s="0" t="n">
        <f aca="false">SUM(R7:AD7)</f>
        <v>925.000000000003</v>
      </c>
    </row>
    <row r="8" customFormat="false" ht="12.75" hidden="false" customHeight="false" outlineLevel="0" collapsed="false">
      <c r="A8" s="51" t="n">
        <v>36590</v>
      </c>
      <c r="B8" s="0" t="n">
        <f aca="false">B$2+B$3</f>
        <v>3.86</v>
      </c>
      <c r="C8" s="48" t="n">
        <f aca="false">GasDaily!AF8</f>
        <v>3.995</v>
      </c>
      <c r="D8" s="30" t="n">
        <v>5000</v>
      </c>
      <c r="E8" s="30" t="n">
        <v>15000</v>
      </c>
      <c r="F8" s="30" t="n">
        <v>10000</v>
      </c>
      <c r="G8" s="30" t="n">
        <v>-15000</v>
      </c>
      <c r="H8" s="30" t="n">
        <v>10000</v>
      </c>
      <c r="I8" s="30" t="n">
        <v>-15000</v>
      </c>
      <c r="J8" s="30"/>
      <c r="K8" s="30"/>
      <c r="L8" s="30"/>
      <c r="M8" s="30"/>
      <c r="N8" s="30"/>
      <c r="O8" s="30"/>
      <c r="P8" s="17" t="n">
        <f aca="false">SUM(D8:M8)</f>
        <v>10000</v>
      </c>
      <c r="Q8" s="50"/>
      <c r="R8" s="0" t="n">
        <f aca="false">D8*($C8-D$3)</f>
        <v>1650</v>
      </c>
      <c r="S8" s="0" t="n">
        <f aca="false">E8*($C8-E$3)</f>
        <v>3150</v>
      </c>
      <c r="T8" s="0" t="n">
        <f aca="false">F8*($C8-F$3)</f>
        <v>1750</v>
      </c>
      <c r="U8" s="0" t="n">
        <f aca="false">G8*($C8-G$3)</f>
        <v>-2250</v>
      </c>
      <c r="V8" s="0" t="n">
        <f aca="false">H8*($C8-H$3)</f>
        <v>1450</v>
      </c>
      <c r="W8" s="0" t="n">
        <f aca="false">I8*($C8-I$3)</f>
        <v>-1650</v>
      </c>
      <c r="X8" s="0" t="n">
        <f aca="false">J8*($C8-J$3)</f>
        <v>-0</v>
      </c>
      <c r="Y8" s="0" t="n">
        <f aca="false">K8*($C8-K$3)</f>
        <v>-0</v>
      </c>
      <c r="Z8" s="0" t="n">
        <f aca="false">L8*($C8-L$3)</f>
        <v>0</v>
      </c>
      <c r="AA8" s="0" t="n">
        <f aca="false">M8*($C8-M$3)</f>
        <v>0</v>
      </c>
      <c r="AB8" s="0" t="n">
        <f aca="false">N8*($C8-N$3)</f>
        <v>0</v>
      </c>
      <c r="AE8" s="0" t="n">
        <f aca="false">SUM(R8:AD8)</f>
        <v>4100</v>
      </c>
    </row>
    <row r="9" customFormat="false" ht="12.75" hidden="false" customHeight="false" outlineLevel="0" collapsed="false">
      <c r="A9" s="51" t="n">
        <v>36591</v>
      </c>
      <c r="B9" s="0" t="n">
        <f aca="false">B$2+B$3</f>
        <v>3.86</v>
      </c>
      <c r="C9" s="48" t="n">
        <f aca="false">GasDaily!AF9</f>
        <v>4.075</v>
      </c>
      <c r="D9" s="30" t="n">
        <v>5000</v>
      </c>
      <c r="E9" s="30" t="n">
        <v>15000</v>
      </c>
      <c r="F9" s="30" t="n">
        <v>10000</v>
      </c>
      <c r="G9" s="30" t="n">
        <v>-15000</v>
      </c>
      <c r="H9" s="30" t="n">
        <v>10000</v>
      </c>
      <c r="I9" s="30" t="n">
        <v>-15000</v>
      </c>
      <c r="J9" s="30" t="n">
        <v>10000</v>
      </c>
      <c r="K9" s="30" t="n">
        <v>15000</v>
      </c>
      <c r="L9" s="30" t="n">
        <v>-15000</v>
      </c>
      <c r="M9" s="30"/>
      <c r="N9" s="30"/>
      <c r="O9" s="30"/>
      <c r="P9" s="17" t="n">
        <f aca="false">SUM(D9:M9)</f>
        <v>20000</v>
      </c>
      <c r="Q9" s="50"/>
      <c r="R9" s="0" t="n">
        <f aca="false">D9*($C9-D$3)</f>
        <v>2050</v>
      </c>
      <c r="S9" s="0" t="n">
        <f aca="false">E9*($C9-E$3)</f>
        <v>4350</v>
      </c>
      <c r="T9" s="0" t="n">
        <f aca="false">F9*($C9-F$3)</f>
        <v>2550</v>
      </c>
      <c r="U9" s="0" t="n">
        <f aca="false">G9*($C9-G$3)</f>
        <v>-3450</v>
      </c>
      <c r="V9" s="0" t="n">
        <f aca="false">H9*($C9-H$3)</f>
        <v>2250</v>
      </c>
      <c r="W9" s="0" t="n">
        <f aca="false">I9*($C9-I$3)</f>
        <v>-2850.00000000001</v>
      </c>
      <c r="X9" s="0" t="n">
        <f aca="false">J9*($C9-J$3)</f>
        <v>550.000000000006</v>
      </c>
      <c r="Y9" s="0" t="n">
        <f aca="false">K9*($C9-K$3)</f>
        <v>600.000000000001</v>
      </c>
      <c r="Z9" s="0" t="n">
        <f aca="false">L9*($C9-L$3)</f>
        <v>-1725</v>
      </c>
      <c r="AA9" s="0" t="n">
        <f aca="false">M9*($C9-M$3)</f>
        <v>0</v>
      </c>
      <c r="AB9" s="0" t="n">
        <f aca="false">N9*($C9-N$3)</f>
        <v>0</v>
      </c>
      <c r="AE9" s="0" t="n">
        <f aca="false">SUM(R9:AD9)</f>
        <v>4325</v>
      </c>
    </row>
    <row r="10" customFormat="false" ht="12.75" hidden="false" customHeight="false" outlineLevel="0" collapsed="false">
      <c r="A10" s="51" t="n">
        <v>36592</v>
      </c>
      <c r="B10" s="0" t="n">
        <f aca="false">B$2+B$3</f>
        <v>3.86</v>
      </c>
      <c r="C10" s="48" t="n">
        <f aca="false">GasDaily!AF10</f>
        <v>3.795</v>
      </c>
      <c r="D10" s="30" t="n">
        <v>5000</v>
      </c>
      <c r="E10" s="30" t="n">
        <v>15000</v>
      </c>
      <c r="F10" s="30" t="n">
        <v>10000</v>
      </c>
      <c r="G10" s="30" t="n">
        <v>-15000</v>
      </c>
      <c r="H10" s="30" t="n">
        <v>10000</v>
      </c>
      <c r="I10" s="30" t="n">
        <v>-15000</v>
      </c>
      <c r="J10" s="30" t="n">
        <v>10000</v>
      </c>
      <c r="K10" s="30" t="n">
        <v>15000</v>
      </c>
      <c r="L10" s="30" t="n">
        <v>-15000</v>
      </c>
      <c r="M10" s="30" t="n">
        <v>-10000</v>
      </c>
      <c r="N10" s="30"/>
      <c r="O10" s="30"/>
      <c r="P10" s="17" t="n">
        <f aca="false">SUM(D10:N10)</f>
        <v>10000</v>
      </c>
      <c r="Q10" s="50"/>
      <c r="R10" s="0" t="n">
        <f aca="false">D10*($C10-D$3)</f>
        <v>649.999999999999</v>
      </c>
      <c r="S10" s="0" t="n">
        <f aca="false">E10*($C10-E$3)</f>
        <v>149.999999999997</v>
      </c>
      <c r="T10" s="0" t="n">
        <f aca="false">F10*($C10-F$3)</f>
        <v>-249.999999999999</v>
      </c>
      <c r="U10" s="0" t="n">
        <f aca="false">G10*($C10-G$3)</f>
        <v>750.000000000004</v>
      </c>
      <c r="V10" s="0" t="n">
        <f aca="false">H10*($C10-H$3)</f>
        <v>-550.000000000002</v>
      </c>
      <c r="W10" s="0" t="n">
        <f aca="false">I10*($C10-I$3)</f>
        <v>1350</v>
      </c>
      <c r="X10" s="0" t="n">
        <f aca="false">J10*($C10-J$3)</f>
        <v>-2250</v>
      </c>
      <c r="Y10" s="0" t="n">
        <f aca="false">K10*($C10-K$3)</f>
        <v>-3600</v>
      </c>
      <c r="Z10" s="0" t="n">
        <f aca="false">L10*($C10-L$3)</f>
        <v>2475</v>
      </c>
      <c r="AA10" s="0" t="n">
        <f aca="false">M10*($C10-M$3)</f>
        <v>700.000000000003</v>
      </c>
      <c r="AB10" s="0" t="n">
        <f aca="false">N10*($C10-N$3)</f>
        <v>0</v>
      </c>
      <c r="AE10" s="0" t="n">
        <f aca="false">SUM(R10:AD10)</f>
        <v>-574.999999999999</v>
      </c>
    </row>
    <row r="11" customFormat="false" ht="12.75" hidden="false" customHeight="false" outlineLevel="0" collapsed="false">
      <c r="A11" s="51" t="n">
        <v>36593</v>
      </c>
      <c r="B11" s="0" t="n">
        <f aca="false">B$2+B$3</f>
        <v>3.86</v>
      </c>
      <c r="C11" s="48" t="n">
        <f aca="false">GasDaily!AF11</f>
        <v>3.685</v>
      </c>
      <c r="D11" s="30" t="n">
        <v>5000</v>
      </c>
      <c r="E11" s="30" t="n">
        <v>15000</v>
      </c>
      <c r="F11" s="30" t="n">
        <v>10000</v>
      </c>
      <c r="G11" s="30" t="n">
        <v>-15000</v>
      </c>
      <c r="H11" s="30" t="n">
        <v>10000</v>
      </c>
      <c r="I11" s="30" t="n">
        <v>-15000</v>
      </c>
      <c r="J11" s="30" t="n">
        <v>10000</v>
      </c>
      <c r="K11" s="30" t="n">
        <v>15000</v>
      </c>
      <c r="L11" s="30" t="n">
        <v>-15000</v>
      </c>
      <c r="M11" s="30" t="n">
        <v>-10000</v>
      </c>
      <c r="N11" s="30"/>
      <c r="O11" s="30"/>
      <c r="P11" s="17" t="n">
        <f aca="false">SUM(D11:M11)</f>
        <v>10000</v>
      </c>
      <c r="Q11" s="50"/>
      <c r="R11" s="0" t="n">
        <f aca="false">D11*($C11-D$3)</f>
        <v>100</v>
      </c>
      <c r="S11" s="0" t="n">
        <f aca="false">E11*($C11-E$3)</f>
        <v>-1500</v>
      </c>
      <c r="T11" s="0" t="n">
        <f aca="false">F11*($C11-F$3)</f>
        <v>-1350</v>
      </c>
      <c r="U11" s="0" t="n">
        <f aca="false">G11*($C11-G$3)</f>
        <v>2400</v>
      </c>
      <c r="V11" s="0" t="n">
        <f aca="false">H11*($C11-H$3)</f>
        <v>-1650</v>
      </c>
      <c r="W11" s="0" t="n">
        <f aca="false">I11*($C11-I$3)</f>
        <v>3000</v>
      </c>
      <c r="X11" s="0" t="n">
        <f aca="false">J11*($C11-J$3)</f>
        <v>-3350</v>
      </c>
      <c r="Y11" s="0" t="n">
        <f aca="false">K11*($C11-K$3)</f>
        <v>-5250</v>
      </c>
      <c r="Z11" s="0" t="n">
        <f aca="false">L11*($C11-L$3)</f>
        <v>4125</v>
      </c>
      <c r="AA11" s="0" t="n">
        <f aca="false">M11*($C11-M$3)</f>
        <v>1800</v>
      </c>
      <c r="AB11" s="0" t="n">
        <f aca="false">N11*($C11-N$3)</f>
        <v>0</v>
      </c>
      <c r="AE11" s="0" t="n">
        <f aca="false">SUM(R11:AD11)</f>
        <v>-1675</v>
      </c>
    </row>
    <row r="12" customFormat="false" ht="12.75" hidden="false" customHeight="false" outlineLevel="0" collapsed="false">
      <c r="A12" s="51" t="n">
        <v>36594</v>
      </c>
      <c r="B12" s="0" t="n">
        <f aca="false">B$2+B$3</f>
        <v>3.86</v>
      </c>
      <c r="C12" s="48" t="n">
        <f aca="false">GasDaily!AF12</f>
        <v>3.63</v>
      </c>
      <c r="D12" s="30" t="n">
        <v>5000</v>
      </c>
      <c r="E12" s="30" t="n">
        <v>15000</v>
      </c>
      <c r="F12" s="30" t="n">
        <v>10000</v>
      </c>
      <c r="G12" s="30" t="n">
        <v>-15000</v>
      </c>
      <c r="H12" s="30" t="n">
        <v>10000</v>
      </c>
      <c r="I12" s="30" t="n">
        <v>-15000</v>
      </c>
      <c r="J12" s="30" t="n">
        <v>10000</v>
      </c>
      <c r="K12" s="30" t="n">
        <v>15000</v>
      </c>
      <c r="L12" s="30" t="n">
        <v>-15000</v>
      </c>
      <c r="M12" s="30" t="n">
        <v>-10000</v>
      </c>
      <c r="N12" s="30" t="n">
        <v>15000</v>
      </c>
      <c r="O12" s="30"/>
      <c r="P12" s="17" t="n">
        <f aca="false">SUM(D12:N12)</f>
        <v>25000</v>
      </c>
      <c r="Q12" s="50"/>
      <c r="R12" s="0" t="n">
        <f aca="false">D12*($C12-D$3)</f>
        <v>-175.000000000001</v>
      </c>
      <c r="S12" s="0" t="n">
        <f aca="false">E12*($C12-E$3)</f>
        <v>-2325</v>
      </c>
      <c r="T12" s="0" t="n">
        <f aca="false">F12*($C12-F$3)</f>
        <v>-1900</v>
      </c>
      <c r="U12" s="0" t="n">
        <f aca="false">G12*($C12-G$3)</f>
        <v>3225</v>
      </c>
      <c r="V12" s="0" t="n">
        <f aca="false">H12*($C12-H$3)</f>
        <v>-2200</v>
      </c>
      <c r="W12" s="0" t="n">
        <f aca="false">I12*($C12-I$3)</f>
        <v>3825</v>
      </c>
      <c r="X12" s="0" t="n">
        <f aca="false">J12*($C12-J$3)</f>
        <v>-3900</v>
      </c>
      <c r="Y12" s="0" t="n">
        <f aca="false">K12*($C12-K$3)</f>
        <v>-6075</v>
      </c>
      <c r="Z12" s="0" t="n">
        <f aca="false">L12*($C12-L$3)</f>
        <v>4950</v>
      </c>
      <c r="AA12" s="0" t="n">
        <f aca="false">M12*($C12-M$3)</f>
        <v>2350</v>
      </c>
      <c r="AB12" s="0" t="n">
        <f aca="false">N12*($C12-N$3)</f>
        <v>-74.9999999999984</v>
      </c>
      <c r="AE12" s="0" t="n">
        <f aca="false">SUM(R12:AD12)</f>
        <v>-2300</v>
      </c>
    </row>
    <row r="13" customFormat="false" ht="12.75" hidden="false" customHeight="false" outlineLevel="0" collapsed="false">
      <c r="A13" s="51" t="n">
        <v>36595</v>
      </c>
      <c r="B13" s="0" t="n">
        <f aca="false">B$2+B$3</f>
        <v>3.86</v>
      </c>
      <c r="C13" s="48" t="n">
        <f aca="false">GasDaily!AF13</f>
        <v>3.64</v>
      </c>
      <c r="D13" s="30" t="n">
        <v>5000</v>
      </c>
      <c r="E13" s="30" t="n">
        <v>15000</v>
      </c>
      <c r="F13" s="30" t="n">
        <v>10000</v>
      </c>
      <c r="G13" s="30" t="n">
        <v>-15000</v>
      </c>
      <c r="H13" s="30" t="n">
        <v>10000</v>
      </c>
      <c r="I13" s="30" t="n">
        <v>-15000</v>
      </c>
      <c r="J13" s="30" t="n">
        <v>10000</v>
      </c>
      <c r="K13" s="30" t="n">
        <v>15000</v>
      </c>
      <c r="L13" s="30" t="n">
        <v>-15000</v>
      </c>
      <c r="M13" s="30" t="n">
        <v>-10000</v>
      </c>
      <c r="N13" s="30" t="n">
        <v>15000</v>
      </c>
      <c r="O13" s="30"/>
      <c r="P13" s="17" t="n">
        <f aca="false">SUM(D13:N13)</f>
        <v>25000</v>
      </c>
      <c r="Q13" s="50"/>
      <c r="R13" s="0" t="n">
        <f aca="false">D13*($C13-D$3)</f>
        <v>-125</v>
      </c>
      <c r="S13" s="0" t="n">
        <f aca="false">E13*($C13-E$3)</f>
        <v>-2175</v>
      </c>
      <c r="T13" s="0" t="n">
        <f aca="false">F13*($C13-F$3)</f>
        <v>-1800</v>
      </c>
      <c r="U13" s="0" t="n">
        <f aca="false">G13*($C13-G$3)</f>
        <v>3075</v>
      </c>
      <c r="V13" s="0" t="n">
        <f aca="false">H13*($C13-H$3)</f>
        <v>-2100</v>
      </c>
      <c r="W13" s="0" t="n">
        <f aca="false">I13*($C13-I$3)</f>
        <v>3675</v>
      </c>
      <c r="X13" s="0" t="n">
        <f aca="false">J13*($C13-J$3)</f>
        <v>-3799.99999999999</v>
      </c>
      <c r="Y13" s="0" t="n">
        <f aca="false">K13*($C13-K$3)</f>
        <v>-5925</v>
      </c>
      <c r="Z13" s="0" t="n">
        <f aca="false">L13*($C13-L$3)</f>
        <v>4800</v>
      </c>
      <c r="AA13" s="0" t="n">
        <f aca="false">M13*($C13-M$3)</f>
        <v>2250</v>
      </c>
      <c r="AB13" s="0" t="n">
        <f aca="false">N13*($C13-N$3)</f>
        <v>75.0000000000051</v>
      </c>
      <c r="AE13" s="0" t="n">
        <f aca="false">SUM(R13:AD13)</f>
        <v>-2049.99999999999</v>
      </c>
    </row>
    <row r="14" customFormat="false" ht="12.75" hidden="false" customHeight="false" outlineLevel="0" collapsed="false">
      <c r="A14" s="51" t="n">
        <v>36596</v>
      </c>
      <c r="B14" s="0" t="n">
        <f aca="false">B$2+B$3</f>
        <v>3.86</v>
      </c>
      <c r="C14" s="48" t="n">
        <f aca="false">GasDaily!AF14</f>
        <v>3.64</v>
      </c>
      <c r="D14" s="30" t="n">
        <v>5000</v>
      </c>
      <c r="E14" s="30" t="n">
        <v>15000</v>
      </c>
      <c r="F14" s="30" t="n">
        <v>10000</v>
      </c>
      <c r="G14" s="30" t="n">
        <v>-15000</v>
      </c>
      <c r="H14" s="30" t="n">
        <v>10000</v>
      </c>
      <c r="I14" s="30" t="n">
        <v>-15000</v>
      </c>
      <c r="J14" s="30" t="n">
        <v>10000</v>
      </c>
      <c r="K14" s="30" t="n">
        <v>15000</v>
      </c>
      <c r="L14" s="30" t="n">
        <v>-15000</v>
      </c>
      <c r="M14" s="30" t="n">
        <v>-10000</v>
      </c>
      <c r="N14" s="30" t="n">
        <v>15000</v>
      </c>
      <c r="O14" s="30"/>
      <c r="P14" s="17" t="n">
        <f aca="false">SUM(D14:N14)</f>
        <v>25000</v>
      </c>
      <c r="Q14" s="50"/>
      <c r="R14" s="0" t="n">
        <f aca="false">D14*($C14-D$3)</f>
        <v>-125</v>
      </c>
      <c r="S14" s="0" t="n">
        <f aca="false">E14*($C14-E$3)</f>
        <v>-2175</v>
      </c>
      <c r="T14" s="0" t="n">
        <f aca="false">F14*($C14-F$3)</f>
        <v>-1800</v>
      </c>
      <c r="U14" s="0" t="n">
        <f aca="false">G14*($C14-G$3)</f>
        <v>3075</v>
      </c>
      <c r="V14" s="0" t="n">
        <f aca="false">H14*($C14-H$3)</f>
        <v>-2100</v>
      </c>
      <c r="W14" s="0" t="n">
        <f aca="false">I14*($C14-I$3)</f>
        <v>3675</v>
      </c>
      <c r="X14" s="0" t="n">
        <f aca="false">J14*($C14-J$3)</f>
        <v>-3799.99999999999</v>
      </c>
      <c r="Y14" s="0" t="n">
        <f aca="false">K14*($C14-K$3)</f>
        <v>-5925</v>
      </c>
      <c r="Z14" s="0" t="n">
        <f aca="false">L14*($C14-L$3)</f>
        <v>4800</v>
      </c>
      <c r="AA14" s="0" t="n">
        <f aca="false">M14*($C14-M$3)</f>
        <v>2250</v>
      </c>
      <c r="AB14" s="0" t="n">
        <f aca="false">N14*($C14-N$3)</f>
        <v>75.0000000000051</v>
      </c>
      <c r="AE14" s="0" t="n">
        <f aca="false">SUM(R14:AD14)</f>
        <v>-2049.99999999999</v>
      </c>
    </row>
    <row r="15" customFormat="false" ht="12.75" hidden="false" customHeight="false" outlineLevel="0" collapsed="false">
      <c r="A15" s="51" t="n">
        <v>36597</v>
      </c>
      <c r="B15" s="0" t="n">
        <f aca="false">B$2+B$3</f>
        <v>3.86</v>
      </c>
      <c r="C15" s="48" t="n">
        <f aca="false">GasDaily!AF15</f>
        <v>3.81</v>
      </c>
      <c r="D15" s="30" t="n">
        <v>5000</v>
      </c>
      <c r="E15" s="30" t="n">
        <v>15000</v>
      </c>
      <c r="F15" s="30" t="n">
        <v>10000</v>
      </c>
      <c r="G15" s="30" t="n">
        <v>-15000</v>
      </c>
      <c r="H15" s="30" t="n">
        <v>10000</v>
      </c>
      <c r="I15" s="30" t="n">
        <v>-15000</v>
      </c>
      <c r="J15" s="30" t="n">
        <v>10000</v>
      </c>
      <c r="K15" s="30" t="n">
        <v>15000</v>
      </c>
      <c r="L15" s="30" t="n">
        <v>-15000</v>
      </c>
      <c r="M15" s="30" t="n">
        <v>-10000</v>
      </c>
      <c r="N15" s="30" t="n">
        <v>15000</v>
      </c>
      <c r="O15" s="30"/>
      <c r="P15" s="17" t="n">
        <f aca="false">SUM(D15:N15)</f>
        <v>25000</v>
      </c>
      <c r="Q15" s="50"/>
      <c r="R15" s="0" t="n">
        <f aca="false">D15*($C15-D$3)</f>
        <v>725</v>
      </c>
      <c r="S15" s="0" t="n">
        <f aca="false">E15*($C15-E$3)</f>
        <v>374.999999999999</v>
      </c>
      <c r="T15" s="0" t="n">
        <f aca="false">F15*($C15-F$3)</f>
        <v>-99.9999999999979</v>
      </c>
      <c r="U15" s="0" t="n">
        <f aca="false">G15*($C15-G$3)</f>
        <v>525.000000000002</v>
      </c>
      <c r="V15" s="0" t="n">
        <f aca="false">H15*($C15-H$3)</f>
        <v>-400</v>
      </c>
      <c r="W15" s="0" t="n">
        <f aca="false">I15*($C15-I$3)</f>
        <v>1125</v>
      </c>
      <c r="X15" s="0" t="n">
        <f aca="false">J15*($C15-J$3)</f>
        <v>-2100</v>
      </c>
      <c r="Y15" s="0" t="n">
        <f aca="false">K15*($C15-K$3)</f>
        <v>-3375</v>
      </c>
      <c r="Z15" s="0" t="n">
        <f aca="false">L15*($C15-L$3)</f>
        <v>2250</v>
      </c>
      <c r="AA15" s="0" t="n">
        <f aca="false">M15*($C15-M$3)</f>
        <v>550.000000000002</v>
      </c>
      <c r="AB15" s="0" t="n">
        <f aca="false">N15*($C15-N$3)</f>
        <v>2625</v>
      </c>
      <c r="AE15" s="0" t="n">
        <f aca="false">SUM(R15:AD15)</f>
        <v>2200.00000000001</v>
      </c>
    </row>
    <row r="16" customFormat="false" ht="12.75" hidden="false" customHeight="false" outlineLevel="0" collapsed="false">
      <c r="A16" s="51" t="n">
        <v>36598</v>
      </c>
      <c r="B16" s="0" t="n">
        <f aca="false">B$2+B$3</f>
        <v>3.86</v>
      </c>
      <c r="C16" s="48" t="n">
        <f aca="false">GasDaily!AF16</f>
        <v>3.81</v>
      </c>
      <c r="D16" s="30" t="n">
        <v>5000</v>
      </c>
      <c r="E16" s="30" t="n">
        <v>15000</v>
      </c>
      <c r="F16" s="30" t="n">
        <v>10000</v>
      </c>
      <c r="G16" s="30" t="n">
        <v>-15000</v>
      </c>
      <c r="H16" s="30" t="n">
        <v>10000</v>
      </c>
      <c r="I16" s="30" t="n">
        <v>-15000</v>
      </c>
      <c r="J16" s="30" t="n">
        <v>10000</v>
      </c>
      <c r="K16" s="30" t="n">
        <v>15000</v>
      </c>
      <c r="L16" s="30" t="n">
        <v>-15000</v>
      </c>
      <c r="M16" s="30" t="n">
        <v>-10000</v>
      </c>
      <c r="N16" s="30" t="n">
        <v>15000</v>
      </c>
      <c r="O16" s="30"/>
      <c r="P16" s="17" t="n">
        <f aca="false">SUM(D16:N16)</f>
        <v>25000</v>
      </c>
      <c r="Q16" s="50"/>
      <c r="R16" s="0" t="n">
        <f aca="false">D16*($C16-D$3)</f>
        <v>725</v>
      </c>
      <c r="S16" s="0" t="n">
        <f aca="false">E16*($C16-E$3)</f>
        <v>374.999999999999</v>
      </c>
      <c r="T16" s="0" t="n">
        <f aca="false">F16*($C16-F$3)</f>
        <v>-99.9999999999979</v>
      </c>
      <c r="U16" s="0" t="n">
        <f aca="false">G16*($C16-G$3)</f>
        <v>525.000000000002</v>
      </c>
      <c r="V16" s="0" t="n">
        <f aca="false">H16*($C16-H$3)</f>
        <v>-400</v>
      </c>
      <c r="W16" s="0" t="n">
        <f aca="false">I16*($C16-I$3)</f>
        <v>1125</v>
      </c>
      <c r="X16" s="0" t="n">
        <f aca="false">J16*($C16-J$3)</f>
        <v>-2100</v>
      </c>
      <c r="Y16" s="0" t="n">
        <f aca="false">K16*($C16-K$3)</f>
        <v>-3375</v>
      </c>
      <c r="Z16" s="0" t="n">
        <f aca="false">L16*($C16-L$3)</f>
        <v>2250</v>
      </c>
      <c r="AA16" s="0" t="n">
        <f aca="false">M16*($C16-M$3)</f>
        <v>550.000000000002</v>
      </c>
      <c r="AB16" s="0" t="n">
        <f aca="false">N16*($C16-N$3)</f>
        <v>2625</v>
      </c>
      <c r="AE16" s="0" t="n">
        <f aca="false">SUM(R16:AD16)</f>
        <v>2200.00000000001</v>
      </c>
    </row>
    <row r="17" customFormat="false" ht="12.75" hidden="false" customHeight="false" outlineLevel="0" collapsed="false">
      <c r="A17" s="51" t="n">
        <v>36599</v>
      </c>
      <c r="B17" s="0" t="n">
        <f aca="false">B$2+B$3</f>
        <v>3.86</v>
      </c>
      <c r="C17" s="48" t="n">
        <f aca="false">GasDaily!AF17</f>
        <v>3.81</v>
      </c>
      <c r="D17" s="30" t="n">
        <v>5000</v>
      </c>
      <c r="E17" s="30" t="n">
        <v>15000</v>
      </c>
      <c r="F17" s="30" t="n">
        <v>10000</v>
      </c>
      <c r="G17" s="30" t="n">
        <v>-15000</v>
      </c>
      <c r="H17" s="30" t="n">
        <v>10000</v>
      </c>
      <c r="I17" s="30" t="n">
        <v>-15000</v>
      </c>
      <c r="J17" s="30" t="n">
        <v>10000</v>
      </c>
      <c r="K17" s="30" t="n">
        <v>15000</v>
      </c>
      <c r="L17" s="30" t="n">
        <v>-15000</v>
      </c>
      <c r="M17" s="30" t="n">
        <v>-10000</v>
      </c>
      <c r="N17" s="30" t="n">
        <v>15000</v>
      </c>
      <c r="O17" s="30"/>
      <c r="P17" s="17" t="n">
        <f aca="false">SUM(D17:N17)</f>
        <v>25000</v>
      </c>
      <c r="Q17" s="50"/>
      <c r="R17" s="0" t="n">
        <f aca="false">D17*($C17-D$3)</f>
        <v>725</v>
      </c>
      <c r="S17" s="0" t="n">
        <f aca="false">E17*($C17-E$3)</f>
        <v>374.999999999999</v>
      </c>
      <c r="T17" s="0" t="n">
        <f aca="false">F17*($C17-F$3)</f>
        <v>-99.9999999999979</v>
      </c>
      <c r="U17" s="0" t="n">
        <f aca="false">G17*($C17-G$3)</f>
        <v>525.000000000002</v>
      </c>
      <c r="V17" s="0" t="n">
        <f aca="false">H17*($C17-H$3)</f>
        <v>-400</v>
      </c>
      <c r="W17" s="0" t="n">
        <f aca="false">I17*($C17-I$3)</f>
        <v>1125</v>
      </c>
      <c r="X17" s="0" t="n">
        <f aca="false">J17*($C17-J$3)</f>
        <v>-2100</v>
      </c>
      <c r="Y17" s="0" t="n">
        <f aca="false">K17*($C17-K$3)</f>
        <v>-3375</v>
      </c>
      <c r="Z17" s="0" t="n">
        <f aca="false">L17*($C17-L$3)</f>
        <v>2250</v>
      </c>
      <c r="AA17" s="0" t="n">
        <f aca="false">M17*($C17-M$3)</f>
        <v>550.000000000002</v>
      </c>
      <c r="AB17" s="0" t="n">
        <f aca="false">N17*($C17-N$3)</f>
        <v>2625</v>
      </c>
      <c r="AE17" s="0" t="n">
        <f aca="false">SUM(R17:AD17)</f>
        <v>2200.00000000001</v>
      </c>
    </row>
    <row r="18" customFormat="false" ht="12.75" hidden="false" customHeight="false" outlineLevel="0" collapsed="false">
      <c r="A18" s="51" t="n">
        <v>36600</v>
      </c>
      <c r="B18" s="0" t="n">
        <f aca="false">B$2+B$3</f>
        <v>3.86</v>
      </c>
      <c r="C18" s="48" t="n">
        <f aca="false">GasDaily!AF18</f>
        <v>3.81</v>
      </c>
      <c r="D18" s="30" t="n">
        <v>5000</v>
      </c>
      <c r="E18" s="30" t="n">
        <v>15000</v>
      </c>
      <c r="F18" s="30" t="n">
        <v>10000</v>
      </c>
      <c r="G18" s="30" t="n">
        <v>-15000</v>
      </c>
      <c r="H18" s="30" t="n">
        <v>10000</v>
      </c>
      <c r="I18" s="30" t="n">
        <v>-15000</v>
      </c>
      <c r="J18" s="30" t="n">
        <v>10000</v>
      </c>
      <c r="K18" s="30" t="n">
        <v>15000</v>
      </c>
      <c r="L18" s="30" t="n">
        <v>-15000</v>
      </c>
      <c r="M18" s="30" t="n">
        <v>-10000</v>
      </c>
      <c r="N18" s="30" t="n">
        <v>15000</v>
      </c>
      <c r="O18" s="30"/>
      <c r="P18" s="17" t="n">
        <f aca="false">SUM(D18:N18)</f>
        <v>25000</v>
      </c>
      <c r="Q18" s="50"/>
      <c r="R18" s="0" t="n">
        <f aca="false">D18*($C18-D$3)</f>
        <v>725</v>
      </c>
      <c r="S18" s="0" t="n">
        <f aca="false">E18*($C18-E$3)</f>
        <v>374.999999999999</v>
      </c>
      <c r="T18" s="0" t="n">
        <f aca="false">F18*($C18-F$3)</f>
        <v>-99.9999999999979</v>
      </c>
      <c r="U18" s="0" t="n">
        <f aca="false">G18*($C18-G$3)</f>
        <v>525.000000000002</v>
      </c>
      <c r="V18" s="0" t="n">
        <f aca="false">H18*($C18-H$3)</f>
        <v>-400</v>
      </c>
      <c r="W18" s="0" t="n">
        <f aca="false">I18*($C18-I$3)</f>
        <v>1125</v>
      </c>
      <c r="X18" s="0" t="n">
        <f aca="false">J18*($C18-J$3)</f>
        <v>-2100</v>
      </c>
      <c r="Y18" s="0" t="n">
        <f aca="false">K18*($C18-K$3)</f>
        <v>-3375</v>
      </c>
      <c r="Z18" s="0" t="n">
        <f aca="false">L18*($C18-L$3)</f>
        <v>2250</v>
      </c>
      <c r="AA18" s="0" t="n">
        <f aca="false">M18*($C18-M$3)</f>
        <v>550.000000000002</v>
      </c>
      <c r="AB18" s="0" t="n">
        <f aca="false">N18*($C18-N$3)</f>
        <v>2625</v>
      </c>
      <c r="AE18" s="0" t="n">
        <f aca="false">SUM(R18:AD18)</f>
        <v>2200.00000000001</v>
      </c>
    </row>
    <row r="19" customFormat="false" ht="12.75" hidden="false" customHeight="false" outlineLevel="0" collapsed="false">
      <c r="A19" s="51" t="n">
        <v>36601</v>
      </c>
      <c r="B19" s="0" t="n">
        <f aca="false">B$2+B$3</f>
        <v>3.86</v>
      </c>
      <c r="C19" s="48" t="n">
        <f aca="false">GasDaily!AF19</f>
        <v>3.81</v>
      </c>
      <c r="D19" s="30" t="n">
        <v>5000</v>
      </c>
      <c r="E19" s="30" t="n">
        <v>15000</v>
      </c>
      <c r="F19" s="30" t="n">
        <v>10000</v>
      </c>
      <c r="G19" s="30" t="n">
        <v>-15000</v>
      </c>
      <c r="H19" s="30" t="n">
        <v>10000</v>
      </c>
      <c r="I19" s="30" t="n">
        <v>-15000</v>
      </c>
      <c r="J19" s="30" t="n">
        <v>10000</v>
      </c>
      <c r="K19" s="30" t="n">
        <v>15000</v>
      </c>
      <c r="L19" s="30" t="n">
        <v>-15000</v>
      </c>
      <c r="M19" s="30" t="n">
        <v>-10000</v>
      </c>
      <c r="N19" s="30" t="n">
        <v>15000</v>
      </c>
      <c r="O19" s="30"/>
      <c r="P19" s="17" t="n">
        <f aca="false">SUM(D19:N19)</f>
        <v>25000</v>
      </c>
      <c r="Q19" s="50"/>
      <c r="R19" s="0" t="n">
        <f aca="false">D19*($C19-D$3)</f>
        <v>725</v>
      </c>
      <c r="S19" s="0" t="n">
        <f aca="false">E19*($C19-E$3)</f>
        <v>374.999999999999</v>
      </c>
      <c r="T19" s="0" t="n">
        <f aca="false">F19*($C19-F$3)</f>
        <v>-99.9999999999979</v>
      </c>
      <c r="U19" s="0" t="n">
        <f aca="false">G19*($C19-G$3)</f>
        <v>525.000000000002</v>
      </c>
      <c r="V19" s="0" t="n">
        <f aca="false">H19*($C19-H$3)</f>
        <v>-400</v>
      </c>
      <c r="W19" s="0" t="n">
        <f aca="false">I19*($C19-I$3)</f>
        <v>1125</v>
      </c>
      <c r="X19" s="0" t="n">
        <f aca="false">J19*($C19-J$3)</f>
        <v>-2100</v>
      </c>
      <c r="Y19" s="0" t="n">
        <f aca="false">K19*($C19-K$3)</f>
        <v>-3375</v>
      </c>
      <c r="Z19" s="0" t="n">
        <f aca="false">L19*($C19-L$3)</f>
        <v>2250</v>
      </c>
      <c r="AA19" s="0" t="n">
        <f aca="false">M19*($C19-M$3)</f>
        <v>550.000000000002</v>
      </c>
      <c r="AB19" s="0" t="n">
        <f aca="false">N19*($C19-N$3)</f>
        <v>2625</v>
      </c>
      <c r="AE19" s="0" t="n">
        <f aca="false">SUM(R19:AD19)</f>
        <v>2200.00000000001</v>
      </c>
    </row>
    <row r="20" customFormat="false" ht="12.75" hidden="false" customHeight="false" outlineLevel="0" collapsed="false">
      <c r="A20" s="51" t="n">
        <v>36602</v>
      </c>
      <c r="B20" s="0" t="n">
        <f aca="false">B$2+B$3</f>
        <v>3.86</v>
      </c>
      <c r="C20" s="48" t="n">
        <f aca="false">GasDaily!AF20</f>
        <v>3.81</v>
      </c>
      <c r="D20" s="30" t="n">
        <v>5000</v>
      </c>
      <c r="E20" s="30" t="n">
        <v>15000</v>
      </c>
      <c r="F20" s="30" t="n">
        <v>10000</v>
      </c>
      <c r="G20" s="30" t="n">
        <v>-15000</v>
      </c>
      <c r="H20" s="30" t="n">
        <v>10000</v>
      </c>
      <c r="I20" s="30" t="n">
        <v>-15000</v>
      </c>
      <c r="J20" s="30" t="n">
        <v>10000</v>
      </c>
      <c r="K20" s="30" t="n">
        <v>15000</v>
      </c>
      <c r="L20" s="30" t="n">
        <v>-15000</v>
      </c>
      <c r="M20" s="30" t="n">
        <v>-10000</v>
      </c>
      <c r="N20" s="30" t="n">
        <v>15000</v>
      </c>
      <c r="O20" s="30"/>
      <c r="P20" s="17" t="n">
        <f aca="false">SUM(D20:N20)</f>
        <v>25000</v>
      </c>
      <c r="Q20" s="50"/>
      <c r="R20" s="0" t="n">
        <f aca="false">D20*($C20-D$3)</f>
        <v>725</v>
      </c>
      <c r="S20" s="0" t="n">
        <f aca="false">E20*($C20-E$3)</f>
        <v>374.999999999999</v>
      </c>
      <c r="T20" s="0" t="n">
        <f aca="false">F20*($C20-F$3)</f>
        <v>-99.9999999999979</v>
      </c>
      <c r="U20" s="0" t="n">
        <f aca="false">G20*($C20-G$3)</f>
        <v>525.000000000002</v>
      </c>
      <c r="V20" s="0" t="n">
        <f aca="false">H20*($C20-H$3)</f>
        <v>-400</v>
      </c>
      <c r="W20" s="0" t="n">
        <f aca="false">I20*($C20-I$3)</f>
        <v>1125</v>
      </c>
      <c r="X20" s="0" t="n">
        <f aca="false">J20*($C20-J$3)</f>
        <v>-2100</v>
      </c>
      <c r="Y20" s="0" t="n">
        <f aca="false">K20*($C20-K$3)</f>
        <v>-3375</v>
      </c>
      <c r="Z20" s="0" t="n">
        <f aca="false">L20*($C20-L$3)</f>
        <v>2250</v>
      </c>
      <c r="AA20" s="0" t="n">
        <f aca="false">M20*($C20-M$3)</f>
        <v>550.000000000002</v>
      </c>
      <c r="AB20" s="0" t="n">
        <f aca="false">N20*($C20-N$3)</f>
        <v>2625</v>
      </c>
      <c r="AE20" s="0" t="n">
        <f aca="false">SUM(R20:AD20)</f>
        <v>2200.00000000001</v>
      </c>
    </row>
    <row r="21" customFormat="false" ht="12.75" hidden="false" customHeight="false" outlineLevel="0" collapsed="false">
      <c r="A21" s="51" t="n">
        <v>36603</v>
      </c>
      <c r="B21" s="0" t="n">
        <f aca="false">B$2+B$3</f>
        <v>3.86</v>
      </c>
      <c r="C21" s="48" t="n">
        <f aca="false">GasDaily!AF21</f>
        <v>3.81</v>
      </c>
      <c r="D21" s="30" t="n">
        <v>5000</v>
      </c>
      <c r="E21" s="30" t="n">
        <v>15000</v>
      </c>
      <c r="F21" s="30" t="n">
        <v>10000</v>
      </c>
      <c r="G21" s="30" t="n">
        <v>-15000</v>
      </c>
      <c r="H21" s="30" t="n">
        <v>10000</v>
      </c>
      <c r="I21" s="30" t="n">
        <v>-15000</v>
      </c>
      <c r="J21" s="30" t="n">
        <v>10000</v>
      </c>
      <c r="K21" s="30" t="n">
        <v>15000</v>
      </c>
      <c r="L21" s="30" t="n">
        <v>-15000</v>
      </c>
      <c r="M21" s="30" t="n">
        <v>-10000</v>
      </c>
      <c r="N21" s="30" t="n">
        <v>15000</v>
      </c>
      <c r="O21" s="30"/>
      <c r="P21" s="17" t="n">
        <f aca="false">SUM(D21:N21)</f>
        <v>25000</v>
      </c>
      <c r="Q21" s="50"/>
      <c r="R21" s="0" t="n">
        <f aca="false">D21*($C21-D$3)</f>
        <v>725</v>
      </c>
      <c r="S21" s="0" t="n">
        <f aca="false">E21*($C21-E$3)</f>
        <v>374.999999999999</v>
      </c>
      <c r="T21" s="0" t="n">
        <f aca="false">F21*($C21-F$3)</f>
        <v>-99.9999999999979</v>
      </c>
      <c r="U21" s="0" t="n">
        <f aca="false">G21*($C21-G$3)</f>
        <v>525.000000000002</v>
      </c>
      <c r="V21" s="0" t="n">
        <f aca="false">H21*($C21-H$3)</f>
        <v>-400</v>
      </c>
      <c r="W21" s="0" t="n">
        <f aca="false">I21*($C21-I$3)</f>
        <v>1125</v>
      </c>
      <c r="X21" s="0" t="n">
        <f aca="false">J21*($C21-J$3)</f>
        <v>-2100</v>
      </c>
      <c r="Y21" s="0" t="n">
        <f aca="false">K21*($C21-K$3)</f>
        <v>-3375</v>
      </c>
      <c r="Z21" s="0" t="n">
        <f aca="false">L21*($C21-L$3)</f>
        <v>2250</v>
      </c>
      <c r="AA21" s="0" t="n">
        <f aca="false">M21*($C21-M$3)</f>
        <v>550.000000000002</v>
      </c>
      <c r="AB21" s="0" t="n">
        <f aca="false">N21*($C21-N$3)</f>
        <v>2625</v>
      </c>
      <c r="AE21" s="0" t="n">
        <f aca="false">SUM(R21:AD21)</f>
        <v>2200.00000000001</v>
      </c>
    </row>
    <row r="22" customFormat="false" ht="12.75" hidden="false" customHeight="false" outlineLevel="0" collapsed="false">
      <c r="A22" s="51" t="n">
        <v>36604</v>
      </c>
      <c r="B22" s="0" t="n">
        <f aca="false">B$2+B$3</f>
        <v>3.86</v>
      </c>
      <c r="C22" s="48" t="n">
        <f aca="false">GasDaily!AF22</f>
        <v>3.81</v>
      </c>
      <c r="D22" s="30" t="n">
        <v>5000</v>
      </c>
      <c r="E22" s="30" t="n">
        <v>15000</v>
      </c>
      <c r="F22" s="30" t="n">
        <v>10000</v>
      </c>
      <c r="G22" s="30" t="n">
        <v>-15000</v>
      </c>
      <c r="H22" s="30" t="n">
        <v>10000</v>
      </c>
      <c r="I22" s="30" t="n">
        <v>-15000</v>
      </c>
      <c r="J22" s="30" t="n">
        <v>10000</v>
      </c>
      <c r="K22" s="30" t="n">
        <v>15000</v>
      </c>
      <c r="L22" s="30" t="n">
        <v>-15000</v>
      </c>
      <c r="M22" s="30" t="n">
        <v>-10000</v>
      </c>
      <c r="N22" s="30" t="n">
        <v>15000</v>
      </c>
      <c r="O22" s="30"/>
      <c r="P22" s="17" t="n">
        <f aca="false">SUM(D22:N22)</f>
        <v>25000</v>
      </c>
      <c r="Q22" s="50"/>
      <c r="R22" s="0" t="n">
        <f aca="false">D22*($C22-D$3)</f>
        <v>725</v>
      </c>
      <c r="S22" s="0" t="n">
        <f aca="false">E22*($C22-E$3)</f>
        <v>374.999999999999</v>
      </c>
      <c r="T22" s="0" t="n">
        <f aca="false">F22*($C22-F$3)</f>
        <v>-99.9999999999979</v>
      </c>
      <c r="U22" s="0" t="n">
        <f aca="false">G22*($C22-G$3)</f>
        <v>525.000000000002</v>
      </c>
      <c r="V22" s="0" t="n">
        <f aca="false">H22*($C22-H$3)</f>
        <v>-400</v>
      </c>
      <c r="W22" s="0" t="n">
        <f aca="false">I22*($C22-I$3)</f>
        <v>1125</v>
      </c>
      <c r="X22" s="0" t="n">
        <f aca="false">J22*($C22-J$3)</f>
        <v>-2100</v>
      </c>
      <c r="Y22" s="0" t="n">
        <f aca="false">K22*($C22-K$3)</f>
        <v>-3375</v>
      </c>
      <c r="Z22" s="0" t="n">
        <f aca="false">L22*($C22-L$3)</f>
        <v>2250</v>
      </c>
      <c r="AA22" s="0" t="n">
        <f aca="false">M22*($C22-M$3)</f>
        <v>550.000000000002</v>
      </c>
      <c r="AB22" s="0" t="n">
        <f aca="false">N22*($C22-N$3)</f>
        <v>2625</v>
      </c>
      <c r="AE22" s="0" t="n">
        <f aca="false">SUM(R22:AD22)</f>
        <v>2200.00000000001</v>
      </c>
    </row>
    <row r="23" customFormat="false" ht="12.75" hidden="false" customHeight="false" outlineLevel="0" collapsed="false">
      <c r="A23" s="51" t="n">
        <v>36605</v>
      </c>
      <c r="B23" s="0" t="n">
        <f aca="false">B$2+B$3</f>
        <v>3.86</v>
      </c>
      <c r="C23" s="48" t="n">
        <f aca="false">GasDaily!AF23</f>
        <v>3.81</v>
      </c>
      <c r="D23" s="30" t="n">
        <v>5000</v>
      </c>
      <c r="E23" s="30" t="n">
        <v>15000</v>
      </c>
      <c r="F23" s="30" t="n">
        <v>10000</v>
      </c>
      <c r="G23" s="30" t="n">
        <v>-15000</v>
      </c>
      <c r="H23" s="30" t="n">
        <v>10000</v>
      </c>
      <c r="I23" s="30" t="n">
        <v>-15000</v>
      </c>
      <c r="J23" s="30" t="n">
        <v>10000</v>
      </c>
      <c r="K23" s="30" t="n">
        <v>15000</v>
      </c>
      <c r="L23" s="30" t="n">
        <v>-15000</v>
      </c>
      <c r="M23" s="30" t="n">
        <v>-10000</v>
      </c>
      <c r="N23" s="30" t="n">
        <v>15000</v>
      </c>
      <c r="O23" s="30"/>
      <c r="P23" s="17" t="n">
        <f aca="false">SUM(D23:N23)</f>
        <v>25000</v>
      </c>
      <c r="Q23" s="50"/>
      <c r="R23" s="0" t="n">
        <f aca="false">D23*($C23-D$3)</f>
        <v>725</v>
      </c>
      <c r="S23" s="0" t="n">
        <f aca="false">E23*($C23-E$3)</f>
        <v>374.999999999999</v>
      </c>
      <c r="T23" s="0" t="n">
        <f aca="false">F23*($C23-F$3)</f>
        <v>-99.9999999999979</v>
      </c>
      <c r="U23" s="0" t="n">
        <f aca="false">G23*($C23-G$3)</f>
        <v>525.000000000002</v>
      </c>
      <c r="V23" s="0" t="n">
        <f aca="false">H23*($C23-H$3)</f>
        <v>-400</v>
      </c>
      <c r="W23" s="0" t="n">
        <f aca="false">I23*($C23-I$3)</f>
        <v>1125</v>
      </c>
      <c r="X23" s="0" t="n">
        <f aca="false">J23*($C23-J$3)</f>
        <v>-2100</v>
      </c>
      <c r="Y23" s="0" t="n">
        <f aca="false">K23*($C23-K$3)</f>
        <v>-3375</v>
      </c>
      <c r="Z23" s="0" t="n">
        <f aca="false">L23*($C23-L$3)</f>
        <v>2250</v>
      </c>
      <c r="AA23" s="0" t="n">
        <f aca="false">M23*($C23-M$3)</f>
        <v>550.000000000002</v>
      </c>
      <c r="AB23" s="0" t="n">
        <f aca="false">N23*($C23-N$3)</f>
        <v>2625</v>
      </c>
      <c r="AE23" s="0" t="n">
        <f aca="false">SUM(R23:AD23)</f>
        <v>2200.00000000001</v>
      </c>
    </row>
    <row r="24" customFormat="false" ht="12.75" hidden="false" customHeight="false" outlineLevel="0" collapsed="false">
      <c r="A24" s="51" t="n">
        <v>36606</v>
      </c>
      <c r="B24" s="0" t="n">
        <f aca="false">B$2+B$3</f>
        <v>3.86</v>
      </c>
      <c r="C24" s="48" t="n">
        <f aca="false">GasDaily!AF24</f>
        <v>3.81</v>
      </c>
      <c r="D24" s="30" t="n">
        <v>5000</v>
      </c>
      <c r="E24" s="30" t="n">
        <v>15000</v>
      </c>
      <c r="F24" s="30" t="n">
        <v>10000</v>
      </c>
      <c r="G24" s="30" t="n">
        <v>-15000</v>
      </c>
      <c r="H24" s="30" t="n">
        <v>10000</v>
      </c>
      <c r="I24" s="30" t="n">
        <v>-15000</v>
      </c>
      <c r="J24" s="30" t="n">
        <v>10000</v>
      </c>
      <c r="K24" s="30" t="n">
        <v>15000</v>
      </c>
      <c r="L24" s="30" t="n">
        <v>-15000</v>
      </c>
      <c r="M24" s="30" t="n">
        <v>-10000</v>
      </c>
      <c r="N24" s="30" t="n">
        <v>15000</v>
      </c>
      <c r="O24" s="30"/>
      <c r="P24" s="17" t="n">
        <f aca="false">SUM(D24:N24)</f>
        <v>25000</v>
      </c>
      <c r="Q24" s="50"/>
      <c r="R24" s="0" t="n">
        <f aca="false">D24*($C24-D$3)</f>
        <v>725</v>
      </c>
      <c r="S24" s="0" t="n">
        <f aca="false">E24*($C24-E$3)</f>
        <v>374.999999999999</v>
      </c>
      <c r="T24" s="0" t="n">
        <f aca="false">F24*($C24-F$3)</f>
        <v>-99.9999999999979</v>
      </c>
      <c r="U24" s="0" t="n">
        <f aca="false">G24*($C24-G$3)</f>
        <v>525.000000000002</v>
      </c>
      <c r="V24" s="0" t="n">
        <f aca="false">H24*($C24-H$3)</f>
        <v>-400</v>
      </c>
      <c r="W24" s="0" t="n">
        <f aca="false">I24*($C24-I$3)</f>
        <v>1125</v>
      </c>
      <c r="X24" s="0" t="n">
        <f aca="false">J24*($C24-J$3)</f>
        <v>-2100</v>
      </c>
      <c r="Y24" s="0" t="n">
        <f aca="false">K24*($C24-K$3)</f>
        <v>-3375</v>
      </c>
      <c r="Z24" s="0" t="n">
        <f aca="false">L24*($C24-L$3)</f>
        <v>2250</v>
      </c>
      <c r="AA24" s="0" t="n">
        <f aca="false">M24*($C24-M$3)</f>
        <v>550.000000000002</v>
      </c>
      <c r="AB24" s="0" t="n">
        <f aca="false">N24*($C24-N$3)</f>
        <v>2625</v>
      </c>
      <c r="AE24" s="0" t="n">
        <f aca="false">SUM(R24:AD24)</f>
        <v>2200.00000000001</v>
      </c>
    </row>
    <row r="25" customFormat="false" ht="12.75" hidden="false" customHeight="false" outlineLevel="0" collapsed="false">
      <c r="A25" s="51" t="n">
        <v>36607</v>
      </c>
      <c r="B25" s="0" t="n">
        <f aca="false">B$2+B$3</f>
        <v>3.86</v>
      </c>
      <c r="C25" s="48" t="n">
        <f aca="false">GasDaily!AF25</f>
        <v>3.81</v>
      </c>
      <c r="D25" s="30" t="n">
        <v>5000</v>
      </c>
      <c r="E25" s="30" t="n">
        <v>15000</v>
      </c>
      <c r="F25" s="30" t="n">
        <v>10000</v>
      </c>
      <c r="G25" s="30" t="n">
        <v>-15000</v>
      </c>
      <c r="H25" s="30" t="n">
        <v>10000</v>
      </c>
      <c r="I25" s="30" t="n">
        <v>-15000</v>
      </c>
      <c r="J25" s="30" t="n">
        <v>10000</v>
      </c>
      <c r="K25" s="30" t="n">
        <v>15000</v>
      </c>
      <c r="L25" s="30" t="n">
        <v>-15000</v>
      </c>
      <c r="M25" s="30" t="n">
        <v>-10000</v>
      </c>
      <c r="N25" s="30" t="n">
        <v>15000</v>
      </c>
      <c r="O25" s="30"/>
      <c r="P25" s="17" t="n">
        <f aca="false">SUM(D25:N25)</f>
        <v>25000</v>
      </c>
      <c r="Q25" s="50"/>
      <c r="R25" s="0" t="n">
        <f aca="false">D25*($C25-D$3)</f>
        <v>725</v>
      </c>
      <c r="S25" s="0" t="n">
        <f aca="false">E25*($C25-E$3)</f>
        <v>374.999999999999</v>
      </c>
      <c r="T25" s="0" t="n">
        <f aca="false">F25*($C25-F$3)</f>
        <v>-99.9999999999979</v>
      </c>
      <c r="U25" s="0" t="n">
        <f aca="false">G25*($C25-G$3)</f>
        <v>525.000000000002</v>
      </c>
      <c r="V25" s="0" t="n">
        <f aca="false">H25*($C25-H$3)</f>
        <v>-400</v>
      </c>
      <c r="W25" s="0" t="n">
        <f aca="false">I25*($C25-I$3)</f>
        <v>1125</v>
      </c>
      <c r="X25" s="0" t="n">
        <f aca="false">J25*($C25-J$3)</f>
        <v>-2100</v>
      </c>
      <c r="Y25" s="0" t="n">
        <f aca="false">K25*($C25-K$3)</f>
        <v>-3375</v>
      </c>
      <c r="Z25" s="0" t="n">
        <f aca="false">L25*($C25-L$3)</f>
        <v>2250</v>
      </c>
      <c r="AA25" s="0" t="n">
        <f aca="false">M25*($C25-M$3)</f>
        <v>550.000000000002</v>
      </c>
      <c r="AB25" s="0" t="n">
        <f aca="false">N25*($C25-N$3)</f>
        <v>2625</v>
      </c>
      <c r="AE25" s="0" t="n">
        <f aca="false">SUM(R25:AD25)</f>
        <v>2200.00000000001</v>
      </c>
    </row>
    <row r="26" customFormat="false" ht="12.75" hidden="false" customHeight="false" outlineLevel="0" collapsed="false">
      <c r="A26" s="51" t="n">
        <v>36608</v>
      </c>
      <c r="B26" s="0" t="n">
        <f aca="false">B$2+B$3</f>
        <v>3.86</v>
      </c>
      <c r="C26" s="48" t="n">
        <f aca="false">GasDaily!AF26</f>
        <v>3.81</v>
      </c>
      <c r="D26" s="30" t="n">
        <v>5000</v>
      </c>
      <c r="E26" s="30" t="n">
        <v>15000</v>
      </c>
      <c r="F26" s="30" t="n">
        <v>10000</v>
      </c>
      <c r="G26" s="30" t="n">
        <v>-15000</v>
      </c>
      <c r="H26" s="30" t="n">
        <v>10000</v>
      </c>
      <c r="I26" s="30" t="n">
        <v>-15000</v>
      </c>
      <c r="J26" s="30" t="n">
        <v>10000</v>
      </c>
      <c r="K26" s="30" t="n">
        <v>15000</v>
      </c>
      <c r="L26" s="30" t="n">
        <v>-15000</v>
      </c>
      <c r="M26" s="30" t="n">
        <v>-10000</v>
      </c>
      <c r="N26" s="30" t="n">
        <v>15000</v>
      </c>
      <c r="O26" s="30"/>
      <c r="P26" s="17" t="n">
        <f aca="false">SUM(D26:N26)</f>
        <v>25000</v>
      </c>
      <c r="Q26" s="50"/>
      <c r="R26" s="0" t="n">
        <f aca="false">D26*($C26-D$3)</f>
        <v>725</v>
      </c>
      <c r="S26" s="0" t="n">
        <f aca="false">E26*($C26-E$3)</f>
        <v>374.999999999999</v>
      </c>
      <c r="T26" s="0" t="n">
        <f aca="false">F26*($C26-F$3)</f>
        <v>-99.9999999999979</v>
      </c>
      <c r="U26" s="0" t="n">
        <f aca="false">G26*($C26-G$3)</f>
        <v>525.000000000002</v>
      </c>
      <c r="V26" s="0" t="n">
        <f aca="false">H26*($C26-H$3)</f>
        <v>-400</v>
      </c>
      <c r="W26" s="0" t="n">
        <f aca="false">I26*($C26-I$3)</f>
        <v>1125</v>
      </c>
      <c r="X26" s="0" t="n">
        <f aca="false">J26*($C26-J$3)</f>
        <v>-2100</v>
      </c>
      <c r="Y26" s="0" t="n">
        <f aca="false">K26*($C26-K$3)</f>
        <v>-3375</v>
      </c>
      <c r="Z26" s="0" t="n">
        <f aca="false">L26*($C26-L$3)</f>
        <v>2250</v>
      </c>
      <c r="AA26" s="0" t="n">
        <f aca="false">M26*($C26-M$3)</f>
        <v>550.000000000002</v>
      </c>
      <c r="AB26" s="0" t="n">
        <f aca="false">N26*($C26-N$3)</f>
        <v>2625</v>
      </c>
      <c r="AE26" s="0" t="n">
        <f aca="false">SUM(R26:AD26)</f>
        <v>2200.00000000001</v>
      </c>
    </row>
    <row r="27" customFormat="false" ht="12.75" hidden="false" customHeight="false" outlineLevel="0" collapsed="false">
      <c r="A27" s="51" t="n">
        <v>36609</v>
      </c>
      <c r="B27" s="0" t="n">
        <f aca="false">B$2+B$3</f>
        <v>3.86</v>
      </c>
      <c r="C27" s="48" t="n">
        <f aca="false">GasDaily!AF27</f>
        <v>3.81</v>
      </c>
      <c r="D27" s="30" t="n">
        <v>5000</v>
      </c>
      <c r="E27" s="30" t="n">
        <v>15000</v>
      </c>
      <c r="F27" s="30" t="n">
        <v>10000</v>
      </c>
      <c r="G27" s="30" t="n">
        <v>-15000</v>
      </c>
      <c r="H27" s="30" t="n">
        <v>10000</v>
      </c>
      <c r="I27" s="30" t="n">
        <v>-15000</v>
      </c>
      <c r="J27" s="30" t="n">
        <v>10000</v>
      </c>
      <c r="K27" s="30" t="n">
        <v>15000</v>
      </c>
      <c r="L27" s="30" t="n">
        <v>-15000</v>
      </c>
      <c r="M27" s="30" t="n">
        <v>-10000</v>
      </c>
      <c r="N27" s="30" t="n">
        <v>15000</v>
      </c>
      <c r="O27" s="30"/>
      <c r="P27" s="17" t="n">
        <f aca="false">SUM(D27:N27)</f>
        <v>25000</v>
      </c>
      <c r="Q27" s="50"/>
      <c r="R27" s="0" t="n">
        <f aca="false">D27*($C27-D$3)</f>
        <v>725</v>
      </c>
      <c r="S27" s="0" t="n">
        <f aca="false">E27*($C27-E$3)</f>
        <v>374.999999999999</v>
      </c>
      <c r="T27" s="0" t="n">
        <f aca="false">F27*($C27-F$3)</f>
        <v>-99.9999999999979</v>
      </c>
      <c r="U27" s="0" t="n">
        <f aca="false">G27*($C27-G$3)</f>
        <v>525.000000000002</v>
      </c>
      <c r="V27" s="0" t="n">
        <f aca="false">H27*($C27-H$3)</f>
        <v>-400</v>
      </c>
      <c r="W27" s="0" t="n">
        <f aca="false">I27*($C27-I$3)</f>
        <v>1125</v>
      </c>
      <c r="X27" s="0" t="n">
        <f aca="false">J27*($C27-J$3)</f>
        <v>-2100</v>
      </c>
      <c r="Y27" s="0" t="n">
        <f aca="false">K27*($C27-K$3)</f>
        <v>-3375</v>
      </c>
      <c r="Z27" s="0" t="n">
        <f aca="false">L27*($C27-L$3)</f>
        <v>2250</v>
      </c>
      <c r="AA27" s="0" t="n">
        <f aca="false">M27*($C27-M$3)</f>
        <v>550.000000000002</v>
      </c>
      <c r="AB27" s="0" t="n">
        <f aca="false">N27*($C27-N$3)</f>
        <v>2625</v>
      </c>
      <c r="AE27" s="0" t="n">
        <f aca="false">SUM(R27:AD27)</f>
        <v>2200.00000000001</v>
      </c>
    </row>
    <row r="28" customFormat="false" ht="12.75" hidden="false" customHeight="false" outlineLevel="0" collapsed="false">
      <c r="A28" s="51" t="n">
        <v>36610</v>
      </c>
      <c r="B28" s="0" t="n">
        <f aca="false">B$2+B$3</f>
        <v>3.86</v>
      </c>
      <c r="C28" s="48" t="n">
        <f aca="false">GasDaily!AF28</f>
        <v>3.81</v>
      </c>
      <c r="D28" s="30" t="n">
        <v>5000</v>
      </c>
      <c r="E28" s="30" t="n">
        <v>15000</v>
      </c>
      <c r="F28" s="30" t="n">
        <v>10000</v>
      </c>
      <c r="G28" s="30" t="n">
        <v>-15000</v>
      </c>
      <c r="H28" s="30" t="n">
        <v>10000</v>
      </c>
      <c r="I28" s="30" t="n">
        <v>-15000</v>
      </c>
      <c r="J28" s="30" t="n">
        <v>10000</v>
      </c>
      <c r="K28" s="30" t="n">
        <v>15000</v>
      </c>
      <c r="L28" s="30" t="n">
        <v>-15000</v>
      </c>
      <c r="M28" s="30" t="n">
        <v>-10000</v>
      </c>
      <c r="N28" s="30" t="n">
        <v>15000</v>
      </c>
      <c r="O28" s="30"/>
      <c r="P28" s="17" t="n">
        <f aca="false">SUM(D28:N28)</f>
        <v>25000</v>
      </c>
      <c r="Q28" s="50"/>
      <c r="R28" s="0" t="n">
        <f aca="false">D28*($C28-D$3)</f>
        <v>725</v>
      </c>
      <c r="S28" s="0" t="n">
        <f aca="false">E28*($C28-E$3)</f>
        <v>374.999999999999</v>
      </c>
      <c r="T28" s="0" t="n">
        <f aca="false">F28*($C28-F$3)</f>
        <v>-99.9999999999979</v>
      </c>
      <c r="U28" s="0" t="n">
        <f aca="false">G28*($C28-G$3)</f>
        <v>525.000000000002</v>
      </c>
      <c r="V28" s="0" t="n">
        <f aca="false">H28*($C28-H$3)</f>
        <v>-400</v>
      </c>
      <c r="W28" s="0" t="n">
        <f aca="false">I28*($C28-I$3)</f>
        <v>1125</v>
      </c>
      <c r="X28" s="0" t="n">
        <f aca="false">J28*($C28-J$3)</f>
        <v>-2100</v>
      </c>
      <c r="Y28" s="0" t="n">
        <f aca="false">K28*($C28-K$3)</f>
        <v>-3375</v>
      </c>
      <c r="Z28" s="0" t="n">
        <f aca="false">L28*($C28-L$3)</f>
        <v>2250</v>
      </c>
      <c r="AA28" s="0" t="n">
        <f aca="false">M28*($C28-M$3)</f>
        <v>550.000000000002</v>
      </c>
      <c r="AB28" s="0" t="n">
        <f aca="false">N28*($C28-N$3)</f>
        <v>2625</v>
      </c>
      <c r="AE28" s="0" t="n">
        <f aca="false">SUM(R28:AD28)</f>
        <v>2200.00000000001</v>
      </c>
    </row>
    <row r="29" customFormat="false" ht="12.75" hidden="false" customHeight="false" outlineLevel="0" collapsed="false">
      <c r="A29" s="51" t="n">
        <v>36611</v>
      </c>
      <c r="B29" s="0" t="n">
        <f aca="false">B$2+B$3</f>
        <v>3.86</v>
      </c>
      <c r="C29" s="48" t="n">
        <f aca="false">GasDaily!AF29</f>
        <v>3.81</v>
      </c>
      <c r="D29" s="30" t="n">
        <v>5000</v>
      </c>
      <c r="E29" s="30" t="n">
        <v>15000</v>
      </c>
      <c r="F29" s="30" t="n">
        <v>10000</v>
      </c>
      <c r="G29" s="30" t="n">
        <v>-15000</v>
      </c>
      <c r="H29" s="30" t="n">
        <v>10000</v>
      </c>
      <c r="I29" s="30" t="n">
        <v>-15000</v>
      </c>
      <c r="J29" s="30" t="n">
        <v>10000</v>
      </c>
      <c r="K29" s="30" t="n">
        <v>15000</v>
      </c>
      <c r="L29" s="30" t="n">
        <v>-15000</v>
      </c>
      <c r="M29" s="30" t="n">
        <v>-10000</v>
      </c>
      <c r="N29" s="30" t="n">
        <v>15000</v>
      </c>
      <c r="O29" s="30"/>
      <c r="P29" s="17" t="n">
        <f aca="false">SUM(D29:N29)</f>
        <v>25000</v>
      </c>
      <c r="Q29" s="50"/>
      <c r="R29" s="0" t="n">
        <f aca="false">D29*($C29-D$3)</f>
        <v>725</v>
      </c>
      <c r="S29" s="0" t="n">
        <f aca="false">E29*($C29-E$3)</f>
        <v>374.999999999999</v>
      </c>
      <c r="T29" s="0" t="n">
        <f aca="false">F29*($C29-F$3)</f>
        <v>-99.9999999999979</v>
      </c>
      <c r="U29" s="0" t="n">
        <f aca="false">G29*($C29-G$3)</f>
        <v>525.000000000002</v>
      </c>
      <c r="V29" s="0" t="n">
        <f aca="false">H29*($C29-H$3)</f>
        <v>-400</v>
      </c>
      <c r="W29" s="0" t="n">
        <f aca="false">I29*($C29-I$3)</f>
        <v>1125</v>
      </c>
      <c r="X29" s="0" t="n">
        <f aca="false">J29*($C29-J$3)</f>
        <v>-2100</v>
      </c>
      <c r="Y29" s="0" t="n">
        <f aca="false">K29*($C29-K$3)</f>
        <v>-3375</v>
      </c>
      <c r="Z29" s="0" t="n">
        <f aca="false">L29*($C29-L$3)</f>
        <v>2250</v>
      </c>
      <c r="AA29" s="0" t="n">
        <f aca="false">M29*($C29-M$3)</f>
        <v>550.000000000002</v>
      </c>
      <c r="AB29" s="0" t="n">
        <f aca="false">N29*($C29-N$3)</f>
        <v>2625</v>
      </c>
      <c r="AE29" s="0" t="n">
        <f aca="false">SUM(R29:AD29)</f>
        <v>2200.00000000001</v>
      </c>
    </row>
    <row r="30" customFormat="false" ht="12.75" hidden="false" customHeight="false" outlineLevel="0" collapsed="false">
      <c r="A30" s="51" t="n">
        <v>36612</v>
      </c>
      <c r="B30" s="0" t="n">
        <f aca="false">B$2+B$3</f>
        <v>3.86</v>
      </c>
      <c r="C30" s="48" t="n">
        <f aca="false">GasDaily!AF30</f>
        <v>3.81</v>
      </c>
      <c r="D30" s="30" t="n">
        <v>5000</v>
      </c>
      <c r="E30" s="30" t="n">
        <v>15000</v>
      </c>
      <c r="F30" s="30" t="n">
        <v>10000</v>
      </c>
      <c r="G30" s="30" t="n">
        <v>-15000</v>
      </c>
      <c r="H30" s="30" t="n">
        <v>10000</v>
      </c>
      <c r="I30" s="30" t="n">
        <v>-15000</v>
      </c>
      <c r="J30" s="30" t="n">
        <v>10000</v>
      </c>
      <c r="K30" s="30" t="n">
        <v>15000</v>
      </c>
      <c r="L30" s="30" t="n">
        <v>-15000</v>
      </c>
      <c r="M30" s="30" t="n">
        <v>-10000</v>
      </c>
      <c r="N30" s="30" t="n">
        <v>15000</v>
      </c>
      <c r="O30" s="30"/>
      <c r="P30" s="17" t="n">
        <f aca="false">SUM(D30:N30)</f>
        <v>25000</v>
      </c>
      <c r="Q30" s="50"/>
      <c r="R30" s="0" t="n">
        <f aca="false">D30*($C30-D$3)</f>
        <v>725</v>
      </c>
      <c r="S30" s="0" t="n">
        <f aca="false">E30*($C30-E$3)</f>
        <v>374.999999999999</v>
      </c>
      <c r="T30" s="0" t="n">
        <f aca="false">F30*($C30-F$3)</f>
        <v>-99.9999999999979</v>
      </c>
      <c r="U30" s="0" t="n">
        <f aca="false">G30*($C30-G$3)</f>
        <v>525.000000000002</v>
      </c>
      <c r="V30" s="0" t="n">
        <f aca="false">H30*($C30-H$3)</f>
        <v>-400</v>
      </c>
      <c r="W30" s="0" t="n">
        <f aca="false">I30*($C30-I$3)</f>
        <v>1125</v>
      </c>
      <c r="X30" s="0" t="n">
        <f aca="false">J30*($C30-J$3)</f>
        <v>-2100</v>
      </c>
      <c r="Y30" s="0" t="n">
        <f aca="false">K30*($C30-K$3)</f>
        <v>-3375</v>
      </c>
      <c r="Z30" s="0" t="n">
        <f aca="false">L30*($C30-L$3)</f>
        <v>2250</v>
      </c>
      <c r="AA30" s="0" t="n">
        <f aca="false">M30*($C30-M$3)</f>
        <v>550.000000000002</v>
      </c>
      <c r="AB30" s="0" t="n">
        <f aca="false">N30*($C30-N$3)</f>
        <v>2625</v>
      </c>
      <c r="AE30" s="0" t="n">
        <f aca="false">SUM(R30:AD30)</f>
        <v>2200.00000000001</v>
      </c>
    </row>
    <row r="31" customFormat="false" ht="12.75" hidden="false" customHeight="false" outlineLevel="0" collapsed="false">
      <c r="A31" s="51" t="n">
        <v>36613</v>
      </c>
      <c r="B31" s="0" t="n">
        <f aca="false">B$2+B$3</f>
        <v>3.86</v>
      </c>
      <c r="C31" s="48" t="n">
        <f aca="false">GasDaily!AF31</f>
        <v>3.81</v>
      </c>
      <c r="D31" s="30" t="n">
        <v>5000</v>
      </c>
      <c r="E31" s="30" t="n">
        <v>15000</v>
      </c>
      <c r="F31" s="30" t="n">
        <v>10000</v>
      </c>
      <c r="G31" s="30" t="n">
        <v>-15000</v>
      </c>
      <c r="H31" s="30" t="n">
        <v>10000</v>
      </c>
      <c r="I31" s="30" t="n">
        <v>-15000</v>
      </c>
      <c r="J31" s="30" t="n">
        <v>10000</v>
      </c>
      <c r="K31" s="30" t="n">
        <v>15000</v>
      </c>
      <c r="L31" s="30" t="n">
        <v>-15000</v>
      </c>
      <c r="M31" s="30" t="n">
        <v>-10000</v>
      </c>
      <c r="N31" s="30" t="n">
        <v>15000</v>
      </c>
      <c r="O31" s="30"/>
      <c r="P31" s="17" t="n">
        <f aca="false">SUM(D31:N31)</f>
        <v>25000</v>
      </c>
      <c r="Q31" s="50"/>
      <c r="R31" s="0" t="n">
        <f aca="false">D31*($C31-D$3)</f>
        <v>725</v>
      </c>
      <c r="S31" s="0" t="n">
        <f aca="false">E31*($C31-E$3)</f>
        <v>374.999999999999</v>
      </c>
      <c r="T31" s="0" t="n">
        <f aca="false">F31*($C31-F$3)</f>
        <v>-99.9999999999979</v>
      </c>
      <c r="U31" s="0" t="n">
        <f aca="false">G31*($C31-G$3)</f>
        <v>525.000000000002</v>
      </c>
      <c r="V31" s="0" t="n">
        <f aca="false">H31*($C31-H$3)</f>
        <v>-400</v>
      </c>
      <c r="W31" s="0" t="n">
        <f aca="false">I31*($C31-I$3)</f>
        <v>1125</v>
      </c>
      <c r="X31" s="0" t="n">
        <f aca="false">J31*($C31-J$3)</f>
        <v>-2100</v>
      </c>
      <c r="Y31" s="0" t="n">
        <f aca="false">K31*($C31-K$3)</f>
        <v>-3375</v>
      </c>
      <c r="Z31" s="0" t="n">
        <f aca="false">L31*($C31-L$3)</f>
        <v>2250</v>
      </c>
      <c r="AA31" s="0" t="n">
        <f aca="false">M31*($C31-M$3)</f>
        <v>550.000000000002</v>
      </c>
      <c r="AB31" s="0" t="n">
        <f aca="false">N31*($C31-N$3)</f>
        <v>2625</v>
      </c>
      <c r="AE31" s="0" t="n">
        <f aca="false">SUM(R31:AD31)</f>
        <v>2200.00000000001</v>
      </c>
    </row>
    <row r="32" customFormat="false" ht="12.75" hidden="false" customHeight="false" outlineLevel="0" collapsed="false">
      <c r="A32" s="51" t="n">
        <v>36614</v>
      </c>
      <c r="B32" s="0" t="n">
        <f aca="false">B$2+B$3</f>
        <v>3.86</v>
      </c>
      <c r="C32" s="48" t="n">
        <f aca="false">GasDaily!AF32</f>
        <v>3.81</v>
      </c>
      <c r="D32" s="30" t="n">
        <v>5000</v>
      </c>
      <c r="E32" s="30" t="n">
        <v>15000</v>
      </c>
      <c r="F32" s="30" t="n">
        <v>10000</v>
      </c>
      <c r="G32" s="30" t="n">
        <v>-15000</v>
      </c>
      <c r="H32" s="30" t="n">
        <v>10000</v>
      </c>
      <c r="I32" s="30" t="n">
        <v>-15000</v>
      </c>
      <c r="J32" s="30" t="n">
        <v>10000</v>
      </c>
      <c r="K32" s="30" t="n">
        <v>15000</v>
      </c>
      <c r="L32" s="30" t="n">
        <v>-15000</v>
      </c>
      <c r="M32" s="30" t="n">
        <v>-10000</v>
      </c>
      <c r="N32" s="30" t="n">
        <v>15000</v>
      </c>
      <c r="O32" s="30"/>
      <c r="P32" s="17" t="n">
        <f aca="false">SUM(D32:N32)</f>
        <v>25000</v>
      </c>
      <c r="Q32" s="50"/>
      <c r="R32" s="0" t="n">
        <f aca="false">D32*(C32-D$3)</f>
        <v>725</v>
      </c>
      <c r="S32" s="0" t="n">
        <f aca="false">E32*($C32-E$3)</f>
        <v>374.999999999999</v>
      </c>
      <c r="T32" s="0" t="n">
        <f aca="false">F32*($C32-F$3)</f>
        <v>-99.9999999999979</v>
      </c>
      <c r="U32" s="0" t="n">
        <f aca="false">G32*($C32-G$3)</f>
        <v>525.000000000002</v>
      </c>
      <c r="V32" s="0" t="n">
        <f aca="false">H32*($C32-H$3)</f>
        <v>-400</v>
      </c>
      <c r="W32" s="0" t="n">
        <f aca="false">I32*($C32-I$3)</f>
        <v>1125</v>
      </c>
      <c r="X32" s="0" t="n">
        <f aca="false">J32*($C32-J$3)</f>
        <v>-2100</v>
      </c>
      <c r="Y32" s="0" t="n">
        <f aca="false">K32*($C32-K$3)</f>
        <v>-3375</v>
      </c>
      <c r="Z32" s="0" t="n">
        <f aca="false">L32*($C32-L$3)</f>
        <v>2250</v>
      </c>
      <c r="AA32" s="0" t="n">
        <f aca="false">M32*($C32-M$3)</f>
        <v>550.000000000002</v>
      </c>
      <c r="AB32" s="0" t="n">
        <f aca="false">N32*($C32-N$3)</f>
        <v>2625</v>
      </c>
      <c r="AE32" s="0" t="n">
        <f aca="false">SUM(R32:AD32)</f>
        <v>2200.00000000001</v>
      </c>
    </row>
    <row r="33" customFormat="false" ht="12.75" hidden="false" customHeight="false" outlineLevel="0" collapsed="false">
      <c r="A33" s="51" t="n">
        <v>36615</v>
      </c>
      <c r="B33" s="0" t="n">
        <f aca="false">B$2+B$3</f>
        <v>3.86</v>
      </c>
      <c r="C33" s="48" t="n">
        <f aca="false">GasDaily!AF33</f>
        <v>3.81</v>
      </c>
      <c r="D33" s="30" t="n">
        <v>5000</v>
      </c>
      <c r="E33" s="30" t="n">
        <v>15000</v>
      </c>
      <c r="F33" s="30" t="n">
        <v>10000</v>
      </c>
      <c r="G33" s="30" t="n">
        <v>-15000</v>
      </c>
      <c r="H33" s="30" t="n">
        <v>10000</v>
      </c>
      <c r="I33" s="30" t="n">
        <v>-15000</v>
      </c>
      <c r="J33" s="30" t="n">
        <v>10000</v>
      </c>
      <c r="K33" s="30" t="n">
        <v>15000</v>
      </c>
      <c r="L33" s="30" t="n">
        <v>-15000</v>
      </c>
      <c r="M33" s="30" t="n">
        <v>-10000</v>
      </c>
      <c r="N33" s="30" t="n">
        <v>15000</v>
      </c>
      <c r="P33" s="17" t="n">
        <f aca="false">SUM(D33:N33)</f>
        <v>25000</v>
      </c>
      <c r="R33" s="0" t="n">
        <f aca="false">D33*(C33-D$3)</f>
        <v>725</v>
      </c>
      <c r="S33" s="0" t="n">
        <f aca="false">E33*($C33-E$3)</f>
        <v>374.999999999999</v>
      </c>
      <c r="T33" s="0" t="n">
        <f aca="false">F33*($C33-F$3)</f>
        <v>-99.9999999999979</v>
      </c>
      <c r="U33" s="0" t="n">
        <f aca="false">G33*($C33-G$3)</f>
        <v>525.000000000002</v>
      </c>
      <c r="V33" s="0" t="n">
        <f aca="false">H33*($C33-H$3)</f>
        <v>-400</v>
      </c>
      <c r="W33" s="0" t="n">
        <f aca="false">I33*($C33-I$3)</f>
        <v>1125</v>
      </c>
      <c r="X33" s="0" t="n">
        <f aca="false">J33*($C33-J$3)</f>
        <v>-2100</v>
      </c>
      <c r="Y33" s="0" t="n">
        <f aca="false">K33*($C33-K$3)</f>
        <v>-3375</v>
      </c>
      <c r="Z33" s="0" t="n">
        <f aca="false">L33*($C33-L$3)</f>
        <v>2250</v>
      </c>
      <c r="AA33" s="0" t="n">
        <f aca="false">M33*($C33-M$3)</f>
        <v>550.000000000002</v>
      </c>
      <c r="AB33" s="0" t="n">
        <f aca="false">N33*($C33-N$3)</f>
        <v>2625</v>
      </c>
      <c r="AE33" s="0" t="n">
        <f aca="false">SUM(R33:AD33)</f>
        <v>2200.00000000001</v>
      </c>
    </row>
    <row r="34" customFormat="false" ht="12.75" hidden="false" customHeight="false" outlineLevel="0" collapsed="false">
      <c r="A34" s="51" t="n">
        <v>36616</v>
      </c>
      <c r="B34" s="0" t="n">
        <f aca="false">B$2+B$3</f>
        <v>3.86</v>
      </c>
      <c r="C34" s="48" t="n">
        <f aca="false">GasDaily!AF34</f>
        <v>0.04</v>
      </c>
      <c r="D34" s="30"/>
      <c r="E34" s="30"/>
      <c r="F34" s="30"/>
      <c r="G34" s="30"/>
      <c r="H34" s="30"/>
      <c r="I34" s="30"/>
      <c r="J34" s="30"/>
      <c r="K34" s="30"/>
      <c r="L34" s="30"/>
      <c r="P34" s="17" t="n">
        <f aca="false">SUM(D34:M34)</f>
        <v>0</v>
      </c>
      <c r="R34" s="0" t="n">
        <f aca="false">D34*(C34-D$3)</f>
        <v>-0</v>
      </c>
      <c r="S34" s="0" t="n">
        <f aca="false">E34*($C34-E$3)</f>
        <v>-0</v>
      </c>
      <c r="T34" s="0" t="n">
        <f aca="false">F34*($C34-F$3)</f>
        <v>-0</v>
      </c>
      <c r="U34" s="0" t="n">
        <f aca="false">G34*($C34-G$3)</f>
        <v>-0</v>
      </c>
      <c r="V34" s="0" t="n">
        <f aca="false">H34*($C34-H$3)</f>
        <v>-0</v>
      </c>
      <c r="W34" s="0" t="n">
        <f aca="false">I34*($C34-I$3)</f>
        <v>-0</v>
      </c>
      <c r="X34" s="0" t="n">
        <f aca="false">J34*($C34-J$3)</f>
        <v>-0</v>
      </c>
      <c r="Y34" s="0" t="n">
        <f aca="false">K34*($C34-K$3)</f>
        <v>-0</v>
      </c>
      <c r="Z34" s="0" t="n">
        <f aca="false">L34*($C34-L$3)</f>
        <v>-0</v>
      </c>
      <c r="AA34" s="0" t="n">
        <f aca="false">M34*($C34-M$3)</f>
        <v>-0</v>
      </c>
      <c r="AB34" s="0" t="n">
        <f aca="false">N34*($C34-N$3)</f>
        <v>-0</v>
      </c>
      <c r="AE34" s="0" t="n">
        <f aca="false">SUM(R34:AD34)</f>
        <v>0</v>
      </c>
    </row>
    <row r="35" customFormat="false" ht="12.75" hidden="false" customHeight="false" outlineLevel="0" collapsed="false">
      <c r="A35" s="51"/>
      <c r="C35" s="48"/>
      <c r="D35" s="30"/>
      <c r="E35" s="30"/>
      <c r="F35" s="30"/>
      <c r="G35" s="30"/>
      <c r="H35" s="30"/>
      <c r="I35" s="30"/>
      <c r="J35" s="30"/>
      <c r="K35" s="30"/>
      <c r="L35" s="30"/>
    </row>
    <row r="36" customFormat="false" ht="12.75" hidden="false" customHeight="false" outlineLevel="0" collapsed="false">
      <c r="P36" s="17" t="n">
        <f aca="false">SUM(P15:P34)</f>
        <v>475000</v>
      </c>
      <c r="AE36" s="52" t="n">
        <f aca="false">SUM(AE4:AE34)</f>
        <v>45950.0000000002</v>
      </c>
    </row>
    <row r="37" customFormat="false" ht="12.75" hidden="false" customHeight="false" outlineLevel="0" collapsed="false">
      <c r="A37" s="0" t="n">
        <f aca="false">COUNT(A31:A33)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R1" activePane="topRight" state="frozen"/>
      <selection pane="topLeft" activeCell="A1" activeCellId="0" sqref="A1"/>
      <selection pane="topRight" activeCell="AE12" activeCellId="0" sqref="AE12:A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6" min="16" style="44" width="13.14"/>
    <col collapsed="false" customWidth="true" hidden="false" outlineLevel="0" max="17" min="17" style="45" width="2.84"/>
    <col collapsed="false" customWidth="true" hidden="false" outlineLevel="0" max="30" min="30" style="45" width="2.7"/>
    <col collapsed="false" customWidth="true" hidden="false" outlineLevel="0" max="31" min="31" style="0" width="10.85"/>
  </cols>
  <sheetData>
    <row r="1" customFormat="false" ht="12.75" hidden="false" customHeight="false" outlineLevel="0" collapsed="false">
      <c r="B1" s="44" t="s">
        <v>523</v>
      </c>
    </row>
    <row r="2" customFormat="false" ht="12.75" hidden="false" customHeight="false" outlineLevel="0" collapsed="false">
      <c r="B2" s="46" t="n">
        <v>3.86</v>
      </c>
      <c r="C2" s="47"/>
      <c r="P2" s="44" t="s">
        <v>524</v>
      </c>
    </row>
    <row r="3" customFormat="false" ht="12.75" hidden="false" customHeight="false" outlineLevel="0" collapsed="false">
      <c r="B3" s="48" t="n">
        <v>0</v>
      </c>
      <c r="C3" s="0" t="s">
        <v>525</v>
      </c>
      <c r="D3" s="48" t="n">
        <v>3.415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AE3" s="0" t="s">
        <v>526</v>
      </c>
    </row>
    <row r="4" customFormat="false" ht="12.75" hidden="false" customHeight="false" outlineLevel="0" collapsed="false">
      <c r="A4" s="51" t="n">
        <v>36586</v>
      </c>
      <c r="B4" s="0" t="n">
        <f aca="false">B$2+B$3</f>
        <v>3.86</v>
      </c>
      <c r="C4" s="48" t="n">
        <f aca="false">GasDaily!X4</f>
        <v>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17" t="n">
        <f aca="false">SUM(D4:M4)</f>
        <v>0</v>
      </c>
      <c r="Q4" s="50"/>
      <c r="R4" s="0" t="n">
        <f aca="false">D4*($C4-D$3)</f>
        <v>-0</v>
      </c>
      <c r="S4" s="0" t="n">
        <f aca="false">E4*($C4-E$3)</f>
        <v>0</v>
      </c>
      <c r="T4" s="0" t="n">
        <f aca="false">F4*($C4-F$3)</f>
        <v>0</v>
      </c>
      <c r="U4" s="0" t="n">
        <f aca="false">G4*($C4-G$3)</f>
        <v>0</v>
      </c>
      <c r="V4" s="0" t="n">
        <f aca="false">H4*($C4-H$3)</f>
        <v>0</v>
      </c>
      <c r="AE4" s="0" t="n">
        <f aca="false">SUM(R4:AD4)</f>
        <v>0</v>
      </c>
    </row>
    <row r="5" customFormat="false" ht="12.75" hidden="false" customHeight="false" outlineLevel="0" collapsed="false">
      <c r="A5" s="51" t="n">
        <v>36587</v>
      </c>
      <c r="B5" s="0" t="n">
        <f aca="false">B$2+B$3</f>
        <v>3.86</v>
      </c>
      <c r="C5" s="48" t="n">
        <f aca="false">GasDaily!X5</f>
        <v>3.51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17" t="n">
        <f aca="false">SUM(D5:M5)</f>
        <v>0</v>
      </c>
      <c r="Q5" s="50"/>
      <c r="R5" s="0" t="n">
        <f aca="false">D5*($C5-D$3)</f>
        <v>0</v>
      </c>
      <c r="S5" s="0" t="n">
        <f aca="false">E5*($C5-E$3)</f>
        <v>0</v>
      </c>
      <c r="T5" s="0" t="n">
        <f aca="false">F5*($C5-F$3)</f>
        <v>0</v>
      </c>
      <c r="U5" s="0" t="n">
        <f aca="false">G5*($C5-G$3)</f>
        <v>0</v>
      </c>
      <c r="V5" s="0" t="n">
        <f aca="false">H5*($C5-H$3)</f>
        <v>0</v>
      </c>
      <c r="W5" s="0" t="n">
        <f aca="false">I5*($C5-I$3)</f>
        <v>0</v>
      </c>
      <c r="X5" s="0" t="n">
        <f aca="false">J5*($C5-J$3)</f>
        <v>0</v>
      </c>
      <c r="Y5" s="0" t="n">
        <f aca="false">K5*($C5-K$3)</f>
        <v>0</v>
      </c>
      <c r="Z5" s="0" t="n">
        <f aca="false">L5*($C5-L$3)</f>
        <v>0</v>
      </c>
      <c r="AA5" s="0" t="n">
        <f aca="false">M5*($C5-M$3)</f>
        <v>0</v>
      </c>
      <c r="AB5" s="0" t="n">
        <f aca="false">N5*($C5-N$3)</f>
        <v>0</v>
      </c>
      <c r="AE5" s="0" t="n">
        <f aca="false">SUM(R5:AD5)</f>
        <v>0</v>
      </c>
    </row>
    <row r="6" customFormat="false" ht="12.75" hidden="false" customHeight="false" outlineLevel="0" collapsed="false">
      <c r="A6" s="51" t="n">
        <v>36588</v>
      </c>
      <c r="B6" s="0" t="n">
        <f aca="false">B$2+B$3</f>
        <v>3.86</v>
      </c>
      <c r="C6" s="48" t="n">
        <f aca="false">GasDaily!X6</f>
        <v>3.51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17" t="n">
        <f aca="false">SUM(D6:M6)</f>
        <v>0</v>
      </c>
      <c r="Q6" s="50"/>
      <c r="R6" s="0" t="n">
        <f aca="false">D6*($C6-D$3)</f>
        <v>0</v>
      </c>
      <c r="S6" s="0" t="n">
        <f aca="false">E6*($C6-E$3)</f>
        <v>0</v>
      </c>
      <c r="T6" s="0" t="n">
        <f aca="false">F6*($C6-F$3)</f>
        <v>0</v>
      </c>
      <c r="U6" s="0" t="n">
        <f aca="false">G6*($C6-G$3)</f>
        <v>0</v>
      </c>
      <c r="V6" s="0" t="n">
        <f aca="false">H6*($C6-H$3)</f>
        <v>0</v>
      </c>
      <c r="W6" s="0" t="n">
        <f aca="false">I6*($C6-I$3)</f>
        <v>0</v>
      </c>
      <c r="X6" s="0" t="n">
        <f aca="false">J6*($C6-J$3)</f>
        <v>0</v>
      </c>
      <c r="Y6" s="0" t="n">
        <f aca="false">K6*($C6-K$3)</f>
        <v>0</v>
      </c>
      <c r="Z6" s="0" t="n">
        <f aca="false">L6*($C6-L$3)</f>
        <v>0</v>
      </c>
      <c r="AA6" s="0" t="n">
        <f aca="false">M6*($C6-M$3)</f>
        <v>0</v>
      </c>
      <c r="AB6" s="0" t="n">
        <f aca="false">N6*($C6-N$3)</f>
        <v>0</v>
      </c>
      <c r="AE6" s="0" t="n">
        <f aca="false">SUM(R6:AD6)</f>
        <v>0</v>
      </c>
    </row>
    <row r="7" customFormat="false" ht="12.75" hidden="false" customHeight="false" outlineLevel="0" collapsed="false">
      <c r="A7" s="51" t="n">
        <v>36589</v>
      </c>
      <c r="B7" s="0" t="n">
        <f aca="false">B$2+B$3</f>
        <v>3.86</v>
      </c>
      <c r="C7" s="48" t="n">
        <f aca="false">GasDaily!X7</f>
        <v>3.51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17" t="n">
        <f aca="false">SUM(D7:M7)</f>
        <v>0</v>
      </c>
      <c r="Q7" s="50"/>
      <c r="R7" s="0" t="n">
        <f aca="false">D7*($C7-D$3)</f>
        <v>0</v>
      </c>
      <c r="S7" s="0" t="n">
        <f aca="false">E7*($C7-E$3)</f>
        <v>0</v>
      </c>
      <c r="T7" s="0" t="n">
        <f aca="false">F7*($C7-F$3)</f>
        <v>0</v>
      </c>
      <c r="U7" s="0" t="n">
        <f aca="false">G7*($C7-G$3)</f>
        <v>0</v>
      </c>
      <c r="V7" s="0" t="n">
        <f aca="false">H7*($C7-H$3)</f>
        <v>0</v>
      </c>
      <c r="W7" s="0" t="n">
        <f aca="false">I7*($C7-I$3)</f>
        <v>0</v>
      </c>
      <c r="X7" s="0" t="n">
        <f aca="false">J7*($C7-J$3)</f>
        <v>0</v>
      </c>
      <c r="Y7" s="0" t="n">
        <f aca="false">K7*($C7-K$3)</f>
        <v>0</v>
      </c>
      <c r="Z7" s="0" t="n">
        <f aca="false">L7*($C7-L$3)</f>
        <v>0</v>
      </c>
      <c r="AA7" s="0" t="n">
        <f aca="false">M7*($C7-M$3)</f>
        <v>0</v>
      </c>
      <c r="AB7" s="0" t="n">
        <f aca="false">N7*($C7-N$3)</f>
        <v>0</v>
      </c>
      <c r="AE7" s="0" t="n">
        <f aca="false">SUM(R7:AD7)</f>
        <v>0</v>
      </c>
    </row>
    <row r="8" customFormat="false" ht="12.75" hidden="false" customHeight="false" outlineLevel="0" collapsed="false">
      <c r="A8" s="51" t="n">
        <v>36590</v>
      </c>
      <c r="B8" s="0" t="n">
        <f aca="false">B$2+B$3</f>
        <v>3.86</v>
      </c>
      <c r="C8" s="48" t="n">
        <f aca="false">GasDaily!X8</f>
        <v>4.005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17" t="n">
        <f aca="false">SUM(D8:M8)</f>
        <v>0</v>
      </c>
      <c r="Q8" s="50"/>
      <c r="R8" s="0" t="n">
        <f aca="false">D8*($C8-D$3)</f>
        <v>0</v>
      </c>
      <c r="S8" s="0" t="n">
        <f aca="false">E8*($C8-E$3)</f>
        <v>0</v>
      </c>
      <c r="T8" s="0" t="n">
        <f aca="false">F8*($C8-F$3)</f>
        <v>0</v>
      </c>
      <c r="U8" s="0" t="n">
        <f aca="false">G8*($C8-G$3)</f>
        <v>0</v>
      </c>
      <c r="V8" s="0" t="n">
        <f aca="false">H8*($C8-H$3)</f>
        <v>0</v>
      </c>
      <c r="W8" s="0" t="n">
        <f aca="false">I8*($C8-I$3)</f>
        <v>0</v>
      </c>
      <c r="X8" s="0" t="n">
        <f aca="false">J8*($C8-J$3)</f>
        <v>0</v>
      </c>
      <c r="Y8" s="0" t="n">
        <f aca="false">K8*($C8-K$3)</f>
        <v>0</v>
      </c>
      <c r="Z8" s="0" t="n">
        <f aca="false">L8*($C8-L$3)</f>
        <v>0</v>
      </c>
      <c r="AA8" s="0" t="n">
        <f aca="false">M8*($C8-M$3)</f>
        <v>0</v>
      </c>
      <c r="AB8" s="0" t="n">
        <f aca="false">N8*($C8-N$3)</f>
        <v>0</v>
      </c>
      <c r="AE8" s="0" t="n">
        <f aca="false">SUM(R8:AD8)</f>
        <v>0</v>
      </c>
    </row>
    <row r="9" customFormat="false" ht="12.75" hidden="false" customHeight="false" outlineLevel="0" collapsed="false">
      <c r="A9" s="51" t="n">
        <v>36591</v>
      </c>
      <c r="B9" s="0" t="n">
        <f aca="false">B$2+B$3</f>
        <v>3.86</v>
      </c>
      <c r="C9" s="48" t="n">
        <f aca="false">GasDaily!X9</f>
        <v>4.025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17" t="n">
        <f aca="false">SUM(D9:M9)</f>
        <v>0</v>
      </c>
      <c r="Q9" s="50"/>
      <c r="R9" s="0" t="n">
        <f aca="false">D9*($C9-D$3)</f>
        <v>0</v>
      </c>
      <c r="S9" s="0" t="n">
        <f aca="false">E9*($C9-E$3)</f>
        <v>0</v>
      </c>
      <c r="T9" s="0" t="n">
        <f aca="false">F9*($C9-F$3)</f>
        <v>0</v>
      </c>
      <c r="U9" s="0" t="n">
        <f aca="false">G9*($C9-G$3)</f>
        <v>0</v>
      </c>
      <c r="V9" s="0" t="n">
        <f aca="false">H9*($C9-H$3)</f>
        <v>0</v>
      </c>
      <c r="W9" s="0" t="n">
        <f aca="false">I9*($C9-I$3)</f>
        <v>0</v>
      </c>
      <c r="X9" s="0" t="n">
        <f aca="false">J9*($C9-J$3)</f>
        <v>0</v>
      </c>
      <c r="Y9" s="0" t="n">
        <f aca="false">K9*($C9-K$3)</f>
        <v>0</v>
      </c>
      <c r="Z9" s="0" t="n">
        <f aca="false">L9*($C9-L$3)</f>
        <v>0</v>
      </c>
      <c r="AA9" s="0" t="n">
        <f aca="false">M9*($C9-M$3)</f>
        <v>0</v>
      </c>
      <c r="AB9" s="0" t="n">
        <f aca="false">N9*($C9-N$3)</f>
        <v>0</v>
      </c>
      <c r="AE9" s="0" t="n">
        <f aca="false">SUM(R9:AD9)</f>
        <v>0</v>
      </c>
    </row>
    <row r="10" customFormat="false" ht="12.75" hidden="false" customHeight="false" outlineLevel="0" collapsed="false">
      <c r="A10" s="51" t="n">
        <v>36592</v>
      </c>
      <c r="B10" s="0" t="n">
        <f aca="false">B$2+B$3</f>
        <v>3.86</v>
      </c>
      <c r="C10" s="48" t="n">
        <f aca="false">GasDaily!X10</f>
        <v>3.635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17" t="n">
        <f aca="false">SUM(D10:N10)</f>
        <v>0</v>
      </c>
      <c r="Q10" s="50"/>
      <c r="R10" s="0" t="n">
        <f aca="false">D10*($C10-D$3)</f>
        <v>0</v>
      </c>
      <c r="S10" s="0" t="n">
        <f aca="false">E10*($C10-E$3)</f>
        <v>0</v>
      </c>
      <c r="T10" s="0" t="n">
        <f aca="false">F10*($C10-F$3)</f>
        <v>0</v>
      </c>
      <c r="U10" s="0" t="n">
        <f aca="false">G10*($C10-G$3)</f>
        <v>0</v>
      </c>
      <c r="V10" s="0" t="n">
        <f aca="false">H10*($C10-H$3)</f>
        <v>0</v>
      </c>
      <c r="W10" s="0" t="n">
        <f aca="false">I10*($C10-I$3)</f>
        <v>0</v>
      </c>
      <c r="X10" s="0" t="n">
        <f aca="false">J10*($C10-J$3)</f>
        <v>0</v>
      </c>
      <c r="Y10" s="0" t="n">
        <f aca="false">K10*($C10-K$3)</f>
        <v>0</v>
      </c>
      <c r="Z10" s="0" t="n">
        <f aca="false">L10*($C10-L$3)</f>
        <v>0</v>
      </c>
      <c r="AA10" s="0" t="n">
        <f aca="false">M10*($C10-M$3)</f>
        <v>0</v>
      </c>
      <c r="AB10" s="0" t="n">
        <f aca="false">N10*($C10-N$3)</f>
        <v>0</v>
      </c>
      <c r="AE10" s="0" t="n">
        <f aca="false">SUM(R10:AD10)</f>
        <v>0</v>
      </c>
    </row>
    <row r="11" customFormat="false" ht="12.75" hidden="false" customHeight="false" outlineLevel="0" collapsed="false">
      <c r="A11" s="51" t="n">
        <v>36593</v>
      </c>
      <c r="B11" s="0" t="n">
        <f aca="false">B$2+B$3</f>
        <v>3.86</v>
      </c>
      <c r="C11" s="48" t="n">
        <f aca="false">GasDaily!X11</f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17" t="n">
        <f aca="false">SUM(D11:M11)</f>
        <v>0</v>
      </c>
      <c r="Q11" s="50"/>
      <c r="R11" s="0" t="n">
        <f aca="false">D11*($C11-D$3)</f>
        <v>-0</v>
      </c>
      <c r="S11" s="0" t="n">
        <f aca="false">E11*($C11-E$3)</f>
        <v>0</v>
      </c>
      <c r="T11" s="0" t="n">
        <f aca="false">F11*($C11-F$3)</f>
        <v>0</v>
      </c>
      <c r="U11" s="0" t="n">
        <f aca="false">G11*($C11-G$3)</f>
        <v>0</v>
      </c>
      <c r="V11" s="0" t="n">
        <f aca="false">H11*($C11-H$3)</f>
        <v>0</v>
      </c>
      <c r="W11" s="0" t="n">
        <f aca="false">I11*($C11-I$3)</f>
        <v>0</v>
      </c>
      <c r="X11" s="0" t="n">
        <f aca="false">J11*($C11-J$3)</f>
        <v>0</v>
      </c>
      <c r="Y11" s="0" t="n">
        <f aca="false">K11*($C11-K$3)</f>
        <v>0</v>
      </c>
      <c r="Z11" s="0" t="n">
        <f aca="false">L11*($C11-L$3)</f>
        <v>0</v>
      </c>
      <c r="AA11" s="0" t="n">
        <f aca="false">M11*($C11-M$3)</f>
        <v>0</v>
      </c>
      <c r="AB11" s="0" t="n">
        <f aca="false">N11*($C11-N$3)</f>
        <v>0</v>
      </c>
      <c r="AE11" s="0" t="n">
        <f aca="false">SUM(R11:AD11)</f>
        <v>0</v>
      </c>
    </row>
    <row r="12" customFormat="false" ht="12.75" hidden="false" customHeight="false" outlineLevel="0" collapsed="false">
      <c r="A12" s="51" t="n">
        <v>36594</v>
      </c>
      <c r="B12" s="0" t="n">
        <f aca="false">B$2+B$3</f>
        <v>3.86</v>
      </c>
      <c r="C12" s="48" t="n">
        <f aca="false">GasDaily!X12</f>
        <v>3.22</v>
      </c>
      <c r="D12" s="30" t="n">
        <v>5000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17" t="n">
        <f aca="false">SUM(D12:N12)</f>
        <v>5000</v>
      </c>
      <c r="Q12" s="50"/>
      <c r="R12" s="0" t="n">
        <f aca="false">D12*($C12-D$3)</f>
        <v>-974.999999999999</v>
      </c>
      <c r="S12" s="0" t="n">
        <f aca="false">E12*($C12-E$3)</f>
        <v>0</v>
      </c>
      <c r="T12" s="0" t="n">
        <f aca="false">F12*($C12-F$3)</f>
        <v>0</v>
      </c>
      <c r="U12" s="0" t="n">
        <f aca="false">G12*($C12-G$3)</f>
        <v>0</v>
      </c>
      <c r="V12" s="0" t="n">
        <f aca="false">H12*($C12-H$3)</f>
        <v>0</v>
      </c>
      <c r="W12" s="0" t="n">
        <f aca="false">I12*($C12-I$3)</f>
        <v>0</v>
      </c>
      <c r="X12" s="0" t="n">
        <f aca="false">J12*($C12-J$3)</f>
        <v>0</v>
      </c>
      <c r="Y12" s="0" t="n">
        <f aca="false">K12*($C12-K$3)</f>
        <v>0</v>
      </c>
      <c r="Z12" s="0" t="n">
        <f aca="false">L12*($C12-L$3)</f>
        <v>0</v>
      </c>
      <c r="AA12" s="0" t="n">
        <f aca="false">M12*($C12-M$3)</f>
        <v>0</v>
      </c>
      <c r="AB12" s="0" t="n">
        <f aca="false">N12*($C12-N$3)</f>
        <v>0</v>
      </c>
      <c r="AE12" s="0" t="n">
        <f aca="false">SUM(R12:AD12)</f>
        <v>-974.999999999999</v>
      </c>
    </row>
    <row r="13" customFormat="false" ht="12.75" hidden="false" customHeight="false" outlineLevel="0" collapsed="false">
      <c r="A13" s="51" t="n">
        <v>36595</v>
      </c>
      <c r="B13" s="0" t="n">
        <f aca="false">B$2+B$3</f>
        <v>3.86</v>
      </c>
      <c r="C13" s="48" t="n">
        <f aca="false">GasDaily!X13</f>
        <v>3.22</v>
      </c>
      <c r="D13" s="30" t="n">
        <v>5000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17" t="n">
        <f aca="false">SUM(D13:N13)</f>
        <v>5000</v>
      </c>
      <c r="Q13" s="50"/>
      <c r="R13" s="0" t="n">
        <f aca="false">D13*($C13-D$3)</f>
        <v>-974.999999999999</v>
      </c>
      <c r="S13" s="0" t="n">
        <f aca="false">E13*($C13-E$3)</f>
        <v>0</v>
      </c>
      <c r="T13" s="0" t="n">
        <f aca="false">F13*($C13-F$3)</f>
        <v>0</v>
      </c>
      <c r="U13" s="0" t="n">
        <f aca="false">G13*($C13-G$3)</f>
        <v>0</v>
      </c>
      <c r="V13" s="0" t="n">
        <f aca="false">H13*($C13-H$3)</f>
        <v>0</v>
      </c>
      <c r="W13" s="0" t="n">
        <f aca="false">I13*($C13-I$3)</f>
        <v>0</v>
      </c>
      <c r="X13" s="0" t="n">
        <f aca="false">J13*($C13-J$3)</f>
        <v>0</v>
      </c>
      <c r="Y13" s="0" t="n">
        <f aca="false">K13*($C13-K$3)</f>
        <v>0</v>
      </c>
      <c r="Z13" s="0" t="n">
        <f aca="false">L13*($C13-L$3)</f>
        <v>0</v>
      </c>
      <c r="AA13" s="0" t="n">
        <f aca="false">M13*($C13-M$3)</f>
        <v>0</v>
      </c>
      <c r="AB13" s="0" t="n">
        <f aca="false">N13*($C13-N$3)</f>
        <v>0</v>
      </c>
      <c r="AE13" s="0" t="n">
        <f aca="false">SUM(R13:AD13)</f>
        <v>-974.999999999999</v>
      </c>
    </row>
    <row r="14" customFormat="false" ht="12.75" hidden="false" customHeight="false" outlineLevel="0" collapsed="false">
      <c r="A14" s="51" t="n">
        <v>36596</v>
      </c>
      <c r="B14" s="0" t="n">
        <f aca="false">B$2+B$3</f>
        <v>3.86</v>
      </c>
      <c r="C14" s="48" t="n">
        <f aca="false">GasDaily!X14</f>
        <v>3.22</v>
      </c>
      <c r="D14" s="30" t="n">
        <v>5000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17" t="n">
        <f aca="false">SUM(D14:N14)</f>
        <v>5000</v>
      </c>
      <c r="Q14" s="50"/>
      <c r="R14" s="0" t="n">
        <f aca="false">D14*($C14-D$3)</f>
        <v>-974.999999999999</v>
      </c>
      <c r="S14" s="0" t="n">
        <f aca="false">E14*($C14-E$3)</f>
        <v>0</v>
      </c>
      <c r="T14" s="0" t="n">
        <f aca="false">F14*($C14-F$3)</f>
        <v>0</v>
      </c>
      <c r="U14" s="0" t="n">
        <f aca="false">G14*($C14-G$3)</f>
        <v>0</v>
      </c>
      <c r="V14" s="0" t="n">
        <f aca="false">H14*($C14-H$3)</f>
        <v>0</v>
      </c>
      <c r="W14" s="0" t="n">
        <f aca="false">I14*($C14-I$3)</f>
        <v>0</v>
      </c>
      <c r="X14" s="0" t="n">
        <f aca="false">J14*($C14-J$3)</f>
        <v>0</v>
      </c>
      <c r="Y14" s="0" t="n">
        <f aca="false">K14*($C14-K$3)</f>
        <v>0</v>
      </c>
      <c r="Z14" s="0" t="n">
        <f aca="false">L14*($C14-L$3)</f>
        <v>0</v>
      </c>
      <c r="AA14" s="0" t="n">
        <f aca="false">M14*($C14-M$3)</f>
        <v>0</v>
      </c>
      <c r="AB14" s="0" t="n">
        <f aca="false">N14*($C14-N$3)</f>
        <v>0</v>
      </c>
      <c r="AE14" s="0" t="n">
        <f aca="false">SUM(R14:AD14)</f>
        <v>-974.999999999999</v>
      </c>
    </row>
    <row r="15" customFormat="false" ht="12.75" hidden="false" customHeight="false" outlineLevel="0" collapsed="false">
      <c r="A15" s="51" t="n">
        <v>36597</v>
      </c>
      <c r="B15" s="0" t="n">
        <f aca="false">B$2+B$3</f>
        <v>3.86</v>
      </c>
      <c r="C15" s="48" t="n">
        <f aca="false">GasDaily!X15</f>
        <v>3.6</v>
      </c>
      <c r="D15" s="30" t="n">
        <v>5000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17" t="n">
        <f aca="false">SUM(D15:N15)</f>
        <v>5000</v>
      </c>
      <c r="Q15" s="50"/>
      <c r="R15" s="0" t="n">
        <f aca="false">D15*($C15-D$3)</f>
        <v>925</v>
      </c>
      <c r="S15" s="0" t="n">
        <f aca="false">E15*($C15-E$3)</f>
        <v>0</v>
      </c>
      <c r="T15" s="0" t="n">
        <f aca="false">F15*($C15-F$3)</f>
        <v>0</v>
      </c>
      <c r="U15" s="0" t="n">
        <f aca="false">G15*($C15-G$3)</f>
        <v>0</v>
      </c>
      <c r="V15" s="0" t="n">
        <f aca="false">H15*($C15-H$3)</f>
        <v>0</v>
      </c>
      <c r="W15" s="0" t="n">
        <f aca="false">I15*($C15-I$3)</f>
        <v>0</v>
      </c>
      <c r="X15" s="0" t="n">
        <f aca="false">J15*($C15-J$3)</f>
        <v>0</v>
      </c>
      <c r="Y15" s="0" t="n">
        <f aca="false">K15*($C15-K$3)</f>
        <v>0</v>
      </c>
      <c r="Z15" s="0" t="n">
        <f aca="false">L15*($C15-L$3)</f>
        <v>0</v>
      </c>
      <c r="AA15" s="0" t="n">
        <f aca="false">M15*($C15-M$3)</f>
        <v>0</v>
      </c>
      <c r="AB15" s="0" t="n">
        <f aca="false">N15*($C15-N$3)</f>
        <v>0</v>
      </c>
      <c r="AE15" s="0" t="n">
        <f aca="false">SUM(R15:AD15)</f>
        <v>925</v>
      </c>
    </row>
    <row r="16" customFormat="false" ht="12.75" hidden="false" customHeight="false" outlineLevel="0" collapsed="false">
      <c r="A16" s="51" t="n">
        <v>36598</v>
      </c>
      <c r="B16" s="0" t="n">
        <f aca="false">B$2+B$3</f>
        <v>3.86</v>
      </c>
      <c r="C16" s="48" t="n">
        <f aca="false">GasDaily!X16</f>
        <v>3.6</v>
      </c>
      <c r="D16" s="30" t="n">
        <v>5000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17" t="n">
        <f aca="false">SUM(D16:N16)</f>
        <v>5000</v>
      </c>
      <c r="Q16" s="50"/>
      <c r="R16" s="0" t="n">
        <f aca="false">D16*($C16-D$3)</f>
        <v>925</v>
      </c>
      <c r="S16" s="0" t="n">
        <f aca="false">E16*($C16-E$3)</f>
        <v>0</v>
      </c>
      <c r="T16" s="0" t="n">
        <f aca="false">F16*($C16-F$3)</f>
        <v>0</v>
      </c>
      <c r="U16" s="0" t="n">
        <f aca="false">G16*($C16-G$3)</f>
        <v>0</v>
      </c>
      <c r="V16" s="0" t="n">
        <f aca="false">H16*($C16-H$3)</f>
        <v>0</v>
      </c>
      <c r="W16" s="0" t="n">
        <f aca="false">I16*($C16-I$3)</f>
        <v>0</v>
      </c>
      <c r="X16" s="0" t="n">
        <f aca="false">J16*($C16-J$3)</f>
        <v>0</v>
      </c>
      <c r="Y16" s="0" t="n">
        <f aca="false">K16*($C16-K$3)</f>
        <v>0</v>
      </c>
      <c r="Z16" s="0" t="n">
        <f aca="false">L16*($C16-L$3)</f>
        <v>0</v>
      </c>
      <c r="AA16" s="0" t="n">
        <f aca="false">M16*($C16-M$3)</f>
        <v>0</v>
      </c>
      <c r="AB16" s="0" t="n">
        <f aca="false">N16*($C16-N$3)</f>
        <v>0</v>
      </c>
      <c r="AE16" s="0" t="n">
        <f aca="false">SUM(R16:AD16)</f>
        <v>925</v>
      </c>
    </row>
    <row r="17" customFormat="false" ht="12.75" hidden="false" customHeight="false" outlineLevel="0" collapsed="false">
      <c r="A17" s="51" t="n">
        <v>36599</v>
      </c>
      <c r="B17" s="0" t="n">
        <f aca="false">B$2+B$3</f>
        <v>3.86</v>
      </c>
      <c r="C17" s="48" t="n">
        <f aca="false">GasDaily!X17</f>
        <v>3.6</v>
      </c>
      <c r="D17" s="30" t="n">
        <v>5000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17" t="n">
        <f aca="false">SUM(D17:N17)</f>
        <v>5000</v>
      </c>
      <c r="Q17" s="50"/>
      <c r="R17" s="0" t="n">
        <f aca="false">D17*($C17-D$3)</f>
        <v>925</v>
      </c>
      <c r="S17" s="0" t="n">
        <f aca="false">E17*($C17-E$3)</f>
        <v>0</v>
      </c>
      <c r="T17" s="0" t="n">
        <f aca="false">F17*($C17-F$3)</f>
        <v>0</v>
      </c>
      <c r="U17" s="0" t="n">
        <f aca="false">G17*($C17-G$3)</f>
        <v>0</v>
      </c>
      <c r="V17" s="0" t="n">
        <f aca="false">H17*($C17-H$3)</f>
        <v>0</v>
      </c>
      <c r="W17" s="0" t="n">
        <f aca="false">I17*($C17-I$3)</f>
        <v>0</v>
      </c>
      <c r="X17" s="0" t="n">
        <f aca="false">J17*($C17-J$3)</f>
        <v>0</v>
      </c>
      <c r="Y17" s="0" t="n">
        <f aca="false">K17*($C17-K$3)</f>
        <v>0</v>
      </c>
      <c r="Z17" s="0" t="n">
        <f aca="false">L17*($C17-L$3)</f>
        <v>0</v>
      </c>
      <c r="AA17" s="0" t="n">
        <f aca="false">M17*($C17-M$3)</f>
        <v>0</v>
      </c>
      <c r="AB17" s="0" t="n">
        <f aca="false">N17*($C17-N$3)</f>
        <v>0</v>
      </c>
      <c r="AE17" s="0" t="n">
        <f aca="false">SUM(R17:AD17)</f>
        <v>925</v>
      </c>
    </row>
    <row r="18" customFormat="false" ht="12.75" hidden="false" customHeight="false" outlineLevel="0" collapsed="false">
      <c r="A18" s="51" t="n">
        <v>36600</v>
      </c>
      <c r="B18" s="0" t="n">
        <f aca="false">B$2+B$3</f>
        <v>3.86</v>
      </c>
      <c r="C18" s="48" t="n">
        <f aca="false">GasDaily!X18</f>
        <v>3.6</v>
      </c>
      <c r="D18" s="30" t="n">
        <v>5000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17" t="n">
        <f aca="false">SUM(D18:N18)</f>
        <v>5000</v>
      </c>
      <c r="Q18" s="50"/>
      <c r="R18" s="0" t="n">
        <f aca="false">D18*($C18-D$3)</f>
        <v>925</v>
      </c>
      <c r="S18" s="0" t="n">
        <f aca="false">E18*($C18-E$3)</f>
        <v>0</v>
      </c>
      <c r="T18" s="0" t="n">
        <f aca="false">F18*($C18-F$3)</f>
        <v>0</v>
      </c>
      <c r="U18" s="0" t="n">
        <f aca="false">G18*($C18-G$3)</f>
        <v>0</v>
      </c>
      <c r="V18" s="0" t="n">
        <f aca="false">H18*($C18-H$3)</f>
        <v>0</v>
      </c>
      <c r="W18" s="0" t="n">
        <f aca="false">I18*($C18-I$3)</f>
        <v>0</v>
      </c>
      <c r="X18" s="0" t="n">
        <f aca="false">J18*($C18-J$3)</f>
        <v>0</v>
      </c>
      <c r="Y18" s="0" t="n">
        <f aca="false">K18*($C18-K$3)</f>
        <v>0</v>
      </c>
      <c r="Z18" s="0" t="n">
        <f aca="false">L18*($C18-L$3)</f>
        <v>0</v>
      </c>
      <c r="AA18" s="0" t="n">
        <f aca="false">M18*($C18-M$3)</f>
        <v>0</v>
      </c>
      <c r="AB18" s="0" t="n">
        <f aca="false">N18*($C18-N$3)</f>
        <v>0</v>
      </c>
      <c r="AE18" s="0" t="n">
        <f aca="false">SUM(R18:AD18)</f>
        <v>925</v>
      </c>
    </row>
    <row r="19" customFormat="false" ht="12.75" hidden="false" customHeight="false" outlineLevel="0" collapsed="false">
      <c r="A19" s="51" t="n">
        <v>36601</v>
      </c>
      <c r="B19" s="0" t="n">
        <f aca="false">B$2+B$3</f>
        <v>3.86</v>
      </c>
      <c r="C19" s="48" t="n">
        <f aca="false">GasDaily!X19</f>
        <v>3.6</v>
      </c>
      <c r="D19" s="30" t="n">
        <v>5000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17" t="n">
        <f aca="false">SUM(D19:N19)</f>
        <v>5000</v>
      </c>
      <c r="Q19" s="50"/>
      <c r="R19" s="0" t="n">
        <f aca="false">D19*($C19-D$3)</f>
        <v>925</v>
      </c>
      <c r="S19" s="0" t="n">
        <f aca="false">E19*($C19-E$3)</f>
        <v>0</v>
      </c>
      <c r="T19" s="0" t="n">
        <f aca="false">F19*($C19-F$3)</f>
        <v>0</v>
      </c>
      <c r="U19" s="0" t="n">
        <f aca="false">G19*($C19-G$3)</f>
        <v>0</v>
      </c>
      <c r="V19" s="0" t="n">
        <f aca="false">H19*($C19-H$3)</f>
        <v>0</v>
      </c>
      <c r="W19" s="0" t="n">
        <f aca="false">I19*($C19-I$3)</f>
        <v>0</v>
      </c>
      <c r="X19" s="0" t="n">
        <f aca="false">J19*($C19-J$3)</f>
        <v>0</v>
      </c>
      <c r="Y19" s="0" t="n">
        <f aca="false">K19*($C19-K$3)</f>
        <v>0</v>
      </c>
      <c r="Z19" s="0" t="n">
        <f aca="false">L19*($C19-L$3)</f>
        <v>0</v>
      </c>
      <c r="AA19" s="0" t="n">
        <f aca="false">M19*($C19-M$3)</f>
        <v>0</v>
      </c>
      <c r="AB19" s="0" t="n">
        <f aca="false">N19*($C19-N$3)</f>
        <v>0</v>
      </c>
      <c r="AE19" s="0" t="n">
        <f aca="false">SUM(R19:AD19)</f>
        <v>925</v>
      </c>
    </row>
    <row r="20" customFormat="false" ht="12.75" hidden="false" customHeight="false" outlineLevel="0" collapsed="false">
      <c r="A20" s="51" t="n">
        <v>36602</v>
      </c>
      <c r="B20" s="0" t="n">
        <f aca="false">B$2+B$3</f>
        <v>3.86</v>
      </c>
      <c r="C20" s="48" t="n">
        <f aca="false">GasDaily!X20</f>
        <v>3.6</v>
      </c>
      <c r="D20" s="30" t="n">
        <v>5000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17" t="n">
        <f aca="false">SUM(D20:N20)</f>
        <v>5000</v>
      </c>
      <c r="Q20" s="50"/>
      <c r="R20" s="0" t="n">
        <f aca="false">D20*($C20-D$3)</f>
        <v>925</v>
      </c>
      <c r="S20" s="0" t="n">
        <f aca="false">E20*($C20-E$3)</f>
        <v>0</v>
      </c>
      <c r="T20" s="0" t="n">
        <f aca="false">F20*($C20-F$3)</f>
        <v>0</v>
      </c>
      <c r="U20" s="0" t="n">
        <f aca="false">G20*($C20-G$3)</f>
        <v>0</v>
      </c>
      <c r="V20" s="0" t="n">
        <f aca="false">H20*($C20-H$3)</f>
        <v>0</v>
      </c>
      <c r="W20" s="0" t="n">
        <f aca="false">I20*($C20-I$3)</f>
        <v>0</v>
      </c>
      <c r="X20" s="0" t="n">
        <f aca="false">J20*($C20-J$3)</f>
        <v>0</v>
      </c>
      <c r="Y20" s="0" t="n">
        <f aca="false">K20*($C20-K$3)</f>
        <v>0</v>
      </c>
      <c r="Z20" s="0" t="n">
        <f aca="false">L20*($C20-L$3)</f>
        <v>0</v>
      </c>
      <c r="AA20" s="0" t="n">
        <f aca="false">M20*($C20-M$3)</f>
        <v>0</v>
      </c>
      <c r="AB20" s="0" t="n">
        <f aca="false">N20*($C20-N$3)</f>
        <v>0</v>
      </c>
      <c r="AE20" s="0" t="n">
        <f aca="false">SUM(R20:AD20)</f>
        <v>925</v>
      </c>
    </row>
    <row r="21" customFormat="false" ht="12.75" hidden="false" customHeight="false" outlineLevel="0" collapsed="false">
      <c r="A21" s="51" t="n">
        <v>36603</v>
      </c>
      <c r="B21" s="0" t="n">
        <f aca="false">B$2+B$3</f>
        <v>3.86</v>
      </c>
      <c r="C21" s="48" t="n">
        <f aca="false">GasDaily!X21</f>
        <v>3.6</v>
      </c>
      <c r="D21" s="30" t="n">
        <v>5000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17" t="n">
        <f aca="false">SUM(D21:N21)</f>
        <v>5000</v>
      </c>
      <c r="Q21" s="50"/>
      <c r="R21" s="0" t="n">
        <f aca="false">D21*($C21-D$3)</f>
        <v>925</v>
      </c>
      <c r="S21" s="0" t="n">
        <f aca="false">E21*($C21-E$3)</f>
        <v>0</v>
      </c>
      <c r="T21" s="0" t="n">
        <f aca="false">F21*($C21-F$3)</f>
        <v>0</v>
      </c>
      <c r="U21" s="0" t="n">
        <f aca="false">G21*($C21-G$3)</f>
        <v>0</v>
      </c>
      <c r="V21" s="0" t="n">
        <f aca="false">H21*($C21-H$3)</f>
        <v>0</v>
      </c>
      <c r="W21" s="0" t="n">
        <f aca="false">I21*($C21-I$3)</f>
        <v>0</v>
      </c>
      <c r="X21" s="0" t="n">
        <f aca="false">J21*($C21-J$3)</f>
        <v>0</v>
      </c>
      <c r="Y21" s="0" t="n">
        <f aca="false">K21*($C21-K$3)</f>
        <v>0</v>
      </c>
      <c r="Z21" s="0" t="n">
        <f aca="false">L21*($C21-L$3)</f>
        <v>0</v>
      </c>
      <c r="AA21" s="0" t="n">
        <f aca="false">M21*($C21-M$3)</f>
        <v>0</v>
      </c>
      <c r="AB21" s="0" t="n">
        <f aca="false">N21*($C21-N$3)</f>
        <v>0</v>
      </c>
      <c r="AE21" s="0" t="n">
        <f aca="false">SUM(R21:AD21)</f>
        <v>925</v>
      </c>
    </row>
    <row r="22" customFormat="false" ht="12.75" hidden="false" customHeight="false" outlineLevel="0" collapsed="false">
      <c r="A22" s="51" t="n">
        <v>36604</v>
      </c>
      <c r="B22" s="0" t="n">
        <f aca="false">B$2+B$3</f>
        <v>3.86</v>
      </c>
      <c r="C22" s="48" t="n">
        <f aca="false">GasDaily!X22</f>
        <v>3.6</v>
      </c>
      <c r="D22" s="30" t="n">
        <v>5000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17" t="n">
        <f aca="false">SUM(D22:N22)</f>
        <v>5000</v>
      </c>
      <c r="Q22" s="50"/>
      <c r="R22" s="0" t="n">
        <f aca="false">D22*($C22-D$3)</f>
        <v>925</v>
      </c>
      <c r="S22" s="0" t="n">
        <f aca="false">E22*($C22-E$3)</f>
        <v>0</v>
      </c>
      <c r="T22" s="0" t="n">
        <f aca="false">F22*($C22-F$3)</f>
        <v>0</v>
      </c>
      <c r="U22" s="0" t="n">
        <f aca="false">G22*($C22-G$3)</f>
        <v>0</v>
      </c>
      <c r="V22" s="0" t="n">
        <f aca="false">H22*($C22-H$3)</f>
        <v>0</v>
      </c>
      <c r="W22" s="0" t="n">
        <f aca="false">I22*($C22-I$3)</f>
        <v>0</v>
      </c>
      <c r="X22" s="0" t="n">
        <f aca="false">J22*($C22-J$3)</f>
        <v>0</v>
      </c>
      <c r="Y22" s="0" t="n">
        <f aca="false">K22*($C22-K$3)</f>
        <v>0</v>
      </c>
      <c r="Z22" s="0" t="n">
        <f aca="false">L22*($C22-L$3)</f>
        <v>0</v>
      </c>
      <c r="AA22" s="0" t="n">
        <f aca="false">M22*($C22-M$3)</f>
        <v>0</v>
      </c>
      <c r="AB22" s="0" t="n">
        <f aca="false">N22*($C22-N$3)</f>
        <v>0</v>
      </c>
      <c r="AE22" s="0" t="n">
        <f aca="false">SUM(R22:AD22)</f>
        <v>925</v>
      </c>
    </row>
    <row r="23" customFormat="false" ht="12.75" hidden="false" customHeight="false" outlineLevel="0" collapsed="false">
      <c r="A23" s="51" t="n">
        <v>36605</v>
      </c>
      <c r="B23" s="0" t="n">
        <f aca="false">B$2+B$3</f>
        <v>3.86</v>
      </c>
      <c r="C23" s="48" t="n">
        <f aca="false">GasDaily!X23</f>
        <v>3.6</v>
      </c>
      <c r="D23" s="30" t="n">
        <v>5000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17" t="n">
        <f aca="false">SUM(D23:N23)</f>
        <v>5000</v>
      </c>
      <c r="Q23" s="50"/>
      <c r="R23" s="0" t="n">
        <f aca="false">D23*($C23-D$3)</f>
        <v>925</v>
      </c>
      <c r="S23" s="0" t="n">
        <f aca="false">E23*($C23-E$3)</f>
        <v>0</v>
      </c>
      <c r="T23" s="0" t="n">
        <f aca="false">F23*($C23-F$3)</f>
        <v>0</v>
      </c>
      <c r="U23" s="0" t="n">
        <f aca="false">G23*($C23-G$3)</f>
        <v>0</v>
      </c>
      <c r="V23" s="0" t="n">
        <f aca="false">H23*($C23-H$3)</f>
        <v>0</v>
      </c>
      <c r="W23" s="0" t="n">
        <f aca="false">I23*($C23-I$3)</f>
        <v>0</v>
      </c>
      <c r="X23" s="0" t="n">
        <f aca="false">J23*($C23-J$3)</f>
        <v>0</v>
      </c>
      <c r="Y23" s="0" t="n">
        <f aca="false">K23*($C23-K$3)</f>
        <v>0</v>
      </c>
      <c r="Z23" s="0" t="n">
        <f aca="false">L23*($C23-L$3)</f>
        <v>0</v>
      </c>
      <c r="AA23" s="0" t="n">
        <f aca="false">M23*($C23-M$3)</f>
        <v>0</v>
      </c>
      <c r="AB23" s="0" t="n">
        <f aca="false">N23*($C23-N$3)</f>
        <v>0</v>
      </c>
      <c r="AE23" s="0" t="n">
        <f aca="false">SUM(R23:AD23)</f>
        <v>925</v>
      </c>
    </row>
    <row r="24" customFormat="false" ht="12.75" hidden="false" customHeight="false" outlineLevel="0" collapsed="false">
      <c r="A24" s="51" t="n">
        <v>36606</v>
      </c>
      <c r="B24" s="0" t="n">
        <f aca="false">B$2+B$3</f>
        <v>3.86</v>
      </c>
      <c r="C24" s="48" t="n">
        <f aca="false">GasDaily!X24</f>
        <v>3.6</v>
      </c>
      <c r="D24" s="30" t="n">
        <v>5000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17" t="n">
        <f aca="false">SUM(D24:N24)</f>
        <v>5000</v>
      </c>
      <c r="Q24" s="50"/>
      <c r="R24" s="0" t="n">
        <f aca="false">D24*($C24-D$3)</f>
        <v>925</v>
      </c>
      <c r="S24" s="0" t="n">
        <f aca="false">E24*($C24-E$3)</f>
        <v>0</v>
      </c>
      <c r="T24" s="0" t="n">
        <f aca="false">F24*($C24-F$3)</f>
        <v>0</v>
      </c>
      <c r="U24" s="0" t="n">
        <f aca="false">G24*($C24-G$3)</f>
        <v>0</v>
      </c>
      <c r="V24" s="0" t="n">
        <f aca="false">H24*($C24-H$3)</f>
        <v>0</v>
      </c>
      <c r="W24" s="0" t="n">
        <f aca="false">I24*($C24-I$3)</f>
        <v>0</v>
      </c>
      <c r="X24" s="0" t="n">
        <f aca="false">J24*($C24-J$3)</f>
        <v>0</v>
      </c>
      <c r="Y24" s="0" t="n">
        <f aca="false">K24*($C24-K$3)</f>
        <v>0</v>
      </c>
      <c r="Z24" s="0" t="n">
        <f aca="false">L24*($C24-L$3)</f>
        <v>0</v>
      </c>
      <c r="AA24" s="0" t="n">
        <f aca="false">M24*($C24-M$3)</f>
        <v>0</v>
      </c>
      <c r="AB24" s="0" t="n">
        <f aca="false">N24*($C24-N$3)</f>
        <v>0</v>
      </c>
      <c r="AE24" s="0" t="n">
        <f aca="false">SUM(R24:AD24)</f>
        <v>925</v>
      </c>
    </row>
    <row r="25" customFormat="false" ht="12.75" hidden="false" customHeight="false" outlineLevel="0" collapsed="false">
      <c r="A25" s="51" t="n">
        <v>36607</v>
      </c>
      <c r="B25" s="0" t="n">
        <f aca="false">B$2+B$3</f>
        <v>3.86</v>
      </c>
      <c r="C25" s="48" t="n">
        <f aca="false">GasDaily!X25</f>
        <v>3.6</v>
      </c>
      <c r="D25" s="30" t="n">
        <v>5000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17" t="n">
        <f aca="false">SUM(D25:N25)</f>
        <v>5000</v>
      </c>
      <c r="Q25" s="50"/>
      <c r="R25" s="0" t="n">
        <f aca="false">D25*($C25-D$3)</f>
        <v>925</v>
      </c>
      <c r="S25" s="0" t="n">
        <f aca="false">E25*($C25-E$3)</f>
        <v>0</v>
      </c>
      <c r="T25" s="0" t="n">
        <f aca="false">F25*($C25-F$3)</f>
        <v>0</v>
      </c>
      <c r="U25" s="0" t="n">
        <f aca="false">G25*($C25-G$3)</f>
        <v>0</v>
      </c>
      <c r="V25" s="0" t="n">
        <f aca="false">H25*($C25-H$3)</f>
        <v>0</v>
      </c>
      <c r="W25" s="0" t="n">
        <f aca="false">I25*($C25-I$3)</f>
        <v>0</v>
      </c>
      <c r="X25" s="0" t="n">
        <f aca="false">J25*($C25-J$3)</f>
        <v>0</v>
      </c>
      <c r="Y25" s="0" t="n">
        <f aca="false">K25*($C25-K$3)</f>
        <v>0</v>
      </c>
      <c r="Z25" s="0" t="n">
        <f aca="false">L25*($C25-L$3)</f>
        <v>0</v>
      </c>
      <c r="AA25" s="0" t="n">
        <f aca="false">M25*($C25-M$3)</f>
        <v>0</v>
      </c>
      <c r="AB25" s="0" t="n">
        <f aca="false">N25*($C25-N$3)</f>
        <v>0</v>
      </c>
      <c r="AE25" s="0" t="n">
        <f aca="false">SUM(R25:AD25)</f>
        <v>925</v>
      </c>
    </row>
    <row r="26" customFormat="false" ht="12.75" hidden="false" customHeight="false" outlineLevel="0" collapsed="false">
      <c r="A26" s="51" t="n">
        <v>36608</v>
      </c>
      <c r="B26" s="0" t="n">
        <f aca="false">B$2+B$3</f>
        <v>3.86</v>
      </c>
      <c r="C26" s="48" t="n">
        <f aca="false">GasDaily!X26</f>
        <v>3.6</v>
      </c>
      <c r="D26" s="30" t="n">
        <v>5000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17" t="n">
        <f aca="false">SUM(D26:N26)</f>
        <v>5000</v>
      </c>
      <c r="Q26" s="50"/>
      <c r="R26" s="0" t="n">
        <f aca="false">D26*($C26-D$3)</f>
        <v>925</v>
      </c>
      <c r="S26" s="0" t="n">
        <f aca="false">E26*($C26-E$3)</f>
        <v>0</v>
      </c>
      <c r="T26" s="0" t="n">
        <f aca="false">F26*($C26-F$3)</f>
        <v>0</v>
      </c>
      <c r="U26" s="0" t="n">
        <f aca="false">G26*($C26-G$3)</f>
        <v>0</v>
      </c>
      <c r="V26" s="0" t="n">
        <f aca="false">H26*($C26-H$3)</f>
        <v>0</v>
      </c>
      <c r="W26" s="0" t="n">
        <f aca="false">I26*($C26-I$3)</f>
        <v>0</v>
      </c>
      <c r="X26" s="0" t="n">
        <f aca="false">J26*($C26-J$3)</f>
        <v>0</v>
      </c>
      <c r="Y26" s="0" t="n">
        <f aca="false">K26*($C26-K$3)</f>
        <v>0</v>
      </c>
      <c r="Z26" s="0" t="n">
        <f aca="false">L26*($C26-L$3)</f>
        <v>0</v>
      </c>
      <c r="AA26" s="0" t="n">
        <f aca="false">M26*($C26-M$3)</f>
        <v>0</v>
      </c>
      <c r="AB26" s="0" t="n">
        <f aca="false">N26*($C26-N$3)</f>
        <v>0</v>
      </c>
      <c r="AE26" s="0" t="n">
        <f aca="false">SUM(R26:AD26)</f>
        <v>925</v>
      </c>
    </row>
    <row r="27" customFormat="false" ht="12.75" hidden="false" customHeight="false" outlineLevel="0" collapsed="false">
      <c r="A27" s="51" t="n">
        <v>36609</v>
      </c>
      <c r="B27" s="0" t="n">
        <f aca="false">B$2+B$3</f>
        <v>3.86</v>
      </c>
      <c r="C27" s="48" t="n">
        <f aca="false">GasDaily!X27</f>
        <v>3.6</v>
      </c>
      <c r="D27" s="30" t="n">
        <v>5000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17" t="n">
        <f aca="false">SUM(D27:N27)</f>
        <v>5000</v>
      </c>
      <c r="Q27" s="50"/>
      <c r="R27" s="0" t="n">
        <f aca="false">D27*($C27-D$3)</f>
        <v>925</v>
      </c>
      <c r="S27" s="0" t="n">
        <f aca="false">E27*($C27-E$3)</f>
        <v>0</v>
      </c>
      <c r="T27" s="0" t="n">
        <f aca="false">F27*($C27-F$3)</f>
        <v>0</v>
      </c>
      <c r="U27" s="0" t="n">
        <f aca="false">G27*($C27-G$3)</f>
        <v>0</v>
      </c>
      <c r="V27" s="0" t="n">
        <f aca="false">H27*($C27-H$3)</f>
        <v>0</v>
      </c>
      <c r="W27" s="0" t="n">
        <f aca="false">I27*($C27-I$3)</f>
        <v>0</v>
      </c>
      <c r="X27" s="0" t="n">
        <f aca="false">J27*($C27-J$3)</f>
        <v>0</v>
      </c>
      <c r="Y27" s="0" t="n">
        <f aca="false">K27*($C27-K$3)</f>
        <v>0</v>
      </c>
      <c r="Z27" s="0" t="n">
        <f aca="false">L27*($C27-L$3)</f>
        <v>0</v>
      </c>
      <c r="AA27" s="0" t="n">
        <f aca="false">M27*($C27-M$3)</f>
        <v>0</v>
      </c>
      <c r="AB27" s="0" t="n">
        <f aca="false">N27*($C27-N$3)</f>
        <v>0</v>
      </c>
      <c r="AE27" s="0" t="n">
        <f aca="false">SUM(R27:AD27)</f>
        <v>925</v>
      </c>
    </row>
    <row r="28" customFormat="false" ht="12.75" hidden="false" customHeight="false" outlineLevel="0" collapsed="false">
      <c r="A28" s="51" t="n">
        <v>36610</v>
      </c>
      <c r="B28" s="0" t="n">
        <f aca="false">B$2+B$3</f>
        <v>3.86</v>
      </c>
      <c r="C28" s="48" t="n">
        <f aca="false">GasDaily!X28</f>
        <v>3.6</v>
      </c>
      <c r="D28" s="30" t="n">
        <v>5000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17" t="n">
        <f aca="false">SUM(D28:N28)</f>
        <v>5000</v>
      </c>
      <c r="Q28" s="50"/>
      <c r="R28" s="0" t="n">
        <f aca="false">D28*($C28-D$3)</f>
        <v>925</v>
      </c>
      <c r="S28" s="0" t="n">
        <f aca="false">E28*($C28-E$3)</f>
        <v>0</v>
      </c>
      <c r="T28" s="0" t="n">
        <f aca="false">F28*($C28-F$3)</f>
        <v>0</v>
      </c>
      <c r="U28" s="0" t="n">
        <f aca="false">G28*($C28-G$3)</f>
        <v>0</v>
      </c>
      <c r="V28" s="0" t="n">
        <f aca="false">H28*($C28-H$3)</f>
        <v>0</v>
      </c>
      <c r="W28" s="0" t="n">
        <f aca="false">I28*($C28-I$3)</f>
        <v>0</v>
      </c>
      <c r="X28" s="0" t="n">
        <f aca="false">J28*($C28-J$3)</f>
        <v>0</v>
      </c>
      <c r="Y28" s="0" t="n">
        <f aca="false">K28*($C28-K$3)</f>
        <v>0</v>
      </c>
      <c r="Z28" s="0" t="n">
        <f aca="false">L28*($C28-L$3)</f>
        <v>0</v>
      </c>
      <c r="AA28" s="0" t="n">
        <f aca="false">M28*($C28-M$3)</f>
        <v>0</v>
      </c>
      <c r="AB28" s="0" t="n">
        <f aca="false">N28*($C28-N$3)</f>
        <v>0</v>
      </c>
      <c r="AE28" s="0" t="n">
        <f aca="false">SUM(R28:AD28)</f>
        <v>925</v>
      </c>
    </row>
    <row r="29" customFormat="false" ht="12.75" hidden="false" customHeight="false" outlineLevel="0" collapsed="false">
      <c r="A29" s="51" t="n">
        <v>36611</v>
      </c>
      <c r="B29" s="0" t="n">
        <f aca="false">B$2+B$3</f>
        <v>3.86</v>
      </c>
      <c r="C29" s="48" t="n">
        <f aca="false">GasDaily!X29</f>
        <v>3.6</v>
      </c>
      <c r="D29" s="30" t="n">
        <v>5000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17" t="n">
        <f aca="false">SUM(D29:N29)</f>
        <v>5000</v>
      </c>
      <c r="Q29" s="50"/>
      <c r="R29" s="0" t="n">
        <f aca="false">D29*($C29-D$3)</f>
        <v>925</v>
      </c>
      <c r="S29" s="0" t="n">
        <f aca="false">E29*($C29-E$3)</f>
        <v>0</v>
      </c>
      <c r="T29" s="0" t="n">
        <f aca="false">F29*($C29-F$3)</f>
        <v>0</v>
      </c>
      <c r="U29" s="0" t="n">
        <f aca="false">G29*($C29-G$3)</f>
        <v>0</v>
      </c>
      <c r="V29" s="0" t="n">
        <f aca="false">H29*($C29-H$3)</f>
        <v>0</v>
      </c>
      <c r="W29" s="0" t="n">
        <f aca="false">I29*($C29-I$3)</f>
        <v>0</v>
      </c>
      <c r="X29" s="0" t="n">
        <f aca="false">J29*($C29-J$3)</f>
        <v>0</v>
      </c>
      <c r="Y29" s="0" t="n">
        <f aca="false">K29*($C29-K$3)</f>
        <v>0</v>
      </c>
      <c r="Z29" s="0" t="n">
        <f aca="false">L29*($C29-L$3)</f>
        <v>0</v>
      </c>
      <c r="AA29" s="0" t="n">
        <f aca="false">M29*($C29-M$3)</f>
        <v>0</v>
      </c>
      <c r="AB29" s="0" t="n">
        <f aca="false">N29*($C29-N$3)</f>
        <v>0</v>
      </c>
      <c r="AE29" s="0" t="n">
        <f aca="false">SUM(R29:AD29)</f>
        <v>925</v>
      </c>
    </row>
    <row r="30" customFormat="false" ht="12.75" hidden="false" customHeight="false" outlineLevel="0" collapsed="false">
      <c r="A30" s="51" t="n">
        <v>36612</v>
      </c>
      <c r="B30" s="0" t="n">
        <f aca="false">B$2+B$3</f>
        <v>3.86</v>
      </c>
      <c r="C30" s="48" t="n">
        <f aca="false">GasDaily!X30</f>
        <v>3.6</v>
      </c>
      <c r="D30" s="30" t="n">
        <v>5000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17" t="n">
        <f aca="false">SUM(D30:N30)</f>
        <v>5000</v>
      </c>
      <c r="Q30" s="50"/>
      <c r="R30" s="0" t="n">
        <f aca="false">D30*($C30-D$3)</f>
        <v>925</v>
      </c>
      <c r="S30" s="0" t="n">
        <f aca="false">E30*($C30-E$3)</f>
        <v>0</v>
      </c>
      <c r="T30" s="0" t="n">
        <f aca="false">F30*($C30-F$3)</f>
        <v>0</v>
      </c>
      <c r="U30" s="0" t="n">
        <f aca="false">G30*($C30-G$3)</f>
        <v>0</v>
      </c>
      <c r="V30" s="0" t="n">
        <f aca="false">H30*($C30-H$3)</f>
        <v>0</v>
      </c>
      <c r="W30" s="0" t="n">
        <f aca="false">I30*($C30-I$3)</f>
        <v>0</v>
      </c>
      <c r="X30" s="0" t="n">
        <f aca="false">J30*($C30-J$3)</f>
        <v>0</v>
      </c>
      <c r="Y30" s="0" t="n">
        <f aca="false">K30*($C30-K$3)</f>
        <v>0</v>
      </c>
      <c r="Z30" s="0" t="n">
        <f aca="false">L30*($C30-L$3)</f>
        <v>0</v>
      </c>
      <c r="AA30" s="0" t="n">
        <f aca="false">M30*($C30-M$3)</f>
        <v>0</v>
      </c>
      <c r="AB30" s="0" t="n">
        <f aca="false">N30*($C30-N$3)</f>
        <v>0</v>
      </c>
      <c r="AE30" s="0" t="n">
        <f aca="false">SUM(R30:AD30)</f>
        <v>925</v>
      </c>
    </row>
    <row r="31" customFormat="false" ht="12.75" hidden="false" customHeight="false" outlineLevel="0" collapsed="false">
      <c r="A31" s="51" t="n">
        <v>36613</v>
      </c>
      <c r="B31" s="0" t="n">
        <f aca="false">B$2+B$3</f>
        <v>3.86</v>
      </c>
      <c r="C31" s="48" t="n">
        <f aca="false">GasDaily!X31</f>
        <v>3.6</v>
      </c>
      <c r="D31" s="30" t="n">
        <v>5000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7" t="n">
        <f aca="false">SUM(D31:N31)</f>
        <v>5000</v>
      </c>
      <c r="Q31" s="50"/>
      <c r="R31" s="0" t="n">
        <f aca="false">D31*($C31-D$3)</f>
        <v>925</v>
      </c>
      <c r="S31" s="0" t="n">
        <f aca="false">E31*($C31-E$3)</f>
        <v>0</v>
      </c>
      <c r="T31" s="0" t="n">
        <f aca="false">F31*($C31-F$3)</f>
        <v>0</v>
      </c>
      <c r="U31" s="0" t="n">
        <f aca="false">G31*($C31-G$3)</f>
        <v>0</v>
      </c>
      <c r="V31" s="0" t="n">
        <f aca="false">H31*($C31-H$3)</f>
        <v>0</v>
      </c>
      <c r="W31" s="0" t="n">
        <f aca="false">I31*($C31-I$3)</f>
        <v>0</v>
      </c>
      <c r="X31" s="0" t="n">
        <f aca="false">J31*($C31-J$3)</f>
        <v>0</v>
      </c>
      <c r="Y31" s="0" t="n">
        <f aca="false">K31*($C31-K$3)</f>
        <v>0</v>
      </c>
      <c r="Z31" s="0" t="n">
        <f aca="false">L31*($C31-L$3)</f>
        <v>0</v>
      </c>
      <c r="AA31" s="0" t="n">
        <f aca="false">M31*($C31-M$3)</f>
        <v>0</v>
      </c>
      <c r="AB31" s="0" t="n">
        <f aca="false">N31*($C31-N$3)</f>
        <v>0</v>
      </c>
      <c r="AE31" s="0" t="n">
        <f aca="false">SUM(R31:AD31)</f>
        <v>925</v>
      </c>
    </row>
    <row r="32" customFormat="false" ht="12.75" hidden="false" customHeight="false" outlineLevel="0" collapsed="false">
      <c r="A32" s="51" t="n">
        <v>36614</v>
      </c>
      <c r="B32" s="0" t="n">
        <f aca="false">B$2+B$3</f>
        <v>3.86</v>
      </c>
      <c r="C32" s="48" t="n">
        <f aca="false">GasDaily!X32</f>
        <v>3.6</v>
      </c>
      <c r="D32" s="30" t="n">
        <v>5000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17" t="n">
        <f aca="false">SUM(D32:N32)</f>
        <v>5000</v>
      </c>
      <c r="Q32" s="50"/>
      <c r="R32" s="0" t="n">
        <f aca="false">D32*(C32-D$3)</f>
        <v>925</v>
      </c>
      <c r="S32" s="0" t="n">
        <f aca="false">E32*($C32-E$3)</f>
        <v>0</v>
      </c>
      <c r="T32" s="0" t="n">
        <f aca="false">F32*($C32-F$3)</f>
        <v>0</v>
      </c>
      <c r="U32" s="0" t="n">
        <f aca="false">G32*($C32-G$3)</f>
        <v>0</v>
      </c>
      <c r="V32" s="0" t="n">
        <f aca="false">H32*($C32-H$3)</f>
        <v>0</v>
      </c>
      <c r="W32" s="0" t="n">
        <f aca="false">I32*($C32-I$3)</f>
        <v>0</v>
      </c>
      <c r="X32" s="0" t="n">
        <f aca="false">J32*($C32-J$3)</f>
        <v>0</v>
      </c>
      <c r="Y32" s="0" t="n">
        <f aca="false">K32*($C32-K$3)</f>
        <v>0</v>
      </c>
      <c r="Z32" s="0" t="n">
        <f aca="false">L32*($C32-L$3)</f>
        <v>0</v>
      </c>
      <c r="AA32" s="0" t="n">
        <f aca="false">M32*($C32-M$3)</f>
        <v>0</v>
      </c>
      <c r="AB32" s="0" t="n">
        <f aca="false">N32*($C32-N$3)</f>
        <v>0</v>
      </c>
      <c r="AE32" s="0" t="n">
        <f aca="false">SUM(R32:AD32)</f>
        <v>925</v>
      </c>
    </row>
    <row r="33" customFormat="false" ht="12.75" hidden="false" customHeight="false" outlineLevel="0" collapsed="false">
      <c r="A33" s="51" t="n">
        <v>36615</v>
      </c>
      <c r="B33" s="0" t="n">
        <f aca="false">B$2+B$3</f>
        <v>3.86</v>
      </c>
      <c r="C33" s="48" t="n">
        <f aca="false">GasDaily!X33</f>
        <v>3.6</v>
      </c>
      <c r="D33" s="30" t="n">
        <v>5000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P33" s="17" t="n">
        <f aca="false">SUM(D33:N33)</f>
        <v>5000</v>
      </c>
      <c r="R33" s="0" t="n">
        <f aca="false">D33*(C33-D$3)</f>
        <v>925</v>
      </c>
      <c r="S33" s="0" t="n">
        <f aca="false">E33*($C33-E$3)</f>
        <v>0</v>
      </c>
      <c r="T33" s="0" t="n">
        <f aca="false">F33*($C33-F$3)</f>
        <v>0</v>
      </c>
      <c r="U33" s="0" t="n">
        <f aca="false">G33*($C33-G$3)</f>
        <v>0</v>
      </c>
      <c r="V33" s="0" t="n">
        <f aca="false">H33*($C33-H$3)</f>
        <v>0</v>
      </c>
      <c r="W33" s="0" t="n">
        <f aca="false">I33*($C33-I$3)</f>
        <v>0</v>
      </c>
      <c r="X33" s="0" t="n">
        <f aca="false">J33*($C33-J$3)</f>
        <v>0</v>
      </c>
      <c r="Y33" s="0" t="n">
        <f aca="false">K33*($C33-K$3)</f>
        <v>0</v>
      </c>
      <c r="Z33" s="0" t="n">
        <f aca="false">L33*($C33-L$3)</f>
        <v>0</v>
      </c>
      <c r="AA33" s="0" t="n">
        <f aca="false">M33*($C33-M$3)</f>
        <v>0</v>
      </c>
      <c r="AB33" s="0" t="n">
        <f aca="false">N33*($C33-N$3)</f>
        <v>0</v>
      </c>
      <c r="AE33" s="0" t="n">
        <f aca="false">SUM(R33:AD33)</f>
        <v>925</v>
      </c>
    </row>
    <row r="34" customFormat="false" ht="12.75" hidden="false" customHeight="false" outlineLevel="0" collapsed="false">
      <c r="A34" s="51" t="n">
        <v>36616</v>
      </c>
      <c r="B34" s="0" t="n">
        <f aca="false">B$2+B$3</f>
        <v>3.86</v>
      </c>
      <c r="C34" s="48" t="n">
        <f aca="false">GasDaily!X34</f>
        <v>-0.2</v>
      </c>
      <c r="D34" s="30"/>
      <c r="E34" s="30"/>
      <c r="F34" s="30"/>
      <c r="G34" s="30"/>
      <c r="H34" s="30"/>
      <c r="I34" s="30"/>
      <c r="J34" s="30"/>
      <c r="K34" s="30"/>
      <c r="L34" s="30"/>
      <c r="P34" s="17" t="n">
        <f aca="false">SUM(D34:M34)</f>
        <v>0</v>
      </c>
      <c r="R34" s="0" t="n">
        <f aca="false">D34*(C34-D$3)</f>
        <v>-0</v>
      </c>
      <c r="S34" s="0" t="n">
        <f aca="false">E34*($C34-E$3)</f>
        <v>-0</v>
      </c>
      <c r="T34" s="0" t="n">
        <f aca="false">F34*($C34-F$3)</f>
        <v>-0</v>
      </c>
      <c r="U34" s="0" t="n">
        <f aca="false">G34*($C34-G$3)</f>
        <v>-0</v>
      </c>
      <c r="V34" s="0" t="n">
        <f aca="false">H34*($C34-H$3)</f>
        <v>-0</v>
      </c>
      <c r="W34" s="0" t="n">
        <f aca="false">I34*($C34-I$3)</f>
        <v>-0</v>
      </c>
      <c r="X34" s="0" t="n">
        <f aca="false">J34*($C34-J$3)</f>
        <v>-0</v>
      </c>
      <c r="Y34" s="0" t="n">
        <f aca="false">K34*($C34-K$3)</f>
        <v>-0</v>
      </c>
      <c r="Z34" s="0" t="n">
        <f aca="false">L34*($C34-L$3)</f>
        <v>-0</v>
      </c>
      <c r="AA34" s="0" t="n">
        <f aca="false">M34*($C34-M$3)</f>
        <v>-0</v>
      </c>
      <c r="AB34" s="0" t="n">
        <f aca="false">N34*($C34-N$3)</f>
        <v>-0</v>
      </c>
      <c r="AE34" s="0" t="n">
        <f aca="false">SUM(R34:AD34)</f>
        <v>0</v>
      </c>
    </row>
    <row r="35" customFormat="false" ht="12.75" hidden="false" customHeight="false" outlineLevel="0" collapsed="false">
      <c r="A35" s="51"/>
      <c r="C35" s="48"/>
      <c r="D35" s="30"/>
      <c r="E35" s="30"/>
      <c r="F35" s="30"/>
      <c r="G35" s="30"/>
      <c r="H35" s="30"/>
      <c r="I35" s="30"/>
      <c r="J35" s="30"/>
      <c r="K35" s="30"/>
      <c r="L35" s="30"/>
    </row>
    <row r="36" customFormat="false" ht="12.75" hidden="false" customHeight="false" outlineLevel="0" collapsed="false">
      <c r="P36" s="17" t="n">
        <f aca="false">SUM(P15:P34)</f>
        <v>95000</v>
      </c>
      <c r="AE36" s="52" t="n">
        <f aca="false">SUM(AE4:AE34)</f>
        <v>14650</v>
      </c>
    </row>
    <row r="37" customFormat="false" ht="12.75" hidden="false" customHeight="false" outlineLevel="0" collapsed="false">
      <c r="A37" s="0" t="n">
        <f aca="false">COUNT(A31:A33)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4" width="9.14"/>
    <col collapsed="false" customWidth="true" hidden="false" outlineLevel="0" max="2" min="2" style="0" width="9.41"/>
    <col collapsed="false" customWidth="true" hidden="false" outlineLevel="0" max="3" min="3" style="55" width="17.14"/>
    <col collapsed="false" customWidth="true" hidden="false" outlineLevel="0" max="4" min="4" style="0" width="3.14"/>
    <col collapsed="false" customWidth="true" hidden="false" outlineLevel="0" max="5" min="5" style="56" width="10.13"/>
    <col collapsed="false" customWidth="true" hidden="false" outlineLevel="0" max="6" min="6" style="0" width="9.41"/>
    <col collapsed="false" customWidth="true" hidden="false" outlineLevel="0" max="7" min="7" style="57" width="15.28"/>
    <col collapsed="false" customWidth="true" hidden="false" outlineLevel="0" max="8" min="8" style="0" width="2.84"/>
    <col collapsed="false" customWidth="true" hidden="false" outlineLevel="0" max="9" min="9" style="58" width="14.85"/>
    <col collapsed="false" customWidth="true" hidden="false" outlineLevel="0" max="10" min="10" style="0" width="2.13"/>
    <col collapsed="false" customWidth="true" hidden="false" outlineLevel="0" max="11" min="11" style="0" width="21.7"/>
  </cols>
  <sheetData>
    <row r="1" customFormat="false" ht="12.75" hidden="false" customHeight="false" outlineLevel="0" collapsed="false">
      <c r="A1" s="59" t="s">
        <v>529</v>
      </c>
      <c r="B1" s="6"/>
      <c r="C1" s="60"/>
      <c r="D1" s="21"/>
      <c r="E1" s="59" t="s">
        <v>530</v>
      </c>
      <c r="F1" s="6"/>
      <c r="G1" s="61"/>
      <c r="I1" s="62"/>
      <c r="K1" s="63"/>
    </row>
    <row r="2" customFormat="false" ht="12.75" hidden="false" customHeight="false" outlineLevel="0" collapsed="false">
      <c r="A2" s="64" t="n">
        <v>106</v>
      </c>
      <c r="B2" s="6" t="n">
        <v>3.81</v>
      </c>
      <c r="C2" s="60" t="n">
        <f aca="false">A2*B2*10000</f>
        <v>4038600</v>
      </c>
      <c r="D2" s="21"/>
      <c r="E2" s="65" t="n">
        <v>31</v>
      </c>
      <c r="F2" s="66" t="n">
        <v>3.76</v>
      </c>
      <c r="G2" s="67" t="n">
        <f aca="false">E2*F2*10000</f>
        <v>1165600</v>
      </c>
      <c r="I2" s="68"/>
    </row>
    <row r="3" customFormat="false" ht="12.75" hidden="false" customHeight="false" outlineLevel="0" collapsed="false">
      <c r="A3" s="64" t="n">
        <v>46.5</v>
      </c>
      <c r="B3" s="6" t="n">
        <v>3.79</v>
      </c>
      <c r="C3" s="60" t="n">
        <f aca="false">A3*B3*10000</f>
        <v>1762350</v>
      </c>
      <c r="D3" s="21"/>
      <c r="E3" s="69" t="n">
        <v>31</v>
      </c>
      <c r="F3" s="6" t="n">
        <v>3.76</v>
      </c>
      <c r="G3" s="67" t="n">
        <f aca="false">E3*F3*10000</f>
        <v>1165600</v>
      </c>
      <c r="I3" s="70"/>
      <c r="K3" s="71"/>
    </row>
    <row r="4" customFormat="false" ht="12.75" hidden="false" customHeight="false" outlineLevel="0" collapsed="false">
      <c r="A4" s="72" t="n">
        <v>23.25</v>
      </c>
      <c r="B4" s="66" t="n">
        <v>3.925</v>
      </c>
      <c r="C4" s="60" t="n">
        <f aca="false">A4*B4*10000</f>
        <v>912562.5</v>
      </c>
      <c r="D4" s="21"/>
      <c r="E4" s="69" t="n">
        <v>38.75</v>
      </c>
      <c r="F4" s="6" t="n">
        <v>3.705</v>
      </c>
      <c r="G4" s="67" t="n">
        <f aca="false">E4*F4*10000</f>
        <v>1435687.5</v>
      </c>
      <c r="J4" s="68"/>
      <c r="K4" s="21" t="n">
        <f aca="false">4.69+0.032</f>
        <v>4.722</v>
      </c>
    </row>
    <row r="5" customFormat="false" ht="12.75" hidden="false" customHeight="false" outlineLevel="0" collapsed="false">
      <c r="A5" s="72" t="n">
        <v>31</v>
      </c>
      <c r="B5" s="66" t="n">
        <v>4.065</v>
      </c>
      <c r="C5" s="60" t="n">
        <f aca="false">A5*B5*10000</f>
        <v>1260150</v>
      </c>
      <c r="D5" s="21"/>
      <c r="E5" s="65" t="n">
        <v>15.5</v>
      </c>
      <c r="F5" s="66" t="n">
        <v>3.695</v>
      </c>
      <c r="G5" s="67" t="n">
        <f aca="false">E5*F5*10000</f>
        <v>572725</v>
      </c>
      <c r="I5" s="68"/>
      <c r="J5" s="40"/>
      <c r="K5" s="21"/>
    </row>
    <row r="6" customFormat="false" ht="12.75" hidden="false" customHeight="false" outlineLevel="0" collapsed="false">
      <c r="A6" s="73" t="n">
        <v>15.5</v>
      </c>
      <c r="B6" s="6" t="n">
        <v>4.05</v>
      </c>
      <c r="C6" s="60" t="n">
        <f aca="false">A6*B6*10000</f>
        <v>627750</v>
      </c>
      <c r="D6" s="21"/>
      <c r="E6" s="69" t="n">
        <v>38.75</v>
      </c>
      <c r="F6" s="6" t="n">
        <v>3.905</v>
      </c>
      <c r="G6" s="67" t="n">
        <f aca="false">E6*F6*10000</f>
        <v>1513187.5</v>
      </c>
      <c r="I6" s="68"/>
      <c r="J6" s="40"/>
      <c r="K6" s="21"/>
    </row>
    <row r="7" customFormat="false" ht="12.75" hidden="false" customHeight="false" outlineLevel="0" collapsed="false">
      <c r="A7" s="69" t="n">
        <v>31</v>
      </c>
      <c r="B7" s="6" t="n">
        <v>3.98</v>
      </c>
      <c r="C7" s="60" t="n">
        <f aca="false">A7*B7*10000</f>
        <v>1233800</v>
      </c>
      <c r="D7" s="21"/>
      <c r="E7" s="69" t="n">
        <v>31</v>
      </c>
      <c r="F7" s="6" t="n">
        <v>3.81</v>
      </c>
      <c r="G7" s="67" t="n">
        <f aca="false">E7*F7*10000</f>
        <v>1181100</v>
      </c>
      <c r="I7" s="68"/>
    </row>
    <row r="8" customFormat="false" ht="12.75" hidden="false" customHeight="false" outlineLevel="0" collapsed="false">
      <c r="A8" s="69" t="n">
        <v>31</v>
      </c>
      <c r="B8" s="6" t="n">
        <v>3.985</v>
      </c>
      <c r="C8" s="60" t="n">
        <f aca="false">A8*B8*10000</f>
        <v>1235350</v>
      </c>
      <c r="D8" s="21"/>
      <c r="E8" s="69" t="n">
        <v>31</v>
      </c>
      <c r="F8" s="6" t="n">
        <v>3.895</v>
      </c>
      <c r="G8" s="67" t="n">
        <f aca="false">E8*F8*10000</f>
        <v>1207450</v>
      </c>
      <c r="I8" s="68"/>
      <c r="K8" s="21"/>
    </row>
    <row r="9" customFormat="false" ht="12.75" hidden="false" customHeight="false" outlineLevel="0" collapsed="false">
      <c r="A9" s="69" t="n">
        <v>31</v>
      </c>
      <c r="B9" s="6" t="n">
        <v>3.86</v>
      </c>
      <c r="C9" s="60" t="n">
        <f aca="false">A9*B9*10000</f>
        <v>1196600</v>
      </c>
      <c r="D9" s="21"/>
      <c r="E9" s="69" t="n">
        <v>23.25</v>
      </c>
      <c r="F9" s="6" t="n">
        <v>3.925</v>
      </c>
      <c r="G9" s="67" t="n">
        <f aca="false">E9*F9*10000</f>
        <v>912562.5</v>
      </c>
      <c r="I9" s="68"/>
    </row>
    <row r="10" customFormat="false" ht="12.75" hidden="false" customHeight="false" outlineLevel="0" collapsed="false">
      <c r="A10" s="69" t="n">
        <v>31</v>
      </c>
      <c r="B10" s="6" t="n">
        <v>3.95</v>
      </c>
      <c r="C10" s="60" t="n">
        <f aca="false">A10*B10*10000</f>
        <v>1224500</v>
      </c>
      <c r="D10" s="21"/>
      <c r="E10" s="69" t="n">
        <v>23.25</v>
      </c>
      <c r="F10" s="6" t="n">
        <v>3.82</v>
      </c>
      <c r="G10" s="67" t="n">
        <f aca="false">E10*F10*10000</f>
        <v>888150</v>
      </c>
      <c r="I10" s="68"/>
    </row>
    <row r="11" customFormat="false" ht="12.75" hidden="false" customHeight="false" outlineLevel="0" collapsed="false">
      <c r="A11" s="69" t="n">
        <v>31</v>
      </c>
      <c r="B11" s="6" t="n">
        <v>4.04</v>
      </c>
      <c r="C11" s="60" t="n">
        <f aca="false">A11*B11*10000</f>
        <v>1252400</v>
      </c>
      <c r="D11" s="21"/>
      <c r="E11" s="69" t="n">
        <v>15.5</v>
      </c>
      <c r="F11" s="6" t="n">
        <v>4.06</v>
      </c>
      <c r="G11" s="67" t="n">
        <f aca="false">E11*F11*10000</f>
        <v>629300</v>
      </c>
      <c r="I11" s="68"/>
    </row>
    <row r="12" customFormat="false" ht="12.75" hidden="false" customHeight="false" outlineLevel="0" collapsed="false">
      <c r="A12" s="69" t="n">
        <v>15.5</v>
      </c>
      <c r="B12" s="6" t="n">
        <v>4.135</v>
      </c>
      <c r="C12" s="60" t="n">
        <f aca="false">A12*B12*10000</f>
        <v>640925</v>
      </c>
      <c r="D12" s="21"/>
      <c r="E12" s="69" t="n">
        <v>46.5</v>
      </c>
      <c r="F12" s="6" t="n">
        <v>4.16</v>
      </c>
      <c r="G12" s="67" t="n">
        <f aca="false">E12*F12*10000</f>
        <v>1934400</v>
      </c>
      <c r="I12" s="68"/>
    </row>
    <row r="13" customFormat="false" ht="12.75" hidden="false" customHeight="false" outlineLevel="0" collapsed="false">
      <c r="A13" s="69" t="n">
        <v>15.5</v>
      </c>
      <c r="B13" s="6" t="n">
        <v>4.15</v>
      </c>
      <c r="C13" s="60" t="n">
        <f aca="false">A13*B13*10000</f>
        <v>643250</v>
      </c>
      <c r="D13" s="21"/>
      <c r="E13" s="69" t="n">
        <v>15.5</v>
      </c>
      <c r="F13" s="6" t="n">
        <v>4.035</v>
      </c>
      <c r="G13" s="67" t="n">
        <f aca="false">E13*F13*10000</f>
        <v>625425</v>
      </c>
      <c r="I13" s="68"/>
      <c r="L13" s="0" t="n">
        <f aca="false">2500*31</f>
        <v>77500</v>
      </c>
      <c r="M13" s="0" t="n">
        <f aca="false">L13/10000</f>
        <v>7.75</v>
      </c>
    </row>
    <row r="14" customFormat="false" ht="12.75" hidden="false" customHeight="false" outlineLevel="0" collapsed="false">
      <c r="A14" s="69" t="n">
        <v>15.5</v>
      </c>
      <c r="B14" s="6" t="n">
        <v>4.17</v>
      </c>
      <c r="C14" s="60" t="n">
        <f aca="false">A14*B14*10000</f>
        <v>646350</v>
      </c>
      <c r="D14" s="21"/>
      <c r="E14" s="65" t="n">
        <v>31</v>
      </c>
      <c r="F14" s="66" t="n">
        <v>3.9625</v>
      </c>
      <c r="G14" s="67" t="n">
        <f aca="false">E14*F14*10000</f>
        <v>1228375</v>
      </c>
      <c r="I14" s="68"/>
      <c r="L14" s="0" t="n">
        <f aca="false">5000*31</f>
        <v>155000</v>
      </c>
      <c r="M14" s="0" t="n">
        <f aca="false">L14/10000</f>
        <v>15.5</v>
      </c>
    </row>
    <row r="15" customFormat="false" ht="12.75" hidden="false" customHeight="false" outlineLevel="0" collapsed="false">
      <c r="A15" s="69" t="n">
        <v>31</v>
      </c>
      <c r="B15" s="6" t="n">
        <v>4.13</v>
      </c>
      <c r="C15" s="60" t="n">
        <f aca="false">A15*B15*10000</f>
        <v>1280300</v>
      </c>
      <c r="D15" s="21"/>
      <c r="E15" s="65" t="n">
        <v>31</v>
      </c>
      <c r="F15" s="66" t="n">
        <v>3.88</v>
      </c>
      <c r="G15" s="67" t="n">
        <f aca="false">E15*F15*10000</f>
        <v>1202800</v>
      </c>
      <c r="I15" s="68"/>
      <c r="L15" s="0" t="n">
        <f aca="false">7500*31</f>
        <v>232500</v>
      </c>
      <c r="M15" s="0" t="n">
        <f aca="false">L15/10000</f>
        <v>23.25</v>
      </c>
    </row>
    <row r="16" customFormat="false" ht="12.75" hidden="false" customHeight="false" outlineLevel="0" collapsed="false">
      <c r="A16" s="69" t="n">
        <v>31</v>
      </c>
      <c r="B16" s="6" t="n">
        <v>3.925</v>
      </c>
      <c r="C16" s="60" t="n">
        <f aca="false">A16*B16*10000</f>
        <v>1216750</v>
      </c>
      <c r="D16" s="21"/>
      <c r="E16" s="65" t="n">
        <v>31</v>
      </c>
      <c r="F16" s="66" t="n">
        <v>3.77</v>
      </c>
      <c r="G16" s="67" t="n">
        <f aca="false">E16*F16*10000</f>
        <v>1168700</v>
      </c>
      <c r="I16" s="68"/>
      <c r="L16" s="0" t="n">
        <f aca="false">12500*31</f>
        <v>387500</v>
      </c>
      <c r="M16" s="0" t="n">
        <f aca="false">L16/10000</f>
        <v>38.75</v>
      </c>
    </row>
    <row r="17" customFormat="false" ht="12.75" hidden="false" customHeight="false" outlineLevel="0" collapsed="false">
      <c r="A17" s="69" t="n">
        <v>31</v>
      </c>
      <c r="B17" s="6" t="n">
        <v>3.85</v>
      </c>
      <c r="C17" s="60" t="n">
        <f aca="false">A17*B17*10000</f>
        <v>1193500</v>
      </c>
      <c r="D17" s="21"/>
      <c r="E17" s="65" t="n">
        <v>15.5</v>
      </c>
      <c r="F17" s="66" t="n">
        <v>3.765</v>
      </c>
      <c r="G17" s="67" t="n">
        <f aca="false">E17*F17*10000</f>
        <v>583575</v>
      </c>
      <c r="I17" s="68"/>
      <c r="L17" s="0" t="n">
        <f aca="false">17500*31</f>
        <v>542500</v>
      </c>
      <c r="M17" s="0" t="n">
        <f aca="false">L17/10000</f>
        <v>54.25</v>
      </c>
    </row>
    <row r="18" customFormat="false" ht="12.75" hidden="false" customHeight="false" outlineLevel="0" collapsed="false">
      <c r="A18" s="69" t="n">
        <v>15.5</v>
      </c>
      <c r="B18" s="6" t="n">
        <v>3.87</v>
      </c>
      <c r="C18" s="60" t="n">
        <f aca="false">A18*B18*10000</f>
        <v>599850</v>
      </c>
      <c r="D18" s="21"/>
      <c r="E18" s="65" t="n">
        <v>31</v>
      </c>
      <c r="F18" s="66" t="n">
        <v>3.7525</v>
      </c>
      <c r="G18" s="67" t="n">
        <f aca="false">E18*F18*10000</f>
        <v>1163275</v>
      </c>
      <c r="I18" s="68"/>
    </row>
    <row r="19" customFormat="false" ht="12.75" hidden="false" customHeight="false" outlineLevel="0" collapsed="false">
      <c r="A19" s="69" t="n">
        <v>31</v>
      </c>
      <c r="B19" s="6" t="n">
        <v>3.865</v>
      </c>
      <c r="C19" s="60" t="n">
        <f aca="false">A19*B19*10000</f>
        <v>1198150</v>
      </c>
      <c r="D19" s="21"/>
      <c r="E19" s="65" t="n">
        <v>31</v>
      </c>
      <c r="F19" s="66" t="n">
        <v>3.7825</v>
      </c>
      <c r="G19" s="67" t="n">
        <f aca="false">E19*F19*10000</f>
        <v>1172575</v>
      </c>
      <c r="I19" s="68"/>
    </row>
    <row r="20" customFormat="false" ht="12.75" hidden="false" customHeight="false" outlineLevel="0" collapsed="false">
      <c r="A20" s="69" t="n">
        <v>31</v>
      </c>
      <c r="B20" s="6" t="n">
        <v>3.775</v>
      </c>
      <c r="C20" s="60" t="n">
        <f aca="false">A20*B20*10000</f>
        <v>1170250</v>
      </c>
      <c r="D20" s="21"/>
      <c r="E20" s="65" t="n">
        <v>15.5</v>
      </c>
      <c r="F20" s="66" t="n">
        <v>3.79</v>
      </c>
      <c r="G20" s="67" t="n">
        <f aca="false">E20*F20*10000</f>
        <v>587450</v>
      </c>
      <c r="I20" s="68"/>
    </row>
    <row r="21" customFormat="false" ht="12.75" hidden="false" customHeight="false" outlineLevel="0" collapsed="false">
      <c r="A21" s="69" t="n">
        <v>15.5</v>
      </c>
      <c r="B21" s="6" t="n">
        <v>3.8</v>
      </c>
      <c r="C21" s="60" t="n">
        <f aca="false">A21*B21*10000</f>
        <v>589000</v>
      </c>
      <c r="D21" s="21"/>
      <c r="E21" s="65" t="n">
        <v>46.5</v>
      </c>
      <c r="F21" s="66" t="n">
        <v>3.85</v>
      </c>
      <c r="G21" s="67" t="n">
        <f aca="false">E21*F21*10000</f>
        <v>1790250</v>
      </c>
      <c r="I21" s="68"/>
    </row>
    <row r="22" customFormat="false" ht="12.75" hidden="false" customHeight="false" outlineLevel="0" collapsed="false">
      <c r="A22" s="69" t="n">
        <v>23.25</v>
      </c>
      <c r="B22" s="6" t="n">
        <v>3.78</v>
      </c>
      <c r="C22" s="60" t="n">
        <f aca="false">A22*B22*10000</f>
        <v>878850</v>
      </c>
      <c r="D22" s="21"/>
      <c r="E22" s="65" t="n">
        <v>31</v>
      </c>
      <c r="F22" s="66" t="n">
        <v>3.855</v>
      </c>
      <c r="G22" s="67" t="n">
        <f aca="false">E22*F22*10000</f>
        <v>1195050</v>
      </c>
      <c r="I22" s="68"/>
    </row>
    <row r="23" customFormat="false" ht="12.75" hidden="false" customHeight="false" outlineLevel="0" collapsed="false">
      <c r="A23" s="69" t="n">
        <v>15.5</v>
      </c>
      <c r="B23" s="6" t="n">
        <v>3.83</v>
      </c>
      <c r="C23" s="60" t="n">
        <f aca="false">A23*B23*10000</f>
        <v>593650</v>
      </c>
      <c r="D23" s="21"/>
      <c r="E23" s="65" t="n">
        <v>62</v>
      </c>
      <c r="F23" s="66" t="n">
        <v>3.9</v>
      </c>
      <c r="G23" s="67" t="n">
        <f aca="false">E23*F23*10000</f>
        <v>2418000</v>
      </c>
      <c r="I23" s="68"/>
    </row>
    <row r="24" customFormat="false" ht="12" hidden="false" customHeight="true" outlineLevel="0" collapsed="false">
      <c r="A24" s="69" t="n">
        <v>31</v>
      </c>
      <c r="B24" s="6" t="n">
        <v>3.785</v>
      </c>
      <c r="C24" s="60" t="n">
        <f aca="false">A24*B24*10000</f>
        <v>1173350</v>
      </c>
      <c r="D24" s="21"/>
      <c r="E24" s="65"/>
      <c r="F24" s="66"/>
      <c r="G24" s="67" t="n">
        <f aca="false">E24*F24*10000</f>
        <v>0</v>
      </c>
      <c r="I24" s="68"/>
    </row>
    <row r="25" customFormat="false" ht="12" hidden="false" customHeight="true" outlineLevel="0" collapsed="false">
      <c r="A25" s="69" t="n">
        <v>31</v>
      </c>
      <c r="B25" s="6" t="n">
        <v>3.83</v>
      </c>
      <c r="C25" s="60" t="n">
        <f aca="false">A25*B25*10000</f>
        <v>1187300</v>
      </c>
      <c r="D25" s="21"/>
      <c r="E25" s="65"/>
      <c r="F25" s="66"/>
      <c r="G25" s="67" t="n">
        <f aca="false">E25*F25*10000</f>
        <v>0</v>
      </c>
      <c r="I25" s="68"/>
    </row>
    <row r="26" customFormat="false" ht="12" hidden="false" customHeight="true" outlineLevel="0" collapsed="false">
      <c r="A26" s="69" t="n">
        <v>15.5</v>
      </c>
      <c r="B26" s="6" t="n">
        <v>3.865</v>
      </c>
      <c r="C26" s="60" t="n">
        <f aca="false">A26*B26*10000</f>
        <v>599075</v>
      </c>
      <c r="D26" s="21"/>
      <c r="E26" s="65"/>
      <c r="F26" s="66"/>
      <c r="G26" s="67" t="n">
        <f aca="false">E26*F26*10000</f>
        <v>0</v>
      </c>
      <c r="I26" s="68" t="s">
        <v>531</v>
      </c>
      <c r="K26" s="0" t="n">
        <f aca="false">7500*31</f>
        <v>232500</v>
      </c>
    </row>
    <row r="27" customFormat="false" ht="12" hidden="false" customHeight="true" outlineLevel="0" collapsed="false">
      <c r="A27" s="69" t="n">
        <v>15.5</v>
      </c>
      <c r="B27" s="6" t="n">
        <v>3.87</v>
      </c>
      <c r="C27" s="60" t="n">
        <f aca="false">A27*B27*10000</f>
        <v>599850</v>
      </c>
      <c r="D27" s="21"/>
      <c r="E27" s="65"/>
      <c r="F27" s="66"/>
      <c r="G27" s="67" t="n">
        <f aca="false">E27*F27*10000</f>
        <v>0</v>
      </c>
      <c r="I27" s="68"/>
    </row>
    <row r="28" customFormat="false" ht="12" hidden="false" customHeight="true" outlineLevel="0" collapsed="false">
      <c r="A28" s="69"/>
      <c r="B28" s="6"/>
      <c r="C28" s="60" t="n">
        <f aca="false">A28*B28*10000</f>
        <v>0</v>
      </c>
      <c r="D28" s="21"/>
      <c r="E28" s="65"/>
      <c r="F28" s="66"/>
      <c r="G28" s="67" t="n">
        <f aca="false">E28*F28*10000</f>
        <v>0</v>
      </c>
      <c r="I28" s="68"/>
    </row>
    <row r="29" customFormat="false" ht="12" hidden="false" customHeight="true" outlineLevel="0" collapsed="false">
      <c r="A29" s="69"/>
      <c r="B29" s="6"/>
      <c r="C29" s="60" t="n">
        <f aca="false">A29*B29*10000</f>
        <v>0</v>
      </c>
      <c r="D29" s="21"/>
      <c r="E29" s="65"/>
      <c r="F29" s="66"/>
      <c r="G29" s="67" t="n">
        <f aca="false">E29*F29*10000</f>
        <v>0</v>
      </c>
      <c r="I29" s="68"/>
    </row>
    <row r="30" customFormat="false" ht="10.5" hidden="false" customHeight="true" outlineLevel="0" collapsed="false">
      <c r="A30" s="69"/>
      <c r="B30" s="6"/>
      <c r="C30" s="60" t="n">
        <f aca="false">A30*B30*10000</f>
        <v>0</v>
      </c>
      <c r="D30" s="21"/>
      <c r="E30" s="65"/>
      <c r="F30" s="66"/>
      <c r="G30" s="67" t="n">
        <f aca="false">E30*F30*10000</f>
        <v>0</v>
      </c>
      <c r="I30" s="68"/>
    </row>
    <row r="31" customFormat="false" ht="10.5" hidden="false" customHeight="true" outlineLevel="0" collapsed="false">
      <c r="A31" s="69"/>
      <c r="B31" s="6"/>
      <c r="C31" s="60" t="n">
        <f aca="false">A31*B31*10000</f>
        <v>0</v>
      </c>
      <c r="D31" s="21"/>
      <c r="E31" s="65"/>
      <c r="F31" s="66"/>
      <c r="G31" s="67" t="n">
        <f aca="false">E31*F31*10000</f>
        <v>0</v>
      </c>
      <c r="I31" s="68"/>
    </row>
    <row r="32" customFormat="false" ht="10.5" hidden="false" customHeight="true" outlineLevel="0" collapsed="false">
      <c r="A32" s="69"/>
      <c r="B32" s="6"/>
      <c r="C32" s="60" t="n">
        <f aca="false">A32*B32*10000</f>
        <v>0</v>
      </c>
      <c r="D32" s="21"/>
      <c r="E32" s="65"/>
      <c r="F32" s="66"/>
      <c r="G32" s="67" t="n">
        <f aca="false">E32*F32*10000</f>
        <v>0</v>
      </c>
      <c r="I32" s="68"/>
    </row>
    <row r="33" customFormat="false" ht="10.5" hidden="false" customHeight="true" outlineLevel="0" collapsed="false">
      <c r="A33" s="69"/>
      <c r="B33" s="6"/>
      <c r="C33" s="60" t="n">
        <f aca="false">A33*B33*10000</f>
        <v>0</v>
      </c>
      <c r="D33" s="21"/>
      <c r="E33" s="65"/>
      <c r="F33" s="66"/>
      <c r="G33" s="67" t="n">
        <f aca="false">E33*F33*10000</f>
        <v>0</v>
      </c>
      <c r="I33" s="68"/>
    </row>
    <row r="34" customFormat="false" ht="10.5" hidden="false" customHeight="true" outlineLevel="0" collapsed="false">
      <c r="A34" s="69"/>
      <c r="B34" s="6"/>
      <c r="C34" s="60" t="n">
        <f aca="false">A34*B34*10000</f>
        <v>0</v>
      </c>
      <c r="D34" s="21"/>
      <c r="E34" s="65"/>
      <c r="F34" s="66"/>
      <c r="G34" s="67" t="n">
        <f aca="false">E34*F34*10000</f>
        <v>0</v>
      </c>
      <c r="I34" s="68"/>
    </row>
    <row r="35" customFormat="false" ht="12" hidden="false" customHeight="true" outlineLevel="0" collapsed="false">
      <c r="A35" s="69"/>
      <c r="B35" s="6"/>
      <c r="C35" s="60" t="n">
        <f aca="false">A35*B35*10000</f>
        <v>0</v>
      </c>
      <c r="D35" s="21"/>
      <c r="E35" s="65"/>
      <c r="F35" s="66"/>
      <c r="G35" s="67" t="n">
        <f aca="false">E35*F35*10000</f>
        <v>0</v>
      </c>
      <c r="I35" s="68"/>
    </row>
    <row r="36" customFormat="false" ht="12.75" hidden="false" customHeight="false" outlineLevel="0" collapsed="false">
      <c r="E36" s="54"/>
      <c r="G36" s="74"/>
    </row>
    <row r="37" customFormat="false" ht="12.75" hidden="false" customHeight="false" outlineLevel="0" collapsed="false">
      <c r="A37" s="69" t="n">
        <f aca="false">SUM(A1:A36)</f>
        <v>741.5</v>
      </c>
      <c r="B37" s="6" t="n">
        <f aca="false">IF(A37=0,0,C37/A37/10000)</f>
        <v>3.90484996628456</v>
      </c>
      <c r="C37" s="60" t="n">
        <f aca="false">SUM(C1:C36)</f>
        <v>28954462.5</v>
      </c>
      <c r="E37" s="69" t="n">
        <f aca="false">SUM(E1:E36)</f>
        <v>666.5</v>
      </c>
      <c r="F37" s="6" t="n">
        <f aca="false">IF(E37=0,0,G37/E37/10000)</f>
        <v>3.8621511627907</v>
      </c>
      <c r="G37" s="67" t="n">
        <f aca="false">SUM(G1:G36)</f>
        <v>25741237.5</v>
      </c>
      <c r="I37" s="75" t="n">
        <f aca="false">MIN(A37,E37)*(B37-F37)*10000</f>
        <v>284587.525286583</v>
      </c>
      <c r="J37" s="76"/>
      <c r="K37" s="76" t="s">
        <v>532</v>
      </c>
      <c r="L37" s="21"/>
      <c r="M37" s="21"/>
    </row>
    <row r="38" customFormat="false" ht="12.75" hidden="false" customHeight="false" outlineLevel="0" collapsed="false">
      <c r="I38" s="75"/>
      <c r="J38" s="76"/>
      <c r="K38" s="76"/>
      <c r="L38" s="21"/>
      <c r="M38" s="21"/>
    </row>
    <row r="39" customFormat="false" ht="12.75" hidden="false" customHeight="false" outlineLevel="0" collapsed="false">
      <c r="E39" s="56" t="n">
        <f aca="false">-A37+E37</f>
        <v>-75</v>
      </c>
      <c r="F39" s="0" t="n">
        <f aca="false">IF(E39&lt;0,B37,F37)</f>
        <v>3.90484996628456</v>
      </c>
      <c r="G39" s="57" t="n">
        <f aca="false">IF(E39&lt;0,(F39-B42)*ABS(E39)*10000,-1*(F39-B42)*ABS(E39)*10000)</f>
        <v>-12862.5252865812</v>
      </c>
      <c r="I39" s="75" t="n">
        <f aca="false">G39</f>
        <v>-12862.5252865812</v>
      </c>
      <c r="J39" s="76"/>
      <c r="K39" s="76" t="s">
        <v>533</v>
      </c>
      <c r="L39" s="21"/>
      <c r="M39" s="21" t="s">
        <v>534</v>
      </c>
    </row>
    <row r="40" customFormat="false" ht="12.75" hidden="false" customHeight="false" outlineLevel="0" collapsed="false">
      <c r="L40" s="21"/>
      <c r="M40" s="21"/>
    </row>
    <row r="41" customFormat="false" ht="12.75" hidden="false" customHeight="false" outlineLevel="0" collapsed="false">
      <c r="E41" s="56" t="n">
        <f aca="false">-A37+E37</f>
        <v>-75</v>
      </c>
      <c r="F41" s="0" t="n">
        <f aca="false">IF(E41&lt;0,(B37+(I37/(ABS(E41)*10000))),IF(E41=0,0,(F37-(I37/(ABS(E41)*10000)))))</f>
        <v>4.2843</v>
      </c>
      <c r="G41" s="57" t="n">
        <f aca="false">IF(E41&lt;0,(F41-B42)*ABS(E41)*10000,IF(E41=0,0,-1*(F41-B42)*ABS(E41)*10000))</f>
        <v>271725.000000002</v>
      </c>
      <c r="I41" s="77" t="n">
        <f aca="false">G41</f>
        <v>271725.000000002</v>
      </c>
      <c r="J41" s="78"/>
      <c r="K41" s="78" t="s">
        <v>535</v>
      </c>
      <c r="L41" s="21"/>
      <c r="M41" s="21" t="s">
        <v>536</v>
      </c>
    </row>
    <row r="42" customFormat="false" ht="12.75" hidden="false" customHeight="false" outlineLevel="0" collapsed="false">
      <c r="B42" s="0" t="n">
        <f aca="false">IF(ISBLANK(B43),'[1]Nymex Prices'!B10,B43)</f>
        <v>3.922</v>
      </c>
      <c r="C42" s="55" t="s">
        <v>537</v>
      </c>
      <c r="L42" s="21"/>
      <c r="M42" s="21"/>
    </row>
    <row r="43" customFormat="false" ht="12.75" hidden="false" customHeight="false" outlineLevel="0" collapsed="false">
      <c r="B43" s="0" t="n">
        <f aca="false">Summary!B5</f>
        <v>3.922</v>
      </c>
      <c r="C43" s="55" t="s">
        <v>538</v>
      </c>
      <c r="I43" s="79" t="n">
        <f aca="false">I37+I39</f>
        <v>271725.000000002</v>
      </c>
      <c r="J43" s="80"/>
      <c r="K43" s="80" t="s">
        <v>539</v>
      </c>
      <c r="L43" s="21"/>
      <c r="M43" s="21"/>
    </row>
    <row r="50" customFormat="false" ht="12.75" hidden="false" customHeight="false" outlineLevel="0" collapsed="false">
      <c r="A50" s="56"/>
    </row>
    <row r="53" customFormat="false" ht="12.75" hidden="false" customHeight="false" outlineLevel="0" collapsed="false">
      <c r="A5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2000-01-26T14:56:34Z</dcterms:created>
  <dc:creator>Joe Parks</dc:creator>
  <dc:description/>
  <dc:language>en-US</dc:language>
  <cp:lastModifiedBy>jparks</cp:lastModifiedBy>
  <cp:lastPrinted>2001-06-06T09:41:09Z</cp:lastPrinted>
  <dcterms:modified xsi:type="dcterms:W3CDTF">2001-06-08T18:56:33Z</dcterms:modified>
  <cp:revision>0</cp:revision>
  <dc:subject/>
  <dc:title/>
</cp:coreProperties>
</file>