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9.xml" ContentType="application/vnd.openxmlformats-officedocument.spreadsheetml.externalLink+xml"/>
  <Override PartName="/xl/externalLinks/_rels/externalLink11.xml.rels" ContentType="application/vnd.openxmlformats-package.relationships+xml"/>
  <Override PartName="/xl/externalLinks/_rels/externalLink5.xml.rels" ContentType="application/vnd.openxmlformats-package.relationships+xml"/>
  <Override PartName="/xl/externalLinks/_rels/externalLink6.xml.rels" ContentType="application/vnd.openxmlformats-package.relationships+xml"/>
  <Override PartName="/xl/externalLinks/_rels/externalLink10.xml.rels" ContentType="application/vnd.openxmlformats-package.relationships+xml"/>
  <Override PartName="/xl/externalLinks/_rels/externalLink4.xml.rels" ContentType="application/vnd.openxmlformats-package.relationships+xml"/>
  <Override PartName="/xl/externalLinks/_rels/externalLink9.xml.rels" ContentType="application/vnd.openxmlformats-package.relationships+xml"/>
  <Override PartName="/xl/externalLinks/_rels/externalLink13.xml.rels" ContentType="application/vnd.openxmlformats-package.relationships+xml"/>
  <Override PartName="/xl/externalLinks/_rels/externalLink8.xml.rels" ContentType="application/vnd.openxmlformats-package.relationships+xml"/>
  <Override PartName="/xl/externalLinks/_rels/externalLink12.xml.rels" ContentType="application/vnd.openxmlformats-package.relationships+xml"/>
  <Override PartName="/xl/externalLinks/_rels/externalLink7.xml.rels" ContentType="application/vnd.openxmlformats-package.relationships+xml"/>
  <Override PartName="/xl/externalLinks/_rels/externalLink18.xml.rels" ContentType="application/vnd.openxmlformats-package.relationships+xml"/>
  <Override PartName="/xl/externalLinks/_rels/externalLink1.xml.rels" ContentType="application/vnd.openxmlformats-package.relationships+xml"/>
  <Override PartName="/xl/externalLinks/_rels/externalLink17.xml.rels" ContentType="application/vnd.openxmlformats-package.relationships+xml"/>
  <Override PartName="/xl/externalLinks/_rels/externalLink16.xml.rels" ContentType="application/vnd.openxmlformats-package.relationships+xml"/>
  <Override PartName="/xl/externalLinks/_rels/externalLink15.xml.rels" ContentType="application/vnd.openxmlformats-package.relationships+xml"/>
  <Override PartName="/xl/externalLinks/_rels/externalLink14.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8.xml" ContentType="application/vnd.openxmlformats-officedocument.spreadsheetml.externalLink+xml"/>
  <Override PartName="/xl/externalLinks/externalLink13.xml" ContentType="application/vnd.openxmlformats-officedocument.spreadsheetml.externalLink+xml"/>
  <Override PartName="/xl/externalLinks/externalLink7.xml" ContentType="application/vnd.openxmlformats-officedocument.spreadsheetml.externalLink+xml"/>
  <Override PartName="/xl/externalLinks/externalLink12.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5.xml" ContentType="application/vnd.openxmlformats-officedocument.spreadsheetml.externalLink+xml"/>
  <Override PartName="/xl/externalLinks/externalLink11.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con to Houston" sheetId="1" state="visible" r:id="rId3"/>
    <sheet name="SUM-USD" sheetId="2" state="visible" r:id="rId4"/>
    <sheet name="SUM - C$" sheetId="3" state="visible"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3" authorId="0">
      <text>
        <r>
          <rPr>
            <b val="true"/>
            <sz val="12"/>
            <color rgb="FF000000"/>
            <rFont val="Tahoma"/>
            <family val="0"/>
          </rPr>
          <t xml:space="preserve">kreeve1:
</t>
        </r>
        <r>
          <rPr>
            <sz val="12"/>
            <color rgb="FF000000"/>
            <rFont val="Tahoma"/>
            <family val="0"/>
          </rPr>
          <t xml:space="preserve">Origination recorded in IM not picked up by Houston.  This is orig will be backed out of IM in Feb and booked in term so that Houston can pick it up.</t>
        </r>
      </text>
      <mc:AlternateContent>
        <mc:Choice Requires="v2">
          <commentPr autoFill="true" autoScale="false" colHidden="false" locked="false" rowHidden="false" textHAlign="justify" textVAlign="top">
            <anchor moveWithCells="false" sizeWithCells="false">
              <xdr:from>
                <xdr:col>4</xdr:col>
                <xdr:colOff>16</xdr:colOff>
                <xdr:row>11</xdr:row>
                <xdr:rowOff>10</xdr:rowOff>
              </xdr:from>
              <xdr:to>
                <xdr:col>6</xdr:col>
                <xdr:colOff>65</xdr:colOff>
                <xdr:row>15</xdr:row>
                <xdr:rowOff>17</xdr:rowOff>
              </xdr:to>
            </anchor>
          </commentPr>
        </mc:Choice>
        <mc:Fallback/>
      </mc:AlternateContent>
    </comment>
    <comment ref="G5" authorId="0">
      <text>
        <r>
          <rPr>
            <b val="true"/>
            <sz val="12"/>
            <color rgb="FF000000"/>
            <rFont val="Tahoma"/>
            <family val="0"/>
          </rPr>
          <t xml:space="preserve">kreeve1:
</t>
        </r>
        <r>
          <rPr>
            <sz val="12"/>
            <color rgb="FF000000"/>
            <rFont val="Tahoma"/>
            <family val="0"/>
          </rPr>
          <t xml:space="preserve">As per Robin, they must have picked up a non final DPR, she will carry it through to March's p&amp;l</t>
        </r>
      </text>
      <mc:AlternateContent>
        <mc:Choice Requires="v2">
          <commentPr autoFill="true" autoScale="false" colHidden="false" locked="false" rowHidden="false" textHAlign="justify" textVAlign="top">
            <anchor moveWithCells="false" sizeWithCells="false">
              <xdr:from>
                <xdr:col>7</xdr:col>
                <xdr:colOff>16</xdr:colOff>
                <xdr:row>3</xdr:row>
                <xdr:rowOff>11</xdr:rowOff>
              </xdr:from>
              <xdr:to>
                <xdr:col>9</xdr:col>
                <xdr:colOff>65</xdr:colOff>
                <xdr:row>7</xdr:row>
                <xdr:rowOff>12</xdr:rowOff>
              </xdr:to>
            </anchor>
          </commentPr>
        </mc:Choice>
        <mc:Fallback/>
      </mc:AlternateContent>
    </comment>
    <comment ref="J5" authorId="0">
      <text>
        <r>
          <rPr>
            <b val="true"/>
            <sz val="12"/>
            <color rgb="FF000000"/>
            <rFont val="Tahoma"/>
            <family val="0"/>
          </rPr>
          <t xml:space="preserve">kreeve1:
</t>
        </r>
        <r>
          <rPr>
            <sz val="12"/>
            <color rgb="FF000000"/>
            <rFont val="Tahoma"/>
            <family val="0"/>
          </rPr>
          <t xml:space="preserve">As per Robin, they must have picked up a non final DPR, she will carry it through to March's p&amp;l</t>
        </r>
      </text>
      <mc:AlternateContent>
        <mc:Choice Requires="v2">
          <commentPr autoFill="true" autoScale="false" colHidden="false" locked="false" rowHidden="false" textHAlign="justify" textVAlign="top">
            <anchor moveWithCells="false" sizeWithCells="false">
              <xdr:from>
                <xdr:col>10</xdr:col>
                <xdr:colOff>16</xdr:colOff>
                <xdr:row>3</xdr:row>
                <xdr:rowOff>8</xdr:rowOff>
              </xdr:from>
              <xdr:to>
                <xdr:col>12</xdr:col>
                <xdr:colOff>65</xdr:colOff>
                <xdr:row>7</xdr:row>
                <xdr:rowOff>9</xdr:rowOff>
              </xdr:to>
            </anchor>
          </commentPr>
        </mc:Choice>
        <mc:Fallback/>
      </mc:AlternateContent>
    </comment>
    <comment ref="U5" authorId="0">
      <text>
        <r>
          <rPr>
            <b val="true"/>
            <sz val="12"/>
            <color rgb="FF000000"/>
            <rFont val="Tahoma"/>
            <family val="0"/>
          </rPr>
          <t xml:space="preserve">kreeve1:
</t>
        </r>
        <r>
          <rPr>
            <sz val="12"/>
            <color rgb="FF000000"/>
            <rFont val="Tahoma"/>
            <family val="0"/>
          </rPr>
          <t xml:space="preserve">As per Robin, they must have picked up a non final DPR, she will carry it through to March's p&amp;l</t>
        </r>
      </text>
      <mc:AlternateContent>
        <mc:Choice Requires="v2">
          <commentPr autoFill="true" autoScale="false" colHidden="false" locked="false" rowHidden="false" textHAlign="justify" textVAlign="top">
            <anchor moveWithCells="false" sizeWithCells="false">
              <xdr:from>
                <xdr:col>19</xdr:col>
                <xdr:colOff>44</xdr:colOff>
                <xdr:row>3</xdr:row>
                <xdr:rowOff>11</xdr:rowOff>
              </xdr:from>
              <xdr:to>
                <xdr:col>22</xdr:col>
                <xdr:colOff>70</xdr:colOff>
                <xdr:row>7</xdr:row>
                <xdr:rowOff>12</xdr:rowOff>
              </xdr:to>
            </anchor>
          </commentPr>
        </mc:Choice>
        <mc:Fallback/>
      </mc:AlternateContent>
    </comment>
    <comment ref="Y5" authorId="0">
      <text>
        <r>
          <rPr>
            <b val="true"/>
            <sz val="12"/>
            <color rgb="FF000000"/>
            <rFont val="Tahoma"/>
            <family val="0"/>
          </rPr>
          <t xml:space="preserve">kreeve1:
</t>
        </r>
        <r>
          <rPr>
            <sz val="12"/>
            <color rgb="FF000000"/>
            <rFont val="Tahoma"/>
            <family val="0"/>
          </rPr>
          <t xml:space="preserve">As per Robin, they must have picked up a non final DPR, she will carry it through to March's p&amp;l</t>
        </r>
      </text>
      <mc:AlternateContent>
        <mc:Choice Requires="v2">
          <commentPr autoFill="true" autoScale="false" colHidden="false" locked="false" rowHidden="false" textHAlign="justify" textVAlign="top">
            <anchor moveWithCells="false" sizeWithCells="false">
              <xdr:from>
                <xdr:col>25</xdr:col>
                <xdr:colOff>43</xdr:colOff>
                <xdr:row>3</xdr:row>
                <xdr:rowOff>8</xdr:rowOff>
              </xdr:from>
              <xdr:to>
                <xdr:col>28</xdr:col>
                <xdr:colOff>43</xdr:colOff>
                <xdr:row>7</xdr:row>
                <xdr:rowOff>9</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32" authorId="0">
      <text>
        <r>
          <rPr>
            <b val="true"/>
            <sz val="12"/>
            <color rgb="FF000000"/>
            <rFont val="Tahoma"/>
            <family val="0"/>
          </rPr>
          <t xml:space="preserve">kreeve1:
</t>
        </r>
        <r>
          <rPr>
            <sz val="12"/>
            <color rgb="FF000000"/>
            <rFont val="Tahoma"/>
            <family val="0"/>
          </rPr>
          <t xml:space="preserve">P&amp;L from bc pipe accrues to Lambie to April 23rd and then to McKay</t>
        </r>
      </text>
      <mc:AlternateContent>
        <mc:Choice Requires="v2">
          <commentPr autoFill="true" autoScale="false" colHidden="false" locked="false" rowHidden="false" textHAlign="justify" textVAlign="top">
            <anchor moveWithCells="false" sizeWithCells="false">
              <xdr:from>
                <xdr:col>5</xdr:col>
                <xdr:colOff>16</xdr:colOff>
                <xdr:row>30</xdr:row>
                <xdr:rowOff>7</xdr:rowOff>
              </xdr:from>
              <xdr:to>
                <xdr:col>14</xdr:col>
                <xdr:colOff>68</xdr:colOff>
                <xdr:row>37</xdr:row>
                <xdr:rowOff>10</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30" authorId="0">
      <text>
        <r>
          <rPr>
            <b val="true"/>
            <sz val="12"/>
            <color rgb="FF000000"/>
            <rFont val="Tahoma"/>
            <family val="0"/>
          </rPr>
          <t xml:space="preserve">kreeve1:
</t>
        </r>
        <r>
          <rPr>
            <sz val="12"/>
            <color rgb="FF000000"/>
            <rFont val="Tahoma"/>
            <family val="0"/>
          </rPr>
          <t xml:space="preserve">BC p&amp;l to go to Lambie to the 23rd and McKay thereafter</t>
        </r>
      </text>
      <mc:AlternateContent>
        <mc:Choice Requires="v2">
          <commentPr autoFill="true" autoScale="false" colHidden="false" locked="false" rowHidden="false" textHAlign="justify" textVAlign="top">
            <anchor moveWithCells="false" sizeWithCells="false">
              <xdr:from>
                <xdr:col>5</xdr:col>
                <xdr:colOff>14</xdr:colOff>
                <xdr:row>28</xdr:row>
                <xdr:rowOff>7</xdr:rowOff>
              </xdr:from>
              <xdr:to>
                <xdr:col>7</xdr:col>
                <xdr:colOff>63</xdr:colOff>
                <xdr:row>35</xdr:row>
                <xdr:rowOff>10</xdr:rowOff>
              </xdr:to>
            </anchor>
          </commentPr>
        </mc:Choice>
        <mc:Fallback/>
      </mc:AlternateContent>
    </comment>
  </commentList>
</comments>
</file>

<file path=xl/sharedStrings.xml><?xml version="1.0" encoding="utf-8"?>
<sst xmlns="http://schemas.openxmlformats.org/spreadsheetml/2006/main" count="120" uniqueCount="62">
  <si>
    <t xml:space="preserve">RECONCILATION TO HOUSTON REPORTED P&amp;L</t>
  </si>
  <si>
    <t xml:space="preserve">January</t>
  </si>
  <si>
    <t xml:space="preserve">February</t>
  </si>
  <si>
    <t xml:space="preserve">March</t>
  </si>
  <si>
    <t xml:space="preserve">April</t>
  </si>
  <si>
    <t xml:space="preserve">May</t>
  </si>
  <si>
    <t xml:space="preserve">Total</t>
  </si>
  <si>
    <t xml:space="preserve">Trader</t>
  </si>
  <si>
    <t xml:space="preserve">HOUSTON</t>
  </si>
  <si>
    <t xml:space="preserve">CALGARY</t>
  </si>
  <si>
    <t xml:space="preserve">DIFF</t>
  </si>
  <si>
    <t xml:space="preserve">McKay Firm</t>
  </si>
  <si>
    <t xml:space="preserve">McKay Intra</t>
  </si>
  <si>
    <t xml:space="preserve">Lambie Firm</t>
  </si>
  <si>
    <t xml:space="preserve">Lambie Intra</t>
  </si>
  <si>
    <t xml:space="preserve">Mckay</t>
  </si>
  <si>
    <t xml:space="preserve">Clark</t>
  </si>
  <si>
    <t xml:space="preserve">Cowan</t>
  </si>
  <si>
    <t xml:space="preserve">Lambie</t>
  </si>
  <si>
    <t xml:space="preserve">Le Dain (Origination)</t>
  </si>
  <si>
    <t xml:space="preserve">Disturnal</t>
  </si>
  <si>
    <t xml:space="preserve">TOTAL</t>
  </si>
  <si>
    <t xml:space="preserve">Origination - Term</t>
  </si>
  <si>
    <t xml:space="preserve">Origination - IM</t>
  </si>
  <si>
    <t xml:space="preserve">Origination - Total</t>
  </si>
  <si>
    <t xml:space="preserve">SUMMARY OF CANADA'S TRADING INCOME BY TRADER - IN US$</t>
  </si>
  <si>
    <t xml:space="preserve">FX - AVG OF MNTH</t>
  </si>
  <si>
    <t xml:space="preserve">Q1</t>
  </si>
  <si>
    <t xml:space="preserve">Q2</t>
  </si>
  <si>
    <t xml:space="preserve">Q3</t>
  </si>
  <si>
    <t xml:space="preserve">Q4</t>
  </si>
  <si>
    <t xml:space="preserve">BY BOOK:</t>
  </si>
  <si>
    <t xml:space="preserve">TERM:</t>
  </si>
  <si>
    <t xml:space="preserve">CASH</t>
  </si>
  <si>
    <t xml:space="preserve">Alberta Cash</t>
  </si>
  <si>
    <t xml:space="preserve">BC Cash</t>
  </si>
  <si>
    <t xml:space="preserve">BC Pipe Cash</t>
  </si>
  <si>
    <t xml:space="preserve">Alberta Term - GD</t>
  </si>
  <si>
    <t xml:space="preserve">Options - GD</t>
  </si>
  <si>
    <t xml:space="preserve">TOTAL CANADA</t>
  </si>
  <si>
    <t xml:space="preserve">BY RISK TYPE:</t>
  </si>
  <si>
    <t xml:space="preserve">Total Term</t>
  </si>
  <si>
    <t xml:space="preserve">Check</t>
  </si>
  <si>
    <t xml:space="preserve">Total Cash</t>
  </si>
  <si>
    <t xml:space="preserve">BY AREA - TRADER:</t>
  </si>
  <si>
    <r>
      <rPr>
        <sz val="10"/>
        <rFont val="Arial"/>
        <family val="0"/>
      </rPr>
      <t xml:space="preserve">Alberta Term - </t>
    </r>
    <r>
      <rPr>
        <b val="true"/>
        <sz val="10"/>
        <rFont val="Arial"/>
        <family val="2"/>
      </rPr>
      <t xml:space="preserve">Mckay</t>
    </r>
  </si>
  <si>
    <r>
      <rPr>
        <sz val="10"/>
        <rFont val="Arial"/>
        <family val="0"/>
      </rPr>
      <t xml:space="preserve">BC Term -</t>
    </r>
    <r>
      <rPr>
        <b val="true"/>
        <sz val="10"/>
        <rFont val="Arial"/>
        <family val="2"/>
      </rPr>
      <t xml:space="preserve"> Lambie</t>
    </r>
  </si>
  <si>
    <r>
      <rPr>
        <sz val="10"/>
        <rFont val="Arial"/>
        <family val="0"/>
      </rPr>
      <t xml:space="preserve">Options - </t>
    </r>
    <r>
      <rPr>
        <b val="true"/>
        <sz val="10"/>
        <rFont val="Arial"/>
        <family val="2"/>
      </rPr>
      <t xml:space="preserve">Disturnal</t>
    </r>
  </si>
  <si>
    <r>
      <rPr>
        <sz val="10"/>
        <rFont val="Arial"/>
        <family val="0"/>
      </rPr>
      <t xml:space="preserve">Alberta Cash -</t>
    </r>
    <r>
      <rPr>
        <b val="true"/>
        <sz val="10"/>
        <rFont val="Arial"/>
        <family val="2"/>
      </rPr>
      <t xml:space="preserve"> Cowan</t>
    </r>
  </si>
  <si>
    <r>
      <rPr>
        <sz val="10"/>
        <rFont val="Arial"/>
        <family val="0"/>
      </rPr>
      <t xml:space="preserve">BC Cash - </t>
    </r>
    <r>
      <rPr>
        <b val="true"/>
        <sz val="10"/>
        <rFont val="Arial"/>
        <family val="2"/>
      </rPr>
      <t xml:space="preserve">Clark</t>
    </r>
  </si>
  <si>
    <t xml:space="preserve">WITHOUT OPTIONS</t>
  </si>
  <si>
    <t xml:space="preserve">ORIGINATION</t>
  </si>
  <si>
    <t xml:space="preserve">ADJUSTED CANADA</t>
  </si>
  <si>
    <t xml:space="preserve">AS PER HOUSTON</t>
  </si>
  <si>
    <t xml:space="preserve">DIFFERENCE</t>
  </si>
  <si>
    <t xml:space="preserve">SUMMARY OF CANADA'S TRADING INCOME BY TRADER - IN C$</t>
  </si>
  <si>
    <t xml:space="preserve">To date</t>
  </si>
  <si>
    <t xml:space="preserve">Alberta Term</t>
  </si>
  <si>
    <t xml:space="preserve">BC Term</t>
  </si>
  <si>
    <t xml:space="preserve">Pipe Book - Term</t>
  </si>
  <si>
    <t xml:space="preserve">Options</t>
  </si>
  <si>
    <t xml:space="preserve">BY AREA/TRADER:</t>
  </si>
</sst>
</file>

<file path=xl/styles.xml><?xml version="1.0" encoding="utf-8"?>
<styleSheet xmlns="http://schemas.openxmlformats.org/spreadsheetml/2006/main">
  <numFmts count="10">
    <numFmt numFmtId="164" formatCode="General"/>
    <numFmt numFmtId="165" formatCode="[$-409]#,##0_);[RED]\(#,##0\)"/>
    <numFmt numFmtId="166" formatCode="0.0000"/>
    <numFmt numFmtId="167" formatCode="_(* #,##0.00_);_(* \(#,##0.00\);_(* \-??_);_(@_)"/>
    <numFmt numFmtId="168" formatCode="mmm\-yyyy"/>
    <numFmt numFmtId="169" formatCode="[$-409]mmm\-yy"/>
    <numFmt numFmtId="170" formatCode="_(* #,##0_);_(* \(#,##0\);_(* \-_);_(@_)"/>
    <numFmt numFmtId="171" formatCode="_(* #,##0_);_(* \(#,##0\);_(* \-??_);_(@_)"/>
    <numFmt numFmtId="172" formatCode="\$#,##0_);[RED]&quot;($&quot;#,##0\)"/>
    <numFmt numFmtId="173" formatCode="\$#,##0_);&quot;($&quot;#,##0\)"/>
  </numFmts>
  <fonts count="14">
    <font>
      <sz val="10"/>
      <name val="Arial"/>
      <family val="0"/>
    </font>
    <font>
      <sz val="10"/>
      <name val="Arial"/>
      <family val="0"/>
    </font>
    <font>
      <sz val="10"/>
      <name val="Arial"/>
      <family val="0"/>
    </font>
    <font>
      <sz val="10"/>
      <name val="Arial"/>
      <family val="0"/>
    </font>
    <font>
      <b val="true"/>
      <sz val="14"/>
      <name val="Arial"/>
      <family val="2"/>
    </font>
    <font>
      <b val="true"/>
      <sz val="12"/>
      <name val="Arial"/>
      <family val="2"/>
    </font>
    <font>
      <b val="true"/>
      <sz val="10"/>
      <name val="Arial"/>
      <family val="2"/>
    </font>
    <font>
      <b val="true"/>
      <sz val="12"/>
      <color rgb="FF000000"/>
      <name val="Tahoma"/>
      <family val="0"/>
    </font>
    <font>
      <sz val="12"/>
      <color rgb="FF000000"/>
      <name val="Tahoma"/>
      <family val="0"/>
    </font>
    <font>
      <i val="true"/>
      <sz val="10"/>
      <name val="Arial"/>
      <family val="2"/>
    </font>
    <font>
      <i val="true"/>
      <sz val="8"/>
      <name val="Arial"/>
      <family val="2"/>
    </font>
    <font>
      <b val="true"/>
      <u val="single"/>
      <sz val="10"/>
      <name val="Arial"/>
      <family val="2"/>
    </font>
    <font>
      <i val="true"/>
      <u val="single"/>
      <sz val="10"/>
      <name val="Arial"/>
      <family val="2"/>
    </font>
    <font>
      <sz val="8"/>
      <name val="Arial"/>
      <family val="2"/>
    </font>
  </fonts>
  <fills count="12">
    <fill>
      <patternFill patternType="none"/>
    </fill>
    <fill>
      <patternFill patternType="gray125"/>
    </fill>
    <fill>
      <patternFill patternType="solid">
        <fgColor rgb="FFFFFF00"/>
        <bgColor rgb="FFFFFF00"/>
      </patternFill>
    </fill>
    <fill>
      <patternFill patternType="solid">
        <fgColor rgb="FFC0C0C0"/>
        <bgColor rgb="FFCCCCFF"/>
      </patternFill>
    </fill>
    <fill>
      <patternFill patternType="solid">
        <fgColor rgb="FFCCFFCC"/>
        <bgColor rgb="FFCCFFFF"/>
      </patternFill>
    </fill>
    <fill>
      <patternFill patternType="solid">
        <fgColor rgb="FFCCFFFF"/>
        <bgColor rgb="FFCCFFFF"/>
      </patternFill>
    </fill>
    <fill>
      <patternFill patternType="solid">
        <fgColor rgb="FFFF99CC"/>
        <bgColor rgb="FFFF8080"/>
      </patternFill>
    </fill>
    <fill>
      <patternFill patternType="solid">
        <fgColor rgb="FFFFFF99"/>
        <bgColor rgb="FFFFFFCC"/>
      </patternFill>
    </fill>
    <fill>
      <patternFill patternType="solid">
        <fgColor rgb="FFFFCC99"/>
        <bgColor rgb="FFC0C0C0"/>
      </patternFill>
    </fill>
    <fill>
      <patternFill patternType="solid">
        <fgColor rgb="FFCC99FF"/>
        <bgColor rgb="FF9999FF"/>
      </patternFill>
    </fill>
    <fill>
      <patternFill patternType="solid">
        <fgColor rgb="FF99CCFF"/>
        <bgColor rgb="FFCCCCFF"/>
      </patternFill>
    </fill>
    <fill>
      <patternFill patternType="solid">
        <fgColor rgb="FF00FF00"/>
        <bgColor rgb="FF33CCCC"/>
      </patternFill>
    </fill>
  </fills>
  <borders count="29">
    <border diagonalUp="false" diagonalDown="false">
      <left/>
      <right/>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top style="medium"/>
      <bottom/>
      <diagonal/>
    </border>
    <border diagonalUp="false" diagonalDown="false">
      <left style="thin"/>
      <right style="medium"/>
      <top style="medium"/>
      <bottom/>
      <diagonal/>
    </border>
    <border diagonalUp="false" diagonalDown="false">
      <left style="medium"/>
      <right/>
      <top/>
      <bottom/>
      <diagonal/>
    </border>
    <border diagonalUp="false" diagonalDown="false">
      <left style="thin"/>
      <right/>
      <top/>
      <bottom/>
      <diagonal/>
    </border>
    <border diagonalUp="false" diagonalDown="false">
      <left style="thin"/>
      <right style="medium"/>
      <top/>
      <bottom/>
      <diagonal/>
    </border>
    <border diagonalUp="false" diagonalDown="false">
      <left style="medium"/>
      <right/>
      <top/>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top style="medium"/>
      <bottom/>
      <diagonal/>
    </border>
    <border diagonalUp="false" diagonalDown="false">
      <left/>
      <right/>
      <top style="medium"/>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right/>
      <top/>
      <bottom style="medium"/>
      <diagonal/>
    </border>
    <border diagonalUp="false" diagonalDown="false">
      <left style="medium"/>
      <right style="medium"/>
      <top style="thin"/>
      <bottom style="medium"/>
      <diagonal/>
    </border>
    <border diagonalUp="false" diagonalDown="false">
      <left/>
      <right style="medium"/>
      <top style="medium"/>
      <bottom/>
      <diagonal/>
    </border>
    <border diagonalUp="false" diagonalDown="false">
      <left/>
      <right style="medium"/>
      <top/>
      <bottom style="medium"/>
      <diagonal/>
    </border>
    <border diagonalUp="false" diagonalDown="false">
      <left/>
      <right style="medium"/>
      <top/>
      <botto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2" borderId="1" xfId="20" applyFont="true" applyBorder="true" applyAlignment="true" applyProtection="false">
      <alignment horizontal="center" vertical="bottom" textRotation="0" wrapText="false" indent="0" shrinkToFit="false"/>
      <protection locked="true" hidden="false"/>
    </xf>
    <xf numFmtId="164" fontId="0" fillId="2" borderId="2" xfId="20" applyFont="true" applyBorder="true" applyAlignment="true" applyProtection="false">
      <alignment horizontal="center"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0" fillId="3" borderId="4" xfId="20" applyFont="true" applyBorder="true" applyAlignment="true" applyProtection="false">
      <alignment horizontal="center" vertical="bottom" textRotation="0" wrapText="false" indent="0" shrinkToFit="false"/>
      <protection locked="true" hidden="false"/>
    </xf>
    <xf numFmtId="164" fontId="6" fillId="4" borderId="5" xfId="0" applyFont="true" applyBorder="true" applyAlignment="true" applyProtection="false">
      <alignment horizontal="center" vertical="bottom" textRotation="0" wrapText="false" indent="0" shrinkToFit="false"/>
      <protection locked="true" hidden="false"/>
    </xf>
    <xf numFmtId="164" fontId="0" fillId="5" borderId="6" xfId="20" applyFont="true" applyBorder="true" applyAlignment="true" applyProtection="false">
      <alignment horizontal="left" vertical="bottom" textRotation="0" wrapText="false" indent="0" shrinkToFit="false"/>
      <protection locked="true" hidden="false"/>
    </xf>
    <xf numFmtId="165" fontId="0" fillId="0" borderId="7" xfId="20" applyFont="true" applyBorder="true" applyAlignment="false" applyProtection="false">
      <alignment horizontal="general" vertical="bottom" textRotation="0" wrapText="false" indent="0" shrinkToFit="false"/>
      <protection locked="true" hidden="false"/>
    </xf>
    <xf numFmtId="165" fontId="0" fillId="0" borderId="8" xfId="20" applyFont="true" applyBorder="true" applyAlignment="false" applyProtection="false">
      <alignment horizontal="general" vertical="bottom" textRotation="0" wrapText="false" indent="0" shrinkToFit="false"/>
      <protection locked="true" hidden="false"/>
    </xf>
    <xf numFmtId="165" fontId="0" fillId="6" borderId="8" xfId="2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5" borderId="9" xfId="20" applyFont="true" applyBorder="true" applyAlignment="true" applyProtection="false">
      <alignment horizontal="left" vertical="bottom" textRotation="0" wrapText="false" indent="0" shrinkToFit="false"/>
      <protection locked="true" hidden="false"/>
    </xf>
    <xf numFmtId="165" fontId="0" fillId="0" borderId="10" xfId="20" applyFont="true" applyBorder="true" applyAlignment="false" applyProtection="false">
      <alignment horizontal="general" vertical="bottom" textRotation="0" wrapText="false" indent="0" shrinkToFit="false"/>
      <protection locked="true" hidden="false"/>
    </xf>
    <xf numFmtId="165" fontId="0" fillId="0" borderId="11" xfId="20" applyFont="true" applyBorder="true" applyAlignment="false" applyProtection="false">
      <alignment horizontal="general" vertical="bottom" textRotation="0" wrapText="false" indent="0" shrinkToFit="false"/>
      <protection locked="true" hidden="false"/>
    </xf>
    <xf numFmtId="164" fontId="0" fillId="5" borderId="12" xfId="20" applyFont="true" applyBorder="true" applyAlignment="true" applyProtection="false">
      <alignment horizontal="left" vertical="bottom" textRotation="0" wrapText="false" indent="0" shrinkToFit="false"/>
      <protection locked="true" hidden="false"/>
    </xf>
    <xf numFmtId="165" fontId="0" fillId="0" borderId="13" xfId="20" applyFont="true" applyBorder="true" applyAlignment="false" applyProtection="false">
      <alignment horizontal="general" vertical="bottom" textRotation="0" wrapText="false" indent="0" shrinkToFit="false"/>
      <protection locked="true" hidden="false"/>
    </xf>
    <xf numFmtId="165" fontId="0" fillId="0" borderId="14" xfId="20" applyFont="true" applyBorder="true" applyAlignment="false" applyProtection="false">
      <alignment horizontal="general" vertical="bottom" textRotation="0" wrapText="false" indent="0" shrinkToFit="false"/>
      <protection locked="true" hidden="false"/>
    </xf>
    <xf numFmtId="165" fontId="0" fillId="7" borderId="11" xfId="20" applyFont="true" applyBorder="true" applyAlignment="false" applyProtection="false">
      <alignment horizontal="general" vertical="bottom" textRotation="0" wrapText="false" indent="0" shrinkToFit="false"/>
      <protection locked="true" hidden="false"/>
    </xf>
    <xf numFmtId="165" fontId="0" fillId="0" borderId="11" xfId="20" applyFont="true" applyBorder="true" applyAlignment="false" applyProtection="false">
      <alignment horizontal="general" vertical="bottom" textRotation="0" wrapText="false" indent="0" shrinkToFit="false"/>
      <protection locked="true" hidden="false"/>
    </xf>
    <xf numFmtId="165" fontId="0" fillId="0" borderId="15" xfId="20" applyFont="true" applyBorder="true" applyAlignment="false" applyProtection="false">
      <alignment horizontal="general" vertical="bottom" textRotation="0" wrapText="false" indent="0" shrinkToFit="false"/>
      <protection locked="true" hidden="false"/>
    </xf>
    <xf numFmtId="165" fontId="0" fillId="0" borderId="16" xfId="20" applyFont="true" applyBorder="true" applyAlignment="false" applyProtection="false">
      <alignment horizontal="general" vertical="bottom" textRotation="0" wrapText="false" indent="0" shrinkToFit="false"/>
      <protection locked="true" hidden="false"/>
    </xf>
    <xf numFmtId="164" fontId="6" fillId="4" borderId="17" xfId="0" applyFont="tru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5" fontId="0" fillId="0" borderId="19" xfId="20" applyFont="true" applyBorder="true" applyAlignment="false" applyProtection="false">
      <alignment horizontal="general" vertical="bottom" textRotation="0" wrapText="false" indent="0" shrinkToFit="false"/>
      <protection locked="true" hidden="false"/>
    </xf>
    <xf numFmtId="164" fontId="6" fillId="4" borderId="9" xfId="0" applyFont="true" applyBorder="true" applyAlignment="false" applyProtection="false">
      <alignment horizontal="general" vertical="bottom" textRotation="0" wrapText="false" indent="0" shrinkToFit="false"/>
      <protection locked="true" hidden="false"/>
    </xf>
    <xf numFmtId="165" fontId="0" fillId="0" borderId="20" xfId="20" applyFont="true" applyBorder="true" applyAlignment="false" applyProtection="false">
      <alignment horizontal="general" vertical="bottom" textRotation="0" wrapText="false" indent="0" shrinkToFit="false"/>
      <protection locked="true" hidden="false"/>
    </xf>
    <xf numFmtId="164" fontId="6" fillId="4" borderId="12"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5" fontId="0" fillId="0" borderId="22" xfId="2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6" fontId="6" fillId="0" borderId="2" xfId="0" applyFont="true" applyBorder="true" applyAlignment="false" applyProtection="false">
      <alignment horizontal="general" vertical="bottom" textRotation="0" wrapText="false" indent="0" shrinkToFit="false"/>
      <protection locked="true" hidden="false"/>
    </xf>
    <xf numFmtId="166" fontId="6" fillId="8" borderId="2" xfId="0" applyFont="true" applyBorder="true" applyAlignment="false" applyProtection="false">
      <alignment horizontal="general" vertical="bottom" textRotation="0" wrapText="false" indent="0" shrinkToFit="false"/>
      <protection locked="true" hidden="false"/>
    </xf>
    <xf numFmtId="166" fontId="6" fillId="8" borderId="3"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7" fontId="6" fillId="9" borderId="5" xfId="0" applyFont="true" applyBorder="true" applyAlignment="true" applyProtection="false">
      <alignment horizontal="general" vertical="bottom" textRotation="0" wrapText="false" indent="0" shrinkToFit="false"/>
      <protection locked="true" hidden="false"/>
    </xf>
    <xf numFmtId="164" fontId="0" fillId="4" borderId="17"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10" fillId="4" borderId="18" xfId="0" applyFont="true" applyBorder="true" applyAlignment="false" applyProtection="false">
      <alignment horizontal="general" vertical="bottom" textRotation="0" wrapText="false" indent="0" shrinkToFit="false"/>
      <protection locked="true" hidden="false"/>
    </xf>
    <xf numFmtId="164" fontId="9" fillId="4" borderId="18" xfId="0" applyFont="true" applyBorder="true" applyAlignment="true" applyProtection="false">
      <alignment horizontal="center" vertical="bottom" textRotation="0" wrapText="false" indent="0" shrinkToFit="false"/>
      <protection locked="true" hidden="false"/>
    </xf>
    <xf numFmtId="164" fontId="0" fillId="4" borderId="23" xfId="0" applyFont="false" applyBorder="true" applyAlignment="false" applyProtection="false">
      <alignment horizontal="general" vertical="bottom" textRotation="0" wrapText="false" indent="0" shrinkToFit="false"/>
      <protection locked="true" hidden="false"/>
    </xf>
    <xf numFmtId="164" fontId="0" fillId="7" borderId="17" xfId="0" applyFont="false" applyBorder="true" applyAlignment="false" applyProtection="false">
      <alignment horizontal="general" vertical="bottom" textRotation="0" wrapText="false" indent="0" shrinkToFit="false"/>
      <protection locked="true" hidden="false"/>
    </xf>
    <xf numFmtId="164" fontId="0" fillId="7" borderId="18" xfId="0" applyFont="false" applyBorder="true" applyAlignment="false" applyProtection="false">
      <alignment horizontal="general" vertical="bottom" textRotation="0" wrapText="false" indent="0" shrinkToFit="false"/>
      <protection locked="true" hidden="false"/>
    </xf>
    <xf numFmtId="164" fontId="9" fillId="7" borderId="18" xfId="0" applyFont="true" applyBorder="true" applyAlignment="true" applyProtection="false">
      <alignment horizontal="center"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8" fontId="11" fillId="4" borderId="12" xfId="0" applyFont="true" applyBorder="true" applyAlignment="true" applyProtection="false">
      <alignment horizontal="center" vertical="bottom" textRotation="0" wrapText="false" indent="0" shrinkToFit="false"/>
      <protection locked="true" hidden="false"/>
    </xf>
    <xf numFmtId="168" fontId="11" fillId="4" borderId="21" xfId="0" applyFont="true" applyBorder="true" applyAlignment="true" applyProtection="false">
      <alignment horizontal="center" vertical="bottom" textRotation="0" wrapText="false" indent="0" shrinkToFit="false"/>
      <protection locked="true" hidden="false"/>
    </xf>
    <xf numFmtId="169" fontId="0" fillId="4" borderId="21" xfId="0" applyFont="false" applyBorder="true" applyAlignment="false" applyProtection="false">
      <alignment horizontal="general" vertical="bottom" textRotation="0" wrapText="false" indent="0" shrinkToFit="false"/>
      <protection locked="true" hidden="false"/>
    </xf>
    <xf numFmtId="169" fontId="11" fillId="4" borderId="24" xfId="0" applyFont="true" applyBorder="true" applyAlignment="true" applyProtection="false">
      <alignment horizontal="center" vertical="bottom" textRotation="0" wrapText="false" indent="0" shrinkToFit="false"/>
      <protection locked="true" hidden="false"/>
    </xf>
    <xf numFmtId="168" fontId="11" fillId="7" borderId="12" xfId="0" applyFont="true" applyBorder="true" applyAlignment="true" applyProtection="false">
      <alignment horizontal="center" vertical="bottom" textRotation="0" wrapText="false" indent="0" shrinkToFit="false"/>
      <protection locked="true" hidden="false"/>
    </xf>
    <xf numFmtId="168" fontId="11" fillId="7" borderId="21" xfId="0" applyFont="true" applyBorder="true" applyAlignment="true" applyProtection="false">
      <alignment horizontal="center" vertical="bottom" textRotation="0" wrapText="false" indent="0" shrinkToFit="false"/>
      <protection locked="true" hidden="false"/>
    </xf>
    <xf numFmtId="169" fontId="0" fillId="7" borderId="21" xfId="0" applyFont="false" applyBorder="true" applyAlignment="false" applyProtection="false">
      <alignment horizontal="general" vertical="bottom" textRotation="0" wrapText="false" indent="0" shrinkToFit="false"/>
      <protection locked="true" hidden="false"/>
    </xf>
    <xf numFmtId="169" fontId="11" fillId="7" borderId="24" xfId="0" applyFont="true" applyBorder="true" applyAlignment="true" applyProtection="false">
      <alignment horizontal="center" vertical="bottom" textRotation="0" wrapText="false" indent="0" shrinkToFit="false"/>
      <protection locked="true" hidden="false"/>
    </xf>
    <xf numFmtId="164" fontId="11" fillId="0" borderId="17" xfId="0" applyFont="true" applyBorder="true" applyAlignment="false" applyProtection="false">
      <alignment horizontal="general" vertical="bottom" textRotation="0" wrapText="false" indent="0" shrinkToFit="false"/>
      <protection locked="true" hidden="false"/>
    </xf>
    <xf numFmtId="169" fontId="11" fillId="0" borderId="18" xfId="0" applyFont="true" applyBorder="true" applyAlignment="true" applyProtection="false">
      <alignment horizontal="center" vertical="bottom" textRotation="0" wrapText="false" indent="0" shrinkToFit="false"/>
      <protection locked="true" hidden="false"/>
    </xf>
    <xf numFmtId="169" fontId="0" fillId="0" borderId="18" xfId="0" applyFont="false" applyBorder="true" applyAlignment="false" applyProtection="false">
      <alignment horizontal="general" vertical="bottom" textRotation="0" wrapText="false" indent="0" shrinkToFit="false"/>
      <protection locked="true" hidden="false"/>
    </xf>
    <xf numFmtId="169" fontId="11" fillId="0" borderId="23" xfId="0" applyFont="true" applyBorder="true" applyAlignment="true" applyProtection="false">
      <alignment horizontal="center" vertical="bottom" textRotation="0" wrapText="false" indent="0" shrinkToFit="false"/>
      <protection locked="true" hidden="false"/>
    </xf>
    <xf numFmtId="168" fontId="11" fillId="0" borderId="17" xfId="0" applyFont="true" applyBorder="true" applyAlignment="true" applyProtection="false">
      <alignment horizontal="center" vertical="bottom" textRotation="0" wrapText="false" indent="0" shrinkToFit="false"/>
      <protection locked="true" hidden="false"/>
    </xf>
    <xf numFmtId="168" fontId="11" fillId="0" borderId="18" xfId="0" applyFont="true" applyBorder="true" applyAlignment="true" applyProtection="false">
      <alignment horizontal="center" vertical="bottom" textRotation="0" wrapText="false" indent="0" shrinkToFit="false"/>
      <protection locked="true" hidden="false"/>
    </xf>
    <xf numFmtId="164" fontId="11" fillId="0" borderId="9" xfId="0" applyFont="true" applyBorder="true" applyAlignment="false" applyProtection="false">
      <alignment horizontal="general" vertical="bottom" textRotation="0" wrapText="false" indent="0" shrinkToFit="false"/>
      <protection locked="true" hidden="false"/>
    </xf>
    <xf numFmtId="169" fontId="12" fillId="0" borderId="0" xfId="0" applyFont="true" applyBorder="true" applyAlignment="true" applyProtection="false">
      <alignment horizontal="left" vertical="bottom" textRotation="0" wrapText="false" indent="0" shrinkToFit="false"/>
      <protection locked="true" hidden="false"/>
    </xf>
    <xf numFmtId="169" fontId="11"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9" fontId="11" fillId="0" borderId="25" xfId="0" applyFont="true" applyBorder="true" applyAlignment="true" applyProtection="false">
      <alignment horizontal="center" vertical="bottom" textRotation="0" wrapText="false" indent="0" shrinkToFit="false"/>
      <protection locked="true" hidden="false"/>
    </xf>
    <xf numFmtId="169" fontId="11"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0" fontId="13" fillId="2" borderId="0" xfId="0" applyFont="true" applyBorder="true" applyAlignment="false" applyProtection="false">
      <alignment horizontal="general" vertical="bottom" textRotation="0" wrapText="false" indent="0" shrinkToFit="false"/>
      <protection locked="true" hidden="false"/>
    </xf>
    <xf numFmtId="170" fontId="13" fillId="0" borderId="0" xfId="0" applyFont="true" applyBorder="true" applyAlignment="false" applyProtection="false">
      <alignment horizontal="general" vertical="bottom" textRotation="0" wrapText="false" indent="0" shrinkToFit="false"/>
      <protection locked="true" hidden="false"/>
    </xf>
    <xf numFmtId="170" fontId="13" fillId="0" borderId="0" xfId="0" applyFont="true" applyBorder="true" applyAlignment="false" applyProtection="false">
      <alignment horizontal="general" vertical="bottom" textRotation="0" wrapText="false" indent="0" shrinkToFit="false"/>
      <protection locked="true" hidden="false"/>
    </xf>
    <xf numFmtId="170" fontId="13" fillId="0" borderId="25" xfId="0" applyFont="true" applyBorder="tru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13" fillId="0" borderId="9" xfId="0" applyFont="true" applyBorder="true" applyAlignment="false" applyProtection="false">
      <alignment horizontal="general" vertical="bottom" textRotation="0" wrapText="false" indent="0" shrinkToFit="false"/>
      <protection locked="true" hidden="false"/>
    </xf>
    <xf numFmtId="170" fontId="13" fillId="9" borderId="0" xfId="0" applyFont="true" applyBorder="true" applyAlignment="false" applyProtection="false">
      <alignment horizontal="general" vertical="bottom" textRotation="0" wrapText="false" indent="0" shrinkToFit="false"/>
      <protection locked="true" hidden="false"/>
    </xf>
    <xf numFmtId="170" fontId="13" fillId="4" borderId="0" xfId="0" applyFont="true" applyBorder="true" applyAlignment="false" applyProtection="false">
      <alignment horizontal="general" vertical="bottom" textRotation="0" wrapText="false" indent="0" shrinkToFit="false"/>
      <protection locked="true" hidden="false"/>
    </xf>
    <xf numFmtId="170" fontId="13" fillId="10" borderId="0" xfId="0" applyFont="true" applyBorder="true" applyAlignment="false" applyProtection="false">
      <alignment horizontal="general" vertical="bottom" textRotation="0" wrapText="false" indent="0" shrinkToFit="false"/>
      <protection locked="true" hidden="false"/>
    </xf>
    <xf numFmtId="170" fontId="13" fillId="6" borderId="0" xfId="0" applyFont="true" applyBorder="true" applyAlignment="false" applyProtection="false">
      <alignment horizontal="general" vertical="bottom" textRotation="0" wrapText="false" indent="0" shrinkToFit="false"/>
      <protection locked="true" hidden="false"/>
    </xf>
    <xf numFmtId="164" fontId="0" fillId="0" borderId="26" xfId="0" applyFont="true" applyBorder="true" applyAlignment="false" applyProtection="false">
      <alignment horizontal="general" vertical="bottom" textRotation="0" wrapText="false" indent="0" shrinkToFit="false"/>
      <protection locked="true" hidden="false"/>
    </xf>
    <xf numFmtId="170" fontId="13" fillId="0" borderId="27" xfId="0" applyFont="true" applyBorder="true" applyAlignment="false" applyProtection="false">
      <alignment horizontal="general" vertical="bottom" textRotation="0" wrapText="false" indent="0" shrinkToFit="false"/>
      <protection locked="true" hidden="false"/>
    </xf>
    <xf numFmtId="170" fontId="13" fillId="0" borderId="27" xfId="0" applyFont="true" applyBorder="true" applyAlignment="false" applyProtection="false">
      <alignment horizontal="general" vertical="bottom" textRotation="0" wrapText="false" indent="0" shrinkToFit="false"/>
      <protection locked="true" hidden="false"/>
    </xf>
    <xf numFmtId="170" fontId="13" fillId="0" borderId="21" xfId="0" applyFont="true" applyBorder="true" applyAlignment="false" applyProtection="false">
      <alignment horizontal="general" vertical="bottom" textRotation="0" wrapText="false" indent="0" shrinkToFit="false"/>
      <protection locked="true" hidden="false"/>
    </xf>
    <xf numFmtId="170" fontId="13" fillId="0" borderId="28" xfId="0" applyFont="true" applyBorder="true" applyAlignment="false" applyProtection="false">
      <alignment horizontal="general" vertical="bottom" textRotation="0" wrapText="false" indent="0" shrinkToFit="false"/>
      <protection locked="true" hidden="false"/>
    </xf>
    <xf numFmtId="170" fontId="13" fillId="0" borderId="26" xfId="0" applyFont="true" applyBorder="true" applyAlignment="false" applyProtection="false">
      <alignment horizontal="general" vertical="bottom" textRotation="0" wrapText="false" indent="0" shrinkToFit="false"/>
      <protection locked="true" hidden="false"/>
    </xf>
    <xf numFmtId="170" fontId="13" fillId="0" borderId="0" xfId="0" applyFont="true" applyBorder="false" applyAlignment="false" applyProtection="false">
      <alignment horizontal="general" vertical="bottom" textRotation="0" wrapText="false" indent="0" shrinkToFit="false"/>
      <protection locked="true" hidden="false"/>
    </xf>
    <xf numFmtId="170" fontId="13" fillId="0" borderId="0" xfId="0" applyFont="true" applyBorder="false" applyAlignment="false" applyProtection="false">
      <alignment horizontal="general" vertical="bottom" textRotation="0" wrapText="false" indent="0" shrinkToFit="false"/>
      <protection locked="true" hidden="false"/>
    </xf>
    <xf numFmtId="170" fontId="13" fillId="0" borderId="18" xfId="0" applyFont="true" applyBorder="true" applyAlignment="false" applyProtection="false">
      <alignment horizontal="general" vertical="bottom" textRotation="0" wrapText="false" indent="0" shrinkToFit="false"/>
      <protection locked="true" hidden="false"/>
    </xf>
    <xf numFmtId="170" fontId="13" fillId="0" borderId="18" xfId="0" applyFont="true" applyBorder="true" applyAlignment="false" applyProtection="false">
      <alignment horizontal="general" vertical="bottom" textRotation="0" wrapText="false" indent="0" shrinkToFit="false"/>
      <protection locked="true" hidden="false"/>
    </xf>
    <xf numFmtId="170" fontId="13" fillId="0" borderId="23" xfId="0" applyFont="tru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70" fontId="0" fillId="0" borderId="0" xfId="0" applyFont="true" applyBorder="true" applyAlignment="false" applyProtection="false">
      <alignment horizontal="general" vertical="bottom" textRotation="0" wrapText="false" indent="0" shrinkToFit="false"/>
      <protection locked="true" hidden="false"/>
    </xf>
    <xf numFmtId="170" fontId="0" fillId="0" borderId="0" xfId="0" applyFont="true" applyBorder="true" applyAlignment="false" applyProtection="false">
      <alignment horizontal="general" vertical="bottom" textRotation="0" wrapText="false" indent="0" shrinkToFit="false"/>
      <protection locked="true" hidden="false"/>
    </xf>
    <xf numFmtId="170" fontId="0" fillId="0" borderId="0" xfId="0" applyFont="true" applyBorder="false" applyAlignment="false" applyProtection="false">
      <alignment horizontal="general" vertical="bottom" textRotation="0" wrapText="false" indent="0" shrinkToFit="false"/>
      <protection locked="true" hidden="false"/>
    </xf>
    <xf numFmtId="170" fontId="0" fillId="0" borderId="25" xfId="0" applyFont="true" applyBorder="true" applyAlignment="false" applyProtection="false">
      <alignment horizontal="general" vertical="bottom" textRotation="0" wrapText="false" indent="0" shrinkToFit="false"/>
      <protection locked="true" hidden="false"/>
    </xf>
    <xf numFmtId="170" fontId="0" fillId="0" borderId="9" xfId="0" applyFont="true" applyBorder="true" applyAlignment="false" applyProtection="false">
      <alignment horizontal="general" vertical="bottom" textRotation="0" wrapText="false" indent="0" shrinkToFit="false"/>
      <protection locked="true" hidden="false"/>
    </xf>
    <xf numFmtId="170" fontId="0" fillId="0" borderId="18" xfId="0" applyFont="false" applyBorder="true" applyAlignment="false" applyProtection="false">
      <alignment horizontal="general" vertical="bottom" textRotation="0" wrapText="false" indent="0" shrinkToFit="false"/>
      <protection locked="true" hidden="false"/>
    </xf>
    <xf numFmtId="170" fontId="0" fillId="0" borderId="18" xfId="0" applyFont="false" applyBorder="true" applyAlignment="false" applyProtection="false">
      <alignment horizontal="general" vertical="bottom" textRotation="0" wrapText="false" indent="0" shrinkToFit="false"/>
      <protection locked="true" hidden="false"/>
    </xf>
    <xf numFmtId="170" fontId="0" fillId="0" borderId="23" xfId="0" applyFont="false" applyBorder="true" applyAlignment="false" applyProtection="false">
      <alignment horizontal="general" vertical="bottom" textRotation="0" wrapText="false" indent="0" shrinkToFit="false"/>
      <protection locked="true" hidden="false"/>
    </xf>
    <xf numFmtId="170" fontId="0" fillId="0" borderId="17" xfId="0" applyFont="true" applyBorder="true" applyAlignment="false" applyProtection="false">
      <alignment horizontal="general" vertical="bottom" textRotation="0" wrapText="false" indent="0" shrinkToFit="false"/>
      <protection locked="true" hidden="false"/>
    </xf>
    <xf numFmtId="171" fontId="13" fillId="2" borderId="0" xfId="0" applyFont="true" applyBorder="true" applyAlignment="false" applyProtection="false">
      <alignment horizontal="general" vertical="bottom" textRotation="0" wrapText="false" indent="0" shrinkToFit="false"/>
      <protection locked="true" hidden="false"/>
    </xf>
    <xf numFmtId="164" fontId="6" fillId="0" borderId="26" xfId="0" applyFont="true" applyBorder="true" applyAlignment="false" applyProtection="false">
      <alignment horizontal="general" vertical="bottom" textRotation="0" wrapText="false" indent="0" shrinkToFit="false"/>
      <protection locked="true" hidden="false"/>
    </xf>
    <xf numFmtId="172" fontId="13" fillId="0" borderId="27" xfId="0" applyFont="true" applyBorder="true" applyAlignment="false" applyProtection="false">
      <alignment horizontal="general" vertical="bottom" textRotation="0" wrapText="false" indent="0" shrinkToFit="false"/>
      <protection locked="true" hidden="false"/>
    </xf>
    <xf numFmtId="164" fontId="6" fillId="4" borderId="26" xfId="0" applyFont="true" applyBorder="true" applyAlignment="false" applyProtection="false">
      <alignment horizontal="general" vertical="bottom" textRotation="0" wrapText="false" indent="0" shrinkToFit="false"/>
      <protection locked="true" hidden="false"/>
    </xf>
    <xf numFmtId="170" fontId="13" fillId="4" borderId="27" xfId="0" applyFont="true" applyBorder="true" applyAlignment="false" applyProtection="false">
      <alignment horizontal="general" vertical="bottom" textRotation="0" wrapText="false" indent="0" shrinkToFit="false"/>
      <protection locked="true" hidden="false"/>
    </xf>
    <xf numFmtId="170" fontId="13" fillId="4" borderId="21" xfId="0" applyFont="true" applyBorder="true" applyAlignment="false" applyProtection="false">
      <alignment horizontal="general" vertical="bottom" textRotation="0" wrapText="false" indent="0" shrinkToFit="false"/>
      <protection locked="true" hidden="false"/>
    </xf>
    <xf numFmtId="170" fontId="13" fillId="4" borderId="0" xfId="0" applyFont="true" applyBorder="false" applyAlignment="false" applyProtection="false">
      <alignment horizontal="general" vertical="bottom" textRotation="0" wrapText="false" indent="0" shrinkToFit="false"/>
      <protection locked="true" hidden="false"/>
    </xf>
    <xf numFmtId="170" fontId="13" fillId="4" borderId="26" xfId="0" applyFont="true" applyBorder="true" applyAlignment="false" applyProtection="false">
      <alignment horizontal="general" vertical="bottom" textRotation="0" wrapText="false" indent="0" shrinkToFit="false"/>
      <protection locked="true" hidden="false"/>
    </xf>
    <xf numFmtId="170" fontId="13" fillId="4" borderId="28" xfId="0" applyFont="true" applyBorder="true" applyAlignment="false" applyProtection="false">
      <alignment horizontal="general" vertical="bottom" textRotation="0" wrapText="false" indent="0" shrinkToFit="false"/>
      <protection locked="true" hidden="false"/>
    </xf>
    <xf numFmtId="169" fontId="11" fillId="4" borderId="12" xfId="0" applyFont="true" applyBorder="true" applyAlignment="true" applyProtection="false">
      <alignment horizontal="center" vertical="bottom" textRotation="0" wrapText="false" indent="0" shrinkToFit="false"/>
      <protection locked="true" hidden="false"/>
    </xf>
    <xf numFmtId="169" fontId="11" fillId="4" borderId="21" xfId="0" applyFont="true" applyBorder="true" applyAlignment="true" applyProtection="false">
      <alignment horizontal="center" vertical="bottom" textRotation="0" wrapText="false" indent="0" shrinkToFit="false"/>
      <protection locked="true" hidden="false"/>
    </xf>
    <xf numFmtId="170" fontId="13" fillId="11" borderId="0" xfId="0" applyFont="true" applyBorder="true" applyAlignment="false" applyProtection="false">
      <alignment horizontal="general" vertical="bottom" textRotation="0" wrapText="false" indent="0" shrinkToFit="false"/>
      <protection locked="true" hidden="false"/>
    </xf>
    <xf numFmtId="173" fontId="13" fillId="0" borderId="0" xfId="0" applyFont="true" applyBorder="true" applyAlignment="false" applyProtection="false">
      <alignment horizontal="general" vertical="bottom" textRotation="0" wrapText="false" indent="0" shrinkToFit="false"/>
      <protection locked="true" hidden="false"/>
    </xf>
    <xf numFmtId="173" fontId="13" fillId="2" borderId="0"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Greg Pos"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externalLink" Target="externalLinks/externalLink4.xml"/><Relationship Id="rId10" Type="http://schemas.openxmlformats.org/officeDocument/2006/relationships/externalLink" Target="externalLinks/externalLink5.xml"/><Relationship Id="rId11" Type="http://schemas.openxmlformats.org/officeDocument/2006/relationships/externalLink" Target="externalLinks/externalLink6.xml"/><Relationship Id="rId12" Type="http://schemas.openxmlformats.org/officeDocument/2006/relationships/externalLink" Target="externalLinks/externalLink7.xml"/><Relationship Id="rId13" Type="http://schemas.openxmlformats.org/officeDocument/2006/relationships/externalLink" Target="externalLinks/externalLink8.xml"/><Relationship Id="rId14" Type="http://schemas.openxmlformats.org/officeDocument/2006/relationships/externalLink" Target="externalLinks/externalLink9.xml"/><Relationship Id="rId15" Type="http://schemas.openxmlformats.org/officeDocument/2006/relationships/externalLink" Target="externalLinks/externalLink10.xml"/><Relationship Id="rId16" Type="http://schemas.openxmlformats.org/officeDocument/2006/relationships/externalLink" Target="externalLinks/externalLink11.xml"/><Relationship Id="rId17" Type="http://schemas.openxmlformats.org/officeDocument/2006/relationships/externalLink" Target="externalLinks/externalLink12.xml"/><Relationship Id="rId18" Type="http://schemas.openxmlformats.org/officeDocument/2006/relationships/externalLink" Target="externalLinks/externalLink13.xml"/><Relationship Id="rId19" Type="http://schemas.openxmlformats.org/officeDocument/2006/relationships/externalLink" Target="externalLinks/externalLink14.xml"/><Relationship Id="rId20" Type="http://schemas.openxmlformats.org/officeDocument/2006/relationships/externalLink" Target="externalLinks/externalLink15.xml"/><Relationship Id="rId21" Type="http://schemas.openxmlformats.org/officeDocument/2006/relationships/externalLink" Target="externalLinks/externalLink16.xml"/><Relationship Id="rId22" Type="http://schemas.openxmlformats.org/officeDocument/2006/relationships/externalLink" Target="externalLinks/externalLink17.xml"/><Relationship Id="rId23" Type="http://schemas.openxmlformats.org/officeDocument/2006/relationships/externalLink" Target="externalLinks/externalLink18.xml"/><Relationship Id="rId2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Risk%20Management/GASBOOK/01_rolls/CAN$0101.xls" TargetMode="External"/>
</Relationships>
</file>

<file path=xl/externalLinks/_rels/externalLink10.xml.rels><?xml version="1.0" encoding="UTF-8"?>
<Relationships xmlns="http://schemas.openxmlformats.org/package/2006/relationships"><Relationship Id="rId1" Type="http://schemas.openxmlformats.org/officeDocument/2006/relationships/externalLinkPath" Target="../../../../../../../../Risk%20Management/GASBOOK/00_rolls/CAN$0900.xls" TargetMode="External"/>
</Relationships>
</file>

<file path=xl/externalLinks/_rels/externalLink11.xml.rels><?xml version="1.0" encoding="UTF-8"?>
<Relationships xmlns="http://schemas.openxmlformats.org/package/2006/relationships"><Relationship Id="rId1" Type="http://schemas.openxmlformats.org/officeDocument/2006/relationships/externalLinkPath" Target="../../../../../../../../Risk%20Management/GASBOOK/00_rolls/CAN$1000.xls" TargetMode="External"/>
</Relationships>
</file>

<file path=xl/externalLinks/_rels/externalLink12.xml.rels><?xml version="1.0" encoding="UTF-8"?>
<Relationships xmlns="http://schemas.openxmlformats.org/package/2006/relationships"><Relationship Id="rId1" Type="http://schemas.openxmlformats.org/officeDocument/2006/relationships/externalLinkPath" Target="../../../../../../../../Risk%20Management/GASBOOK/00_rolls/CAN$1100.xls" TargetMode="External"/>
</Relationships>
</file>

<file path=xl/externalLinks/_rels/externalLink13.xml.rels><?xml version="1.0" encoding="UTF-8"?>
<Relationships xmlns="http://schemas.openxmlformats.org/package/2006/relationships"><Relationship Id="rId1" Type="http://schemas.openxmlformats.org/officeDocument/2006/relationships/externalLinkPath" Target="../../../../../../../../Risk%20Management/GASBOOK/CAN$1200.xls" TargetMode="External"/>
</Relationships>
</file>

<file path=xl/externalLinks/_rels/externalLink14.xml.rels><?xml version="1.0" encoding="UTF-8"?>
<Relationships xmlns="http://schemas.openxmlformats.org/package/2006/relationships"><Relationship Id="rId1" Type="http://schemas.openxmlformats.org/officeDocument/2006/relationships/externalLinkPath" Target="../../../../../../../../Risk%20Management/Intra%20Month/2001/Feb%2001/0228_CAN.xls" TargetMode="External"/>
</Relationships>
</file>

<file path=xl/externalLinks/_rels/externalLink15.xml.rels><?xml version="1.0" encoding="UTF-8"?>
<Relationships xmlns="http://schemas.openxmlformats.org/package/2006/relationships"><Relationship Id="rId1" Type="http://schemas.openxmlformats.org/officeDocument/2006/relationships/externalLinkPath" Target="../../../../../../../../Risk%20Management/Intra%20Month/2001/Mar%2001/0330_CAN.xls" TargetMode="External"/>
</Relationships>
</file>

<file path=xl/externalLinks/_rels/externalLink16.xml.rels><?xml version="1.0" encoding="UTF-8"?>
<Relationships xmlns="http://schemas.openxmlformats.org/package/2006/relationships"><Relationship Id="rId1" Type="http://schemas.openxmlformats.org/officeDocument/2006/relationships/externalLinkPath" Target="../../../../../../../../Risk%20Management/Intra%20Month/2001/Apr%2001/0430_CAN.xls" TargetMode="External"/>
</Relationships>
</file>

<file path=xl/externalLinks/_rels/externalLink17.xml.rels><?xml version="1.0" encoding="UTF-8"?>
<Relationships xmlns="http://schemas.openxmlformats.org/package/2006/relationships"><Relationship Id="rId1" Type="http://schemas.openxmlformats.org/officeDocument/2006/relationships/externalLinkPath" Target="../../../../../../../../Risk%20Management/Intra%20Month/2001/May%2001/0531_CAN.xls" TargetMode="External"/>
</Relationships>
</file>

<file path=xl/externalLinks/_rels/externalLink18.xml.rels><?xml version="1.0" encoding="UTF-8"?>
<Relationships xmlns="http://schemas.openxmlformats.org/package/2006/relationships"><Relationship Id="rId1" Type="http://schemas.openxmlformats.org/officeDocument/2006/relationships/externalLinkPath" Target="../../../../../../../../C:/TEMP/~0015798.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Risk%20Management/GASBOOK/01_rolls/CAN$0201.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Risk%20Management/GASBOOK/01_rolls/CAN$0301.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Risk%20Management/GASBOOK/01_rolls/CAN$0401.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Risk%20Management/Intra%20Month/2001/Jan%2001/0131_CAN.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Risk%20Management/GASBOOK/01_rolls/CAN$0501.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Risk%20Management/GASBOOK/00_rolls/CAN$0600.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Risk%20Management/GASBOOK/00_rolls/CAN$0700.xls" TargetMode="External"/>
</Relationships>
</file>

<file path=xl/externalLinks/_rels/externalLink9.xml.rels><?xml version="1.0" encoding="UTF-8"?>
<Relationships xmlns="http://schemas.openxmlformats.org/package/2006/relationships"><Relationship Id="rId1" Type="http://schemas.openxmlformats.org/officeDocument/2006/relationships/externalLinkPath" Target="../../../../../../../../Risk%20Management/GASBOOK/00_rolls/CAN$08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PriceAlberta"/>
      <sheetName val="AlbertaIndex"/>
      <sheetName val="PipeBook"/>
      <sheetName val="PipeBookIndex"/>
      <sheetName val="PriceBC"/>
      <sheetName val="BC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810557.720000001</v>
          </cell>
        </row>
        <row r="56">
          <cell r="M56">
            <v>3582468</v>
          </cell>
        </row>
        <row r="56">
          <cell r="S56">
            <v>5706304</v>
          </cell>
        </row>
        <row r="56">
          <cell r="AA56">
            <v>-440421</v>
          </cell>
        </row>
        <row r="56">
          <cell r="AC56">
            <v>9658908.72</v>
          </cell>
        </row>
        <row r="56">
          <cell r="AE56">
            <v>6425091.53825339</v>
          </cell>
        </row>
      </sheetData>
      <sheetData sheetId="3"/>
      <sheetData sheetId="4"/>
      <sheetData sheetId="5"/>
      <sheetData sheetId="6"/>
      <sheetData sheetId="7"/>
      <sheetData sheetId="8"/>
      <sheetData sheetId="9"/>
      <sheetData sheetId="10"/>
      <sheetData sheetId="11"/>
      <sheetData sheetId="12"/>
      <sheetData sheetId="13"/>
      <sheetData sheetId="14">
        <row r="36">
          <cell r="F36">
            <v>1.5033106785317</v>
          </cell>
        </row>
      </sheetData>
      <sheetData sheetId="15"/>
      <sheetData sheetId="16"/>
      <sheetData sheetId="17"/>
      <sheetData sheetId="18"/>
      <sheetData sheetId="19">
        <row r="181">
          <cell r="O181">
            <v>5334.66817371649</v>
          </cell>
        </row>
        <row r="183">
          <cell r="O183">
            <v>5334668.17371649</v>
          </cell>
        </row>
        <row r="183">
          <cell r="Q183">
            <v>8025858.65248628</v>
          </cell>
        </row>
      </sheetData>
      <sheetData sheetId="20"/>
      <sheetData sheetId="21"/>
      <sheetData sheetId="22"/>
      <sheetData sheetId="2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PriceEOL"/>
      <sheetName val="EOLIndex"/>
      <sheetName val="Options"/>
      <sheetName val="OptionsIndex"/>
      <sheetName val="OptionsProp"/>
      <sheetName val="Straddle"/>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1.48332068965517</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PriceBC"/>
      <sheetName val="BCIndex"/>
      <sheetName val="PriceEOL"/>
      <sheetName val="EOLIndex"/>
      <sheetName val="Options"/>
      <sheetName val="OptionsIndex"/>
      <sheetName val="OptionsProp"/>
      <sheetName val="Straddle"/>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6">
          <cell r="F36">
            <v>1.51079421579533</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PriceAlberta"/>
      <sheetName val="AlbertaIndex"/>
      <sheetName val="PriceBC"/>
      <sheetName val="BCIndex"/>
      <sheetName val="PriceEOL"/>
      <sheetName val="EOLIndex"/>
      <sheetName val="Options"/>
      <sheetName val="OptionsIndex"/>
      <sheetName val="Straddle"/>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6">
          <cell r="F36">
            <v>1.54291</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PriceAlberta"/>
      <sheetName val="AlbertaIndex"/>
      <sheetName val="PriceBC"/>
      <sheetName val="BCIndex"/>
      <sheetName val="PriceEOL"/>
      <sheetName val="EOLIndex"/>
      <sheetName val="Options"/>
      <sheetName val="OptionsIndex"/>
      <sheetName val="Straddle"/>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6">
          <cell r="F36">
            <v>1.52373103448276</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AB P &amp; L Summary"/>
      <sheetName val="West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8">
          <cell r="I18">
            <v>-841902.25807877</v>
          </cell>
        </row>
        <row r="38">
          <cell r="I38">
            <v>1313859.540744</v>
          </cell>
        </row>
        <row r="50">
          <cell r="I50">
            <v>53498.8521000128</v>
          </cell>
        </row>
        <row r="54">
          <cell r="I54">
            <v>329145</v>
          </cell>
        </row>
        <row r="56">
          <cell r="I56">
            <v>127218</v>
          </cell>
        </row>
        <row r="63">
          <cell r="I63">
            <v>981819.134765242</v>
          </cell>
        </row>
      </sheetData>
      <sheetData sheetId="17"/>
      <sheetData sheetId="18"/>
      <sheetData sheetId="19"/>
      <sheetData sheetId="2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AB &amp; BC P &amp; L Summary"/>
      <sheetName val="West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8">
          <cell r="I18">
            <v>1228992.80156198</v>
          </cell>
        </row>
        <row r="38">
          <cell r="I38">
            <v>663692.82</v>
          </cell>
        </row>
        <row r="50">
          <cell r="I50">
            <v>350610.977857552</v>
          </cell>
        </row>
        <row r="54">
          <cell r="I54">
            <v>1550719.8</v>
          </cell>
        </row>
        <row r="56">
          <cell r="I56">
            <v>259060</v>
          </cell>
        </row>
        <row r="63">
          <cell r="I63">
            <v>4053075.97441954</v>
          </cell>
        </row>
      </sheetData>
      <sheetData sheetId="17"/>
      <sheetData sheetId="18"/>
      <sheetData sheetId="19"/>
      <sheetData sheetId="2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AB &amp; BC P &amp; L Summary"/>
      <sheetName val="West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8">
          <cell r="I18">
            <v>1180364.29012358</v>
          </cell>
        </row>
        <row r="38">
          <cell r="I38">
            <v>1000880.8</v>
          </cell>
        </row>
        <row r="50">
          <cell r="I50">
            <v>0</v>
          </cell>
        </row>
        <row r="54">
          <cell r="I54">
            <v>1853890</v>
          </cell>
        </row>
        <row r="56">
          <cell r="I56">
            <v>-58681</v>
          </cell>
        </row>
        <row r="63">
          <cell r="I63">
            <v>3976454.09012358</v>
          </cell>
        </row>
      </sheetData>
      <sheetData sheetId="17"/>
      <sheetData sheetId="18"/>
      <sheetData sheetId="19"/>
      <sheetData sheetId="2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AB &amp; BC P &amp; L Summary"/>
      <sheetName val="West Recon"/>
      <sheetName val="BC Pos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8">
          <cell r="I18">
            <v>3225638.62392573</v>
          </cell>
        </row>
        <row r="38">
          <cell r="I38">
            <v>1516209.82</v>
          </cell>
        </row>
        <row r="50">
          <cell r="I50">
            <v>0</v>
          </cell>
        </row>
        <row r="54">
          <cell r="I54">
            <v>1732977</v>
          </cell>
        </row>
        <row r="56">
          <cell r="I56">
            <v>201630</v>
          </cell>
        </row>
        <row r="63">
          <cell r="I63">
            <v>6676455.44392574</v>
          </cell>
        </row>
      </sheetData>
      <sheetData sheetId="18"/>
      <sheetData sheetId="19"/>
      <sheetData sheetId="20"/>
      <sheetData sheetId="2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JArnold PL"/>
      <sheetName val="Chart2"/>
      <sheetName val="PriceAlberta"/>
      <sheetName val="AlbertaIndex"/>
      <sheetName val="PriceBC"/>
      <sheetName val="BCIndex"/>
      <sheetName val="PipeBook"/>
      <sheetName val="PipeBook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83">
          <cell r="Q183">
            <v>3189977.15936662</v>
          </cell>
        </row>
      </sheetData>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JArnold PL"/>
      <sheetName val="PriceAlberta"/>
      <sheetName val="AlbertaIndex"/>
      <sheetName val="PipeBook"/>
      <sheetName val="PipeBookIndex"/>
      <sheetName val="PriceBC"/>
      <sheetName val="BC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-881957</v>
          </cell>
        </row>
        <row r="56">
          <cell r="M56">
            <v>3643562</v>
          </cell>
        </row>
        <row r="56">
          <cell r="S56">
            <v>182876</v>
          </cell>
        </row>
        <row r="56">
          <cell r="AA56">
            <v>3583108</v>
          </cell>
        </row>
        <row r="56">
          <cell r="AC56">
            <v>6527589</v>
          </cell>
        </row>
      </sheetData>
      <sheetData sheetId="3"/>
      <sheetData sheetId="4"/>
      <sheetData sheetId="5"/>
      <sheetData sheetId="6"/>
      <sheetData sheetId="7"/>
      <sheetData sheetId="8"/>
      <sheetData sheetId="9"/>
      <sheetData sheetId="10"/>
      <sheetData sheetId="11"/>
      <sheetData sheetId="12"/>
      <sheetData sheetId="13"/>
      <sheetData sheetId="14"/>
      <sheetData sheetId="15">
        <row r="36">
          <cell r="F36">
            <v>1.52223214285714</v>
          </cell>
        </row>
      </sheetData>
      <sheetData sheetId="16"/>
      <sheetData sheetId="17"/>
      <sheetData sheetId="18"/>
      <sheetData sheetId="19"/>
      <sheetData sheetId="20">
        <row r="127">
          <cell r="O127">
            <v>35</v>
          </cell>
        </row>
        <row r="181">
          <cell r="O181">
            <v>663.924152222934</v>
          </cell>
        </row>
        <row r="183">
          <cell r="O183">
            <v>628924.152222934</v>
          </cell>
        </row>
        <row r="183">
          <cell r="Q183">
            <v>949954.8285</v>
          </cell>
        </row>
      </sheetData>
      <sheetData sheetId="21"/>
      <sheetData sheetId="22"/>
      <sheetData sheetId="23"/>
      <sheetData sheetId="2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ront"/>
      <sheetName val="NewDeals"/>
      <sheetName val="Report"/>
      <sheetName val="PL by Trader"/>
      <sheetName val="JArnold PL"/>
      <sheetName val="PriceAlberta"/>
      <sheetName val="AlbertaIndex"/>
      <sheetName val="PriceBC"/>
      <sheetName val="BCIndex"/>
      <sheetName val="PipeBook"/>
      <sheetName val="PipeBook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16900.0800000001</v>
          </cell>
        </row>
        <row r="56">
          <cell r="M56">
            <v>-49863600</v>
          </cell>
        </row>
        <row r="56">
          <cell r="S56">
            <v>-27556</v>
          </cell>
        </row>
        <row r="56">
          <cell r="AA56">
            <v>9435184</v>
          </cell>
        </row>
        <row r="56">
          <cell r="AC56">
            <v>-40439071.92</v>
          </cell>
        </row>
      </sheetData>
      <sheetData sheetId="3"/>
      <sheetData sheetId="4"/>
      <sheetData sheetId="5"/>
      <sheetData sheetId="6"/>
      <sheetData sheetId="7"/>
      <sheetData sheetId="8"/>
      <sheetData sheetId="9"/>
      <sheetData sheetId="10"/>
      <sheetData sheetId="11"/>
      <sheetData sheetId="12"/>
      <sheetData sheetId="13"/>
      <sheetData sheetId="14"/>
      <sheetData sheetId="15">
        <row r="36">
          <cell r="F36">
            <v>1.54878666666667</v>
          </cell>
        </row>
      </sheetData>
      <sheetData sheetId="16"/>
      <sheetData sheetId="17"/>
      <sheetData sheetId="18"/>
      <sheetData sheetId="19"/>
      <sheetData sheetId="20">
        <row r="183">
          <cell r="O183">
            <v>880527.695678457</v>
          </cell>
        </row>
        <row r="183">
          <cell r="Q183">
            <v>1376624.41466129</v>
          </cell>
        </row>
      </sheetData>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ewDeals"/>
      <sheetName val="Front"/>
      <sheetName val="Report"/>
      <sheetName val="PL by Trader"/>
      <sheetName val="JArnold PL"/>
      <sheetName val="Chart2"/>
      <sheetName val="PriceAlberta"/>
      <sheetName val="AlbertaIndex"/>
      <sheetName val="PriceBC"/>
      <sheetName val="BCIndex"/>
      <sheetName val="PipeBook"/>
      <sheetName val="PipeBook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1982231.76</v>
          </cell>
        </row>
        <row r="56">
          <cell r="M56">
            <v>-83164940</v>
          </cell>
        </row>
        <row r="56">
          <cell r="S56">
            <v>0</v>
          </cell>
        </row>
        <row r="56">
          <cell r="AA56">
            <v>-1318991</v>
          </cell>
        </row>
        <row r="56">
          <cell r="AC56">
            <v>-82501699.24</v>
          </cell>
        </row>
      </sheetData>
      <sheetData sheetId="3">
        <row r="55">
          <cell r="E55">
            <v>-40891153.9508737</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36">
          <cell r="F36">
            <v>1.55724333333333</v>
          </cell>
        </row>
      </sheetData>
      <sheetData sheetId="17"/>
      <sheetData sheetId="18"/>
      <sheetData sheetId="19"/>
      <sheetData sheetId="20"/>
      <sheetData sheetId="21">
        <row r="239">
          <cell r="O239">
            <v>3270694.84186414</v>
          </cell>
        </row>
      </sheetData>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EastDeals"/>
      <sheetName val="Input"/>
      <sheetName val="Origination"/>
      <sheetName val="Cand P&amp;L"/>
      <sheetName val="West Recon"/>
      <sheetName val="East"/>
      <sheetName val="West"/>
      <sheetName val="Options_GD"/>
      <sheetName val="Term_GD"/>
      <sheetName val="Power"/>
      <sheetName val="BC-TRANS"/>
      <sheetName val="BC"/>
      <sheetName val="Explanation"/>
      <sheetName val="East Storage"/>
      <sheetName val="West Storage"/>
      <sheetName val="Lavo"/>
      <sheetName val="Tables"/>
      <sheetName val="FX HEDGES"/>
      <sheetName val="Print Reports"/>
      <sheetName val="New Day"/>
    </sheetNames>
    <sheetDataSet>
      <sheetData sheetId="0"/>
      <sheetData sheetId="1">
        <row r="22">
          <cell r="Q22">
            <v>33936.06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ow r="18">
          <cell r="I18">
            <v>2562489.78792051</v>
          </cell>
        </row>
        <row r="31">
          <cell r="P31">
            <v>4248324.06842098</v>
          </cell>
        </row>
        <row r="38">
          <cell r="I38">
            <v>4976317.1</v>
          </cell>
        </row>
        <row r="50">
          <cell r="I50">
            <v>-1226698.6</v>
          </cell>
        </row>
        <row r="54">
          <cell r="I54">
            <v>367</v>
          </cell>
        </row>
        <row r="56">
          <cell r="I56">
            <v>72660</v>
          </cell>
        </row>
        <row r="63">
          <cell r="I63">
            <v>6385135.28792051</v>
          </cell>
        </row>
      </sheetData>
      <sheetData sheetId="16"/>
      <sheetData sheetId="17"/>
      <sheetData sheetId="18"/>
      <sheetData sheetId="1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NewDeals"/>
      <sheetName val="Front"/>
      <sheetName val="Report"/>
      <sheetName val="JArnold PL"/>
      <sheetName val="PL by Trader"/>
      <sheetName val="Chart2"/>
      <sheetName val="PriceAlberta"/>
      <sheetName val="AlbertaIndex"/>
      <sheetName val="PriceBC"/>
      <sheetName val="BCIndex"/>
      <sheetName val="PipeBook"/>
      <sheetName val="PipeBookIndex"/>
      <sheetName val="Options"/>
      <sheetName val="OptionsIndex"/>
      <sheetName val="Exotics"/>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row r="56">
          <cell r="G56">
            <v>7649551</v>
          </cell>
        </row>
        <row r="56">
          <cell r="M56">
            <v>7920382</v>
          </cell>
        </row>
        <row r="56">
          <cell r="S56">
            <v>0</v>
          </cell>
        </row>
        <row r="56">
          <cell r="AA56">
            <v>5041958</v>
          </cell>
        </row>
        <row r="56">
          <cell r="AC56">
            <v>20611891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6">
          <cell r="F36">
            <v>1.54079677419355</v>
          </cell>
        </row>
      </sheetData>
      <sheetData sheetId="17"/>
      <sheetData sheetId="18"/>
      <sheetData sheetId="19"/>
      <sheetData sheetId="20"/>
      <sheetData sheetId="21">
        <row r="239">
          <cell r="O239">
            <v>587258.522054825</v>
          </cell>
        </row>
        <row r="239">
          <cell r="Q239">
            <v>903346.697889415</v>
          </cell>
        </row>
      </sheetData>
      <sheetData sheetId="22"/>
      <sheetData sheetId="23"/>
      <sheetData sheetId="24"/>
      <sheetData sheetId="2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Exotic"/>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1.47608666666667</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1.47781612903226</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ront"/>
      <sheetName val="NewDeals"/>
      <sheetName val="Report"/>
      <sheetName val="PriceAlberta"/>
      <sheetName val="AlbertaIndex"/>
      <sheetName val="Straddle"/>
      <sheetName val="PriceEOL"/>
      <sheetName val="EOLIndex"/>
      <sheetName val="Options"/>
      <sheetName val="OptionsIndex"/>
      <sheetName val="OptionsProp"/>
      <sheetName val="SpotRates"/>
      <sheetName val="TollExpl"/>
      <sheetName val="PrudExpl"/>
      <sheetName val="PrudCalc"/>
      <sheetName val="US $"/>
      <sheetName val="Orig Sched"/>
      <sheetName val="Price - East "/>
      <sheetName val="Chart1"/>
      <sheetName val="PrintModule"/>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36">
          <cell r="F36">
            <v>1.48224677419355</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0.85"/>
    <col collapsed="false" customWidth="true" hidden="false" outlineLevel="0" max="2" min="2" style="0" width="11.13"/>
    <col collapsed="false" customWidth="true" hidden="false" outlineLevel="0" max="3" min="3" style="0" width="11.56"/>
    <col collapsed="false" customWidth="true" hidden="false" outlineLevel="0" max="4" min="4" style="0" width="9.14"/>
    <col collapsed="false" customWidth="true" hidden="false" outlineLevel="0" max="6" min="5" style="0" width="10.41"/>
    <col collapsed="false" customWidth="true" hidden="false" outlineLevel="0" max="7" min="7" style="0" width="10.13"/>
    <col collapsed="false" customWidth="true" hidden="false" outlineLevel="0" max="9" min="8" style="0" width="10.41"/>
    <col collapsed="false" customWidth="true" hidden="false" outlineLevel="0" max="10" min="10" style="0" width="10.13"/>
    <col collapsed="false" customWidth="true" hidden="false" outlineLevel="0" max="12" min="11" style="0" width="10.41"/>
    <col collapsed="false" customWidth="true" hidden="false" outlineLevel="0" max="13" min="13" style="0" width="10.13"/>
    <col collapsed="false" customWidth="true" hidden="false" outlineLevel="0" max="14" min="14" style="0" width="1.85"/>
    <col collapsed="false" customWidth="true" hidden="false" outlineLevel="0" max="16" min="15" style="0" width="10.41"/>
    <col collapsed="false" customWidth="true" hidden="false" outlineLevel="0" max="17" min="17" style="0" width="10.13"/>
    <col collapsed="false" customWidth="true" hidden="false" outlineLevel="0" max="18" min="18" style="0" width="1.85"/>
    <col collapsed="false" customWidth="true" hidden="false" outlineLevel="0" max="19" min="19" style="0" width="11.13"/>
    <col collapsed="false" customWidth="true" hidden="false" outlineLevel="0" max="20" min="20" style="0" width="11.99"/>
    <col collapsed="false" customWidth="true" hidden="false" outlineLevel="0" max="21" min="21" style="0" width="10.13"/>
    <col collapsed="false" customWidth="true" hidden="false" outlineLevel="0" max="22" min="22" style="0" width="1.85"/>
    <col collapsed="false" customWidth="true" hidden="false" outlineLevel="0" max="23" min="23" style="0" width="10.85"/>
    <col collapsed="false" customWidth="true" hidden="false" outlineLevel="0" max="24" min="24" style="0" width="11.28"/>
    <col collapsed="false" customWidth="true" hidden="false" outlineLevel="0" max="25" min="25" style="0" width="11.7"/>
  </cols>
  <sheetData>
    <row r="1" customFormat="false" ht="18" hidden="false" customHeight="false" outlineLevel="0" collapsed="false">
      <c r="A1" s="1" t="s">
        <v>0</v>
      </c>
      <c r="W1" s="2"/>
    </row>
    <row r="2" customFormat="false" ht="16.5" hidden="false" customHeight="false" outlineLevel="0" collapsed="false">
      <c r="A2" s="3"/>
      <c r="W2" s="2"/>
    </row>
    <row r="3" customFormat="false" ht="16.5" hidden="false" customHeight="false" outlineLevel="0" collapsed="false">
      <c r="A3" s="3"/>
      <c r="B3" s="4"/>
      <c r="C3" s="5" t="s">
        <v>1</v>
      </c>
      <c r="D3" s="6"/>
      <c r="E3" s="4"/>
      <c r="F3" s="5" t="s">
        <v>2</v>
      </c>
      <c r="G3" s="6"/>
      <c r="H3" s="4"/>
      <c r="I3" s="5" t="s">
        <v>3</v>
      </c>
      <c r="J3" s="6"/>
      <c r="K3" s="4"/>
      <c r="L3" s="5" t="s">
        <v>4</v>
      </c>
      <c r="M3" s="6"/>
      <c r="O3" s="4"/>
      <c r="P3" s="5" t="s">
        <v>5</v>
      </c>
      <c r="Q3" s="6"/>
      <c r="S3" s="4"/>
      <c r="T3" s="5" t="s">
        <v>6</v>
      </c>
      <c r="U3" s="6"/>
      <c r="W3" s="4"/>
      <c r="X3" s="5" t="s">
        <v>6</v>
      </c>
      <c r="Y3" s="6"/>
    </row>
    <row r="4" customFormat="false" ht="13.5" hidden="false" customHeight="false" outlineLevel="0" collapsed="false">
      <c r="A4" s="7" t="s">
        <v>7</v>
      </c>
      <c r="B4" s="8" t="s">
        <v>8</v>
      </c>
      <c r="C4" s="8" t="s">
        <v>9</v>
      </c>
      <c r="D4" s="8" t="s">
        <v>10</v>
      </c>
      <c r="E4" s="8" t="s">
        <v>8</v>
      </c>
      <c r="F4" s="8" t="s">
        <v>9</v>
      </c>
      <c r="G4" s="8" t="s">
        <v>10</v>
      </c>
      <c r="H4" s="8" t="s">
        <v>8</v>
      </c>
      <c r="I4" s="8" t="s">
        <v>9</v>
      </c>
      <c r="J4" s="8" t="s">
        <v>10</v>
      </c>
      <c r="K4" s="8" t="s">
        <v>8</v>
      </c>
      <c r="L4" s="8" t="s">
        <v>9</v>
      </c>
      <c r="M4" s="8" t="s">
        <v>10</v>
      </c>
      <c r="O4" s="8" t="s">
        <v>8</v>
      </c>
      <c r="P4" s="8" t="s">
        <v>9</v>
      </c>
      <c r="Q4" s="8" t="s">
        <v>10</v>
      </c>
      <c r="S4" s="8" t="s">
        <v>8</v>
      </c>
      <c r="T4" s="8" t="s">
        <v>9</v>
      </c>
      <c r="U4" s="8" t="s">
        <v>10</v>
      </c>
      <c r="W4" s="8" t="s">
        <v>8</v>
      </c>
      <c r="X4" s="8" t="s">
        <v>9</v>
      </c>
      <c r="Y4" s="8" t="s">
        <v>10</v>
      </c>
    </row>
    <row r="5" customFormat="false" ht="12.75" hidden="false" customHeight="false" outlineLevel="0" collapsed="false">
      <c r="A5" s="9" t="s">
        <v>11</v>
      </c>
      <c r="B5" s="10" t="n">
        <v>4334.54060446654</v>
      </c>
      <c r="C5" s="10" t="n">
        <f aca="false">+('SUM-USD'!B9+'SUM-USD'!B11)/1000</f>
        <v>4335.00660446654</v>
      </c>
      <c r="D5" s="11" t="n">
        <f aca="false">+B5-C5</f>
        <v>-0.466000000002168</v>
      </c>
      <c r="E5" s="10" t="n">
        <v>-423.979134846619</v>
      </c>
      <c r="F5" s="10" t="n">
        <f aca="false">+('SUM-USD'!C9+'SUM-USD'!C11)/1000</f>
        <v>-459.247298961816</v>
      </c>
      <c r="G5" s="12" t="n">
        <f aca="false">+E5-F5</f>
        <v>35.2681641151972</v>
      </c>
      <c r="H5" s="10" t="n">
        <v>-42.030172866502</v>
      </c>
      <c r="I5" s="10" t="n">
        <f aca="false">+('SUM-USD'!D9+'SUM-USD'!D11)/1000</f>
        <v>-6.8801728665019</v>
      </c>
      <c r="J5" s="12" t="n">
        <f aca="false">+H5-I5</f>
        <v>-35.1500000000001</v>
      </c>
      <c r="K5" s="10" t="n">
        <v>-11240.5543501711</v>
      </c>
      <c r="L5" s="10" t="n">
        <f aca="false">+('SUM-USD'!E9+'SUM-USD'!E11)/1000-12513</f>
        <v>-11240.089262436</v>
      </c>
      <c r="M5" s="11" t="n">
        <f aca="false">+K5-L5</f>
        <v>-0.465087735165071</v>
      </c>
      <c r="N5" s="13"/>
      <c r="O5" s="10" t="n">
        <v>10105.1608590047</v>
      </c>
      <c r="P5" s="10" t="n">
        <f aca="false">+('SUM-USD'!F9+'SUM-USD'!F11+'SUM-USD'!F10)/1000</f>
        <v>10105.1178590047</v>
      </c>
      <c r="Q5" s="11" t="n">
        <f aca="false">+O5-P5</f>
        <v>0.0430000000014843</v>
      </c>
      <c r="R5" s="13"/>
      <c r="S5" s="10" t="n">
        <f aca="false">+E5+B5+H5+K5+O5</f>
        <v>2733.13780558694</v>
      </c>
      <c r="T5" s="10" t="n">
        <f aca="false">+F5+C5+I5+L5+P5</f>
        <v>2733.90772920691</v>
      </c>
      <c r="U5" s="11" t="n">
        <f aca="false">+S5-T5</f>
        <v>-0.769923619967813</v>
      </c>
      <c r="W5" s="10" t="n">
        <v>2733.19279116404</v>
      </c>
      <c r="X5" s="10" t="n">
        <f aca="false">+T5</f>
        <v>2733.90772920691</v>
      </c>
      <c r="Y5" s="11" t="n">
        <f aca="false">+W5-X5</f>
        <v>-0.714938042868653</v>
      </c>
    </row>
    <row r="6" customFormat="false" ht="12.75" hidden="false" customHeight="false" outlineLevel="0" collapsed="false">
      <c r="A6" s="14" t="s">
        <v>12</v>
      </c>
      <c r="B6" s="15" t="n">
        <v>-815.998061823207</v>
      </c>
      <c r="C6" s="15" t="n">
        <f aca="false">+('SUM-USD'!B16+'SUM-USD'!B17)/1000</f>
        <v>-815.753933975756</v>
      </c>
      <c r="D6" s="16" t="n">
        <f aca="false">+B6-C6</f>
        <v>-0.244127847451068</v>
      </c>
      <c r="E6" s="15" t="n">
        <v>251.370322716874</v>
      </c>
      <c r="F6" s="15" t="n">
        <f aca="false">+('SUM-USD'!C16+'SUM-USD'!C17)/1000</f>
        <v>251.370235410883</v>
      </c>
      <c r="G6" s="16" t="n">
        <f aca="false">+E6-F6</f>
        <v>8.73059915420527E-005</v>
      </c>
      <c r="H6" s="15" t="n">
        <v>1220.5488752215</v>
      </c>
      <c r="I6" s="15" t="n">
        <f aca="false">+('SUM-USD'!D16+'SUM-USD'!D17)/1000</f>
        <v>1227.62599832399</v>
      </c>
      <c r="J6" s="16" t="n">
        <f aca="false">+H6-I6</f>
        <v>-7.07712310248553</v>
      </c>
      <c r="K6" s="15" t="n">
        <v>1190.31129279072</v>
      </c>
      <c r="L6" s="15" t="n">
        <f aca="false">+('SUM-USD'!E16+'SUM-USD'!E17)/1000</f>
        <v>1190.4947417766</v>
      </c>
      <c r="M6" s="16" t="n">
        <f aca="false">+K6-L6</f>
        <v>-0.183448985881114</v>
      </c>
      <c r="N6" s="13"/>
      <c r="O6" s="15" t="n">
        <v>1124.3206019003</v>
      </c>
      <c r="P6" s="15" t="n">
        <f aca="false">+('SUM-USD'!F16+'SUM-USD'!F17)/1000</f>
        <v>1124.72782201082</v>
      </c>
      <c r="Q6" s="16" t="n">
        <f aca="false">+O6-P6</f>
        <v>-0.407220110518438</v>
      </c>
      <c r="R6" s="13"/>
      <c r="S6" s="15" t="n">
        <f aca="false">+E6+B6+H6+K6+O6</f>
        <v>2970.55303080619</v>
      </c>
      <c r="T6" s="15" t="n">
        <f aca="false">+F6+C6+I6+L6+P6</f>
        <v>2978.46486354653</v>
      </c>
      <c r="U6" s="16" t="n">
        <f aca="false">+S6-T6</f>
        <v>-7.91183274034484</v>
      </c>
      <c r="W6" s="15" t="n">
        <v>2970.79751855987</v>
      </c>
      <c r="X6" s="15" t="n">
        <f aca="false">+T6</f>
        <v>2978.46486354653</v>
      </c>
      <c r="Y6" s="16" t="n">
        <f aca="false">+W6-X6</f>
        <v>-7.66734498666119</v>
      </c>
    </row>
    <row r="7" customFormat="false" ht="12.75" hidden="false" customHeight="false" outlineLevel="0" collapsed="false">
      <c r="A7" s="14" t="s">
        <v>13</v>
      </c>
      <c r="B7" s="15" t="n">
        <v>2383.0523198964</v>
      </c>
      <c r="C7" s="15" t="n">
        <f aca="false">+'SUM-USD'!B10/1000</f>
        <v>2383.0523198964</v>
      </c>
      <c r="D7" s="16" t="n">
        <f aca="false">+B7-C7</f>
        <v>0</v>
      </c>
      <c r="E7" s="15" t="n">
        <v>2393.56527655581</v>
      </c>
      <c r="F7" s="15" t="n">
        <f aca="false">+'SUM-USD'!C10/1000</f>
        <v>2393.56527655581</v>
      </c>
      <c r="G7" s="16" t="n">
        <f aca="false">+E7-F7</f>
        <v>0</v>
      </c>
      <c r="H7" s="15" t="n">
        <v>-32195.2687695314</v>
      </c>
      <c r="I7" s="15" t="n">
        <f aca="false">+'SUM-USD'!D10/1000</f>
        <v>-32195.2668325313</v>
      </c>
      <c r="J7" s="16" t="n">
        <f aca="false">+H7-I7</f>
        <v>-0.00193700015006471</v>
      </c>
      <c r="K7" s="15" t="n">
        <v>-40891.1539508737</v>
      </c>
      <c r="L7" s="15" t="n">
        <f aca="false">+'SUM-USD'!E10/1000+12513</f>
        <v>-40892.2310386088</v>
      </c>
      <c r="M7" s="16" t="n">
        <f aca="false">+K7-L7</f>
        <v>1.07708773516788</v>
      </c>
      <c r="O7" s="15" t="n">
        <v>0</v>
      </c>
      <c r="P7" s="15" t="n">
        <v>0</v>
      </c>
      <c r="Q7" s="16" t="n">
        <f aca="false">+O7-P7</f>
        <v>0</v>
      </c>
      <c r="S7" s="15" t="n">
        <f aca="false">+E7+B7+H7+K7+O7</f>
        <v>-68309.8051239529</v>
      </c>
      <c r="T7" s="15" t="n">
        <f aca="false">+F7+C7+I7+L7+P7</f>
        <v>-68310.8802746879</v>
      </c>
      <c r="U7" s="16" t="n">
        <f aca="false">+S7-T7</f>
        <v>1.07515073502145</v>
      </c>
      <c r="W7" s="15" t="n">
        <v>-68309.8071944379</v>
      </c>
      <c r="X7" s="15" t="n">
        <f aca="false">+T7</f>
        <v>-68310.8802746879</v>
      </c>
      <c r="Y7" s="16" t="n">
        <f aca="false">+W7-X7</f>
        <v>1.07308024998929</v>
      </c>
    </row>
    <row r="8" customFormat="false" ht="13.5" hidden="false" customHeight="false" outlineLevel="0" collapsed="false">
      <c r="A8" s="17" t="s">
        <v>14</v>
      </c>
      <c r="B8" s="18" t="n">
        <v>0.244127847450969</v>
      </c>
      <c r="C8" s="18" t="n">
        <v>0</v>
      </c>
      <c r="D8" s="19" t="n">
        <f aca="false">+B8-C8</f>
        <v>0.244127847450969</v>
      </c>
      <c r="E8" s="18" t="n">
        <v>0</v>
      </c>
      <c r="F8" s="18" t="n">
        <v>0</v>
      </c>
      <c r="G8" s="19" t="n">
        <f aca="false">+E8-F8</f>
        <v>0</v>
      </c>
      <c r="H8" s="18" t="n">
        <v>0</v>
      </c>
      <c r="I8" s="18" t="n">
        <v>0</v>
      </c>
      <c r="J8" s="19" t="n">
        <f aca="false">+H8-I8</f>
        <v>0</v>
      </c>
      <c r="K8" s="18" t="n">
        <v>0</v>
      </c>
      <c r="L8" s="18" t="n">
        <v>0</v>
      </c>
      <c r="M8" s="19" t="n">
        <f aca="false">+K8-L8</f>
        <v>0</v>
      </c>
      <c r="N8" s="13"/>
      <c r="O8" s="18" t="n">
        <v>0</v>
      </c>
      <c r="P8" s="18" t="n">
        <v>0</v>
      </c>
      <c r="Q8" s="19" t="n">
        <f aca="false">+O8-P8</f>
        <v>0</v>
      </c>
      <c r="R8" s="13"/>
      <c r="S8" s="18" t="n">
        <f aca="false">+E8+B8+H8+K8+O8</f>
        <v>0.244127847450969</v>
      </c>
      <c r="T8" s="18" t="n">
        <f aca="false">+F8+C8+I8+L8+P8</f>
        <v>0</v>
      </c>
      <c r="U8" s="19" t="n">
        <f aca="false">+S8-T8</f>
        <v>0.244127847450969</v>
      </c>
      <c r="W8" s="18" t="n">
        <v>0</v>
      </c>
      <c r="X8" s="18" t="n">
        <f aca="false">+T8</f>
        <v>0</v>
      </c>
      <c r="Y8" s="19" t="n">
        <f aca="false">+W8-X8</f>
        <v>0</v>
      </c>
    </row>
    <row r="9" customFormat="false" ht="12.75" hidden="false" customHeight="false" outlineLevel="0" collapsed="false">
      <c r="A9" s="9" t="s">
        <v>15</v>
      </c>
      <c r="B9" s="10" t="n">
        <v>3518.54254264333</v>
      </c>
      <c r="C9" s="10" t="n">
        <f aca="false">+C5+C6</f>
        <v>3519.25267049078</v>
      </c>
      <c r="D9" s="11" t="n">
        <f aca="false">+B9-C9</f>
        <v>-0.71012784745335</v>
      </c>
      <c r="E9" s="10" t="n">
        <v>-172.608812129744</v>
      </c>
      <c r="F9" s="10" t="n">
        <f aca="false">+F5+F6</f>
        <v>-207.877063550933</v>
      </c>
      <c r="G9" s="11" t="n">
        <f aca="false">+E9-F9</f>
        <v>35.2682514211888</v>
      </c>
      <c r="H9" s="10" t="n">
        <v>1178.518702355</v>
      </c>
      <c r="I9" s="10" t="n">
        <f aca="false">+I5+I6</f>
        <v>1220.74582545749</v>
      </c>
      <c r="J9" s="11" t="n">
        <f aca="false">+H9-I9</f>
        <v>-42.2271231024856</v>
      </c>
      <c r="K9" s="10" t="n">
        <v>-10050.2430573804</v>
      </c>
      <c r="L9" s="10" t="n">
        <f aca="false">+L5+L6</f>
        <v>-10049.5945206594</v>
      </c>
      <c r="M9" s="11" t="n">
        <f aca="false">+K9-L9</f>
        <v>-0.648536721046185</v>
      </c>
      <c r="O9" s="10" t="n">
        <v>11229.481460905</v>
      </c>
      <c r="P9" s="10" t="n">
        <f aca="false">+P5+P6</f>
        <v>11229.8456810155</v>
      </c>
      <c r="Q9" s="11" t="n">
        <f aca="false">+O9-P9</f>
        <v>-0.364220110515817</v>
      </c>
      <c r="S9" s="10" t="n">
        <f aca="false">+E9+B9+H9+K9+O9</f>
        <v>5703.69083639313</v>
      </c>
      <c r="T9" s="10" t="n">
        <f aca="false">+F9+C9+I9+L9+P9</f>
        <v>5712.37259275344</v>
      </c>
      <c r="U9" s="11" t="n">
        <f aca="false">+S9-T9</f>
        <v>-8.68175636031174</v>
      </c>
      <c r="W9" s="10" t="n">
        <v>5703.99030972391</v>
      </c>
      <c r="X9" s="10" t="n">
        <f aca="false">+T9</f>
        <v>5712.37259275344</v>
      </c>
      <c r="Y9" s="11" t="n">
        <f aca="false">+W9-X9</f>
        <v>-8.3822830295303</v>
      </c>
    </row>
    <row r="10" customFormat="false" ht="12.75" hidden="false" customHeight="false" outlineLevel="0" collapsed="false">
      <c r="A10" s="14" t="s">
        <v>16</v>
      </c>
      <c r="B10" s="15" t="n">
        <v>3310.23864266062</v>
      </c>
      <c r="C10" s="15" t="n">
        <f aca="false">+'SUM-USD'!B15/1000</f>
        <v>3310.23864266062</v>
      </c>
      <c r="D10" s="16" t="n">
        <f aca="false">+B10-C10</f>
        <v>0</v>
      </c>
      <c r="E10" s="15" t="n">
        <v>863.113781238359</v>
      </c>
      <c r="F10" s="15" t="n">
        <f aca="false">+'SUM-USD'!C15/1000</f>
        <v>863.113781238359</v>
      </c>
      <c r="G10" s="16" t="n">
        <f aca="false">+E10-F10</f>
        <v>0</v>
      </c>
      <c r="H10" s="15" t="n">
        <v>426.054064579633</v>
      </c>
      <c r="I10" s="15" t="n">
        <f aca="false">+'SUM-USD'!D15/1000</f>
        <v>428.524363157396</v>
      </c>
      <c r="J10" s="16" t="n">
        <f aca="false">+H10-I10</f>
        <v>-2.470298577763</v>
      </c>
      <c r="K10" s="15" t="n">
        <v>642.626973001316</v>
      </c>
      <c r="L10" s="15" t="n">
        <f aca="false">+'SUM-USD'!E15/1000</f>
        <v>642.726013703703</v>
      </c>
      <c r="M10" s="16" t="n">
        <f aca="false">+K10-L10</f>
        <v>-0.0990407023867874</v>
      </c>
      <c r="O10" s="15" t="n">
        <v>983.686417897953</v>
      </c>
      <c r="P10" s="15" t="n">
        <f aca="false">+'SUM-USD'!F15/1000</f>
        <v>984.0427014092</v>
      </c>
      <c r="Q10" s="16" t="n">
        <f aca="false">+O10-P10</f>
        <v>-0.356283511246488</v>
      </c>
      <c r="S10" s="15" t="n">
        <f aca="false">+E10+B10+H10+K10+O10</f>
        <v>6225.71987937788</v>
      </c>
      <c r="T10" s="15" t="n">
        <f aca="false">+F10+C10+I10+L10+P10</f>
        <v>6228.64550216928</v>
      </c>
      <c r="U10" s="16" t="n">
        <f aca="false">+S10-T10</f>
        <v>-2.92562279139656</v>
      </c>
      <c r="W10" s="15" t="n">
        <v>6225.72002902694</v>
      </c>
      <c r="X10" s="15" t="n">
        <f aca="false">+T10</f>
        <v>6228.64550216928</v>
      </c>
      <c r="Y10" s="16" t="n">
        <f aca="false">+W10-X10</f>
        <v>-2.92547314234253</v>
      </c>
    </row>
    <row r="11" customFormat="false" ht="12.75" hidden="false" customHeight="false" outlineLevel="0" collapsed="false">
      <c r="A11" s="14" t="s">
        <v>17</v>
      </c>
      <c r="B11" s="15" t="n">
        <v>1705.50603713179</v>
      </c>
      <c r="C11" s="15" t="n">
        <f aca="false">+'SUM-USD'!B14/1000</f>
        <v>1704.56434888317</v>
      </c>
      <c r="D11" s="16" t="n">
        <f aca="false">+B11-C11</f>
        <v>0.941688248620494</v>
      </c>
      <c r="E11" s="15" t="n">
        <v>-553.070871633657</v>
      </c>
      <c r="F11" s="15" t="n">
        <f aca="false">+'SUM-USD'!C14/1000</f>
        <v>-553.070871633657</v>
      </c>
      <c r="G11" s="16" t="n">
        <f aca="false">+E11-F11</f>
        <v>0</v>
      </c>
      <c r="H11" s="15" t="n">
        <v>788.94537151177</v>
      </c>
      <c r="I11" s="15" t="n">
        <f aca="false">+'SUM-USD'!D14/1000</f>
        <v>793.51974549668</v>
      </c>
      <c r="J11" s="16" t="n">
        <f aca="false">+H11-I11</f>
        <v>-4.57437398490993</v>
      </c>
      <c r="K11" s="15" t="n">
        <v>757.866402074017</v>
      </c>
      <c r="L11" s="15" t="n">
        <f aca="false">+'SUM-USD'!E14/1000</f>
        <v>757.98320330386</v>
      </c>
      <c r="M11" s="16" t="n">
        <f aca="false">+K11-L11</f>
        <v>-0.116801229842849</v>
      </c>
      <c r="O11" s="15" t="n">
        <v>2092.72942408643</v>
      </c>
      <c r="P11" s="15" t="n">
        <f aca="false">+'SUM-USD'!F14/1000</f>
        <v>2093.48739428276</v>
      </c>
      <c r="Q11" s="16" t="n">
        <f aca="false">+O11-P11</f>
        <v>-0.757970196331371</v>
      </c>
      <c r="S11" s="15" t="n">
        <f aca="false">+E11+B11+H11+K11+O11</f>
        <v>4791.97636317035</v>
      </c>
      <c r="T11" s="15" t="n">
        <f aca="false">+F11+C11+I11+L11+P11</f>
        <v>4796.48382033281</v>
      </c>
      <c r="U11" s="16" t="n">
        <f aca="false">+S11-T11</f>
        <v>-4.50745716246274</v>
      </c>
      <c r="W11" s="15" t="n">
        <v>4791.97672544494</v>
      </c>
      <c r="X11" s="15" t="n">
        <f aca="false">+T11</f>
        <v>4796.48382033281</v>
      </c>
      <c r="Y11" s="16" t="n">
        <f aca="false">+W11-X11</f>
        <v>-4.50709488787197</v>
      </c>
    </row>
    <row r="12" customFormat="false" ht="12.75" hidden="false" customHeight="false" outlineLevel="0" collapsed="false">
      <c r="A12" s="14" t="s">
        <v>18</v>
      </c>
      <c r="B12" s="15" t="n">
        <v>2383.29644774385</v>
      </c>
      <c r="C12" s="15" t="n">
        <f aca="false">+C8+C7</f>
        <v>2383.0523198964</v>
      </c>
      <c r="D12" s="16" t="n">
        <f aca="false">+B12-C12</f>
        <v>0.244127847451637</v>
      </c>
      <c r="E12" s="15" t="n">
        <v>2393.56527655581</v>
      </c>
      <c r="F12" s="15" t="n">
        <f aca="false">+F8+F7</f>
        <v>2393.56527655581</v>
      </c>
      <c r="G12" s="16" t="n">
        <f aca="false">+E12-F12</f>
        <v>0</v>
      </c>
      <c r="H12" s="15" t="n">
        <v>-32195.2687695314</v>
      </c>
      <c r="I12" s="15" t="n">
        <f aca="false">+I8+I7</f>
        <v>-32195.2668325313</v>
      </c>
      <c r="J12" s="16" t="n">
        <f aca="false">+H12-I12</f>
        <v>-0.00193700015006471</v>
      </c>
      <c r="K12" s="15" t="n">
        <v>-40891.1539508737</v>
      </c>
      <c r="L12" s="15" t="n">
        <f aca="false">+'SUM-USD'!E32/1000</f>
        <v>-40891.1539508737</v>
      </c>
      <c r="M12" s="16" t="n">
        <f aca="false">+K12-L12</f>
        <v>0</v>
      </c>
      <c r="O12" s="15" t="n">
        <v>0</v>
      </c>
      <c r="P12" s="15" t="n">
        <f aca="false">+'SUM-USD'!F32/1000</f>
        <v>0</v>
      </c>
      <c r="Q12" s="16" t="n">
        <f aca="false">+O12-P12</f>
        <v>0</v>
      </c>
      <c r="S12" s="15" t="n">
        <f aca="false">+E12+B12+H12+K12+O12</f>
        <v>-68309.5609961054</v>
      </c>
      <c r="T12" s="15" t="n">
        <f aca="false">+F12+C12+I12+L12+P12</f>
        <v>-68309.8031869527</v>
      </c>
      <c r="U12" s="16" t="n">
        <f aca="false">+S12-T12</f>
        <v>0.2421908473043</v>
      </c>
      <c r="W12" s="15" t="n">
        <v>-68309.8071944379</v>
      </c>
      <c r="X12" s="15" t="n">
        <f aca="false">+T12</f>
        <v>-68309.8031869527</v>
      </c>
      <c r="Y12" s="16" t="n">
        <f aca="false">+W12-X12</f>
        <v>-0.00400748517131433</v>
      </c>
    </row>
    <row r="13" customFormat="false" ht="12.75" hidden="false" customHeight="false" outlineLevel="0" collapsed="false">
      <c r="A13" s="14" t="s">
        <v>19</v>
      </c>
      <c r="B13" s="15" t="n">
        <v>5334.66817371649</v>
      </c>
      <c r="C13" s="15" t="n">
        <f aca="false">+C19</f>
        <v>5357.24238973493</v>
      </c>
      <c r="D13" s="20" t="n">
        <f aca="false">+B13-C13</f>
        <v>-22.5742160184382</v>
      </c>
      <c r="E13" s="15" t="n">
        <v>628.924152222934</v>
      </c>
      <c r="F13" s="15" t="n">
        <f aca="false">+F19</f>
        <v>606.349936204495</v>
      </c>
      <c r="G13" s="20" t="n">
        <f aca="false">+E13-F13</f>
        <v>22.5742160184385</v>
      </c>
      <c r="H13" s="15" t="n">
        <v>880.527695678457</v>
      </c>
      <c r="I13" s="15" t="n">
        <f aca="false">+I19</f>
        <v>880.527695678457</v>
      </c>
      <c r="J13" s="21" t="n">
        <f aca="false">+H13-I13</f>
        <v>0</v>
      </c>
      <c r="K13" s="15" t="n">
        <v>3270.69484186414</v>
      </c>
      <c r="L13" s="15" t="n">
        <f aca="false">+L19</f>
        <v>3270.69484186414</v>
      </c>
      <c r="M13" s="21" t="n">
        <f aca="false">+K13-L13</f>
        <v>0</v>
      </c>
      <c r="O13" s="15" t="n">
        <v>587.258522054825</v>
      </c>
      <c r="P13" s="15" t="n">
        <f aca="false">+P19</f>
        <v>587.258522054825</v>
      </c>
      <c r="Q13" s="21" t="n">
        <f aca="false">+O13-P13</f>
        <v>0</v>
      </c>
      <c r="S13" s="15" t="n">
        <f aca="false">+E13+B13+H13+K13+O13</f>
        <v>10702.0733855369</v>
      </c>
      <c r="T13" s="15" t="n">
        <f aca="false">+F13+C13+I13+L13+P13</f>
        <v>10702.0733855369</v>
      </c>
      <c r="U13" s="21" t="n">
        <f aca="false">+S13-T13</f>
        <v>0</v>
      </c>
      <c r="W13" s="15" t="n">
        <v>10702.0733855368</v>
      </c>
      <c r="X13" s="15" t="n">
        <f aca="false">+T13</f>
        <v>10702.0733855369</v>
      </c>
      <c r="Y13" s="21" t="n">
        <f aca="false">+W13-X13</f>
        <v>0</v>
      </c>
    </row>
    <row r="14" customFormat="false" ht="12.75" hidden="false" customHeight="false" outlineLevel="0" collapsed="false">
      <c r="A14" s="14" t="s">
        <v>20</v>
      </c>
      <c r="B14" s="22" t="n">
        <v>-244.63406350522</v>
      </c>
      <c r="C14" s="22" t="n">
        <f aca="false">+'SUM-USD'!B33/1000</f>
        <v>-244.63406350522</v>
      </c>
      <c r="D14" s="23" t="n">
        <f aca="false">+B14-C14</f>
        <v>0</v>
      </c>
      <c r="E14" s="22" t="n">
        <v>2437.42455275969</v>
      </c>
      <c r="F14" s="22" t="n">
        <f aca="false">+'SUM-USD'!C33/1000</f>
        <v>2437.42455275969</v>
      </c>
      <c r="G14" s="23" t="n">
        <f aca="false">+E14-F14</f>
        <v>0</v>
      </c>
      <c r="H14" s="22" t="n">
        <v>6258.2864477016</v>
      </c>
      <c r="I14" s="22" t="n">
        <f aca="false">+'SUM-USD'!D33/1000</f>
        <v>6259.25068225449</v>
      </c>
      <c r="J14" s="23" t="n">
        <f aca="false">+H14-I14</f>
        <v>-0.964234552898233</v>
      </c>
      <c r="K14" s="22" t="n">
        <v>-884.680594276313</v>
      </c>
      <c r="L14" s="22" t="n">
        <f aca="false">+'SUM-USD'!E33/1000</f>
        <v>-884.686400969234</v>
      </c>
      <c r="M14" s="23" t="n">
        <f aca="false">+K14-L14</f>
        <v>0.00580669292162384</v>
      </c>
      <c r="O14" s="22" t="n">
        <v>3403.11914293794</v>
      </c>
      <c r="P14" s="22" t="n">
        <f aca="false">+'SUM-USD'!F33/1000</f>
        <v>3403.16652255745</v>
      </c>
      <c r="Q14" s="23" t="n">
        <f aca="false">+O14-P14</f>
        <v>-0.0473796195115028</v>
      </c>
      <c r="S14" s="22" t="n">
        <f aca="false">+E14+B14+H14+K14+O14</f>
        <v>10969.5154856177</v>
      </c>
      <c r="T14" s="22" t="n">
        <f aca="false">+F14+C14+I14+L14+P14</f>
        <v>10970.5212930972</v>
      </c>
      <c r="U14" s="23" t="n">
        <f aca="false">+S14-T14</f>
        <v>-1.00580747948698</v>
      </c>
      <c r="W14" s="22" t="n">
        <v>10969.5173794621</v>
      </c>
      <c r="X14" s="22" t="n">
        <f aca="false">+T14</f>
        <v>10970.5212930972</v>
      </c>
      <c r="Y14" s="23" t="n">
        <f aca="false">+W14-X14</f>
        <v>-1.00391363503513</v>
      </c>
    </row>
    <row r="15" customFormat="false" ht="13.5" hidden="false" customHeight="false" outlineLevel="0" collapsed="false">
      <c r="A15" s="17" t="s">
        <v>21</v>
      </c>
      <c r="B15" s="18" t="n">
        <f aca="false">+SUM(B9:B14)</f>
        <v>16007.6177803909</v>
      </c>
      <c r="C15" s="18" t="n">
        <f aca="false">+SUM(C9:C14)</f>
        <v>16029.7163081607</v>
      </c>
      <c r="D15" s="19" t="n">
        <f aca="false">SUM(D9:D14)</f>
        <v>-22.0985277698194</v>
      </c>
      <c r="E15" s="18" t="n">
        <f aca="false">+SUM(E9:E14)</f>
        <v>5597.34807901339</v>
      </c>
      <c r="F15" s="18" t="n">
        <f aca="false">+SUM(F9:F14)</f>
        <v>5539.50561157376</v>
      </c>
      <c r="G15" s="19" t="n">
        <f aca="false">SUM(G9:G14)</f>
        <v>57.8424674396273</v>
      </c>
      <c r="H15" s="18" t="n">
        <f aca="false">+SUM(H9:H14)</f>
        <v>-22662.936487705</v>
      </c>
      <c r="I15" s="18" t="n">
        <f aca="false">+SUM(I9:I14)</f>
        <v>-22612.6985204868</v>
      </c>
      <c r="J15" s="19" t="n">
        <f aca="false">SUM(J9:J14)</f>
        <v>-50.2379672182069</v>
      </c>
      <c r="K15" s="18" t="n">
        <f aca="false">+SUM(K9:K14)</f>
        <v>-47154.8893855909</v>
      </c>
      <c r="L15" s="18" t="n">
        <f aca="false">+SUM(L9:L14)</f>
        <v>-47154.0308136306</v>
      </c>
      <c r="M15" s="19" t="n">
        <f aca="false">SUM(M9:M14)</f>
        <v>-0.858571960354198</v>
      </c>
      <c r="O15" s="18" t="n">
        <f aca="false">+SUM(O9:O14)</f>
        <v>18296.2749678821</v>
      </c>
      <c r="P15" s="18" t="n">
        <f aca="false">+SUM(P9:P14)</f>
        <v>18297.8008213197</v>
      </c>
      <c r="Q15" s="19" t="n">
        <f aca="false">SUM(Q9:Q14)</f>
        <v>-1.52585343760518</v>
      </c>
      <c r="S15" s="18" t="n">
        <v>-48197.5074143829</v>
      </c>
      <c r="T15" s="18" t="n">
        <f aca="false">+SUM(T9:T14)</f>
        <v>-29899.7065930632</v>
      </c>
      <c r="U15" s="19" t="n">
        <f aca="false">SUM(U9:U14)</f>
        <v>-16.8784529463537</v>
      </c>
      <c r="W15" s="18" t="n">
        <f aca="false">+SUM(W9:W14)</f>
        <v>-29916.5293652431</v>
      </c>
      <c r="X15" s="18" t="n">
        <f aca="false">+SUM(X9:X14)</f>
        <v>-29899.7065930632</v>
      </c>
      <c r="Y15" s="19" t="n">
        <f aca="false">SUM(Y9:Y14)</f>
        <v>-16.8227721799512</v>
      </c>
    </row>
    <row r="16" customFormat="false" ht="13.5" hidden="false" customHeight="false" outlineLevel="0" collapsed="false"/>
    <row r="17" customFormat="false" ht="12.75" hidden="false" customHeight="false" outlineLevel="0" collapsed="false">
      <c r="A17" s="24" t="s">
        <v>22</v>
      </c>
      <c r="B17" s="25"/>
      <c r="C17" s="26" t="n">
        <f aca="false">+'[1]Orig Sched'!$O$181</f>
        <v>5334.66817371649</v>
      </c>
      <c r="F17" s="26" t="n">
        <f aca="false">+'[2]Orig Sched'!$O$181-'[2]Orig Sched'!$O$127</f>
        <v>628.924152222934</v>
      </c>
      <c r="I17" s="26" t="n">
        <f aca="false">+'[3]Orig Sched'!$O$183/1000</f>
        <v>880.527695678457</v>
      </c>
      <c r="L17" s="26" t="n">
        <f aca="false">+'[4]Orig Sched'!$O$239/1000</f>
        <v>3270.69484186414</v>
      </c>
      <c r="P17" s="26" t="n">
        <f aca="false">+'SUM-USD'!F40/1000</f>
        <v>587.258522054825</v>
      </c>
    </row>
    <row r="18" customFormat="false" ht="12.75" hidden="false" customHeight="false" outlineLevel="0" collapsed="false">
      <c r="A18" s="27" t="s">
        <v>23</v>
      </c>
      <c r="B18" s="2"/>
      <c r="C18" s="28" t="n">
        <f aca="false">+[5]Input!$Q$22/'SUM-USD'!B3/1000</f>
        <v>22.5742160184385</v>
      </c>
      <c r="F18" s="28" t="n">
        <f aca="false">-C18</f>
        <v>-22.5742160184385</v>
      </c>
      <c r="I18" s="28"/>
      <c r="L18" s="28"/>
      <c r="P18" s="28"/>
    </row>
    <row r="19" customFormat="false" ht="13.5" hidden="false" customHeight="false" outlineLevel="0" collapsed="false">
      <c r="A19" s="29" t="s">
        <v>24</v>
      </c>
      <c r="B19" s="30"/>
      <c r="C19" s="31" t="n">
        <f aca="false">+C18+C17</f>
        <v>5357.24238973493</v>
      </c>
      <c r="F19" s="31" t="n">
        <f aca="false">+F18+F17</f>
        <v>606.349936204495</v>
      </c>
      <c r="I19" s="31" t="n">
        <f aca="false">+I18+I17</f>
        <v>880.527695678457</v>
      </c>
      <c r="L19" s="31" t="n">
        <f aca="false">+L18+L17</f>
        <v>3270.69484186414</v>
      </c>
      <c r="P19" s="31" t="n">
        <f aca="false">+P18+P17</f>
        <v>587.258522054825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48"/>
  <sheetViews>
    <sheetView showFormulas="false" showGridLines="true" showRowColHeaders="true" showZeros="true" rightToLeft="false" tabSelected="true" showOutlineSymbols="true" defaultGridColor="true" view="normal" topLeftCell="A8" colorId="64" zoomScale="100" zoomScaleNormal="100" zoomScalePageLayoutView="100" workbookViewId="0">
      <selection pane="topLeft" activeCell="A15" activeCellId="0" sqref="A15"/>
    </sheetView>
  </sheetViews>
  <sheetFormatPr defaultColWidth="9.0546875" defaultRowHeight="12.75" customHeight="true" zeroHeight="false" outlineLevelRow="0" outlineLevelCol="0"/>
  <cols>
    <col collapsed="false" customWidth="true" hidden="false" outlineLevel="0" max="1" min="1" style="0" width="22.28"/>
    <col collapsed="false" customWidth="true" hidden="false" outlineLevel="0" max="2" min="2" style="0" width="10.28"/>
    <col collapsed="false" customWidth="true" hidden="false" outlineLevel="0" max="3" min="3" style="0" width="9.85"/>
    <col collapsed="false" customWidth="true" hidden="false" outlineLevel="0" max="4" min="4" style="0" width="10.99"/>
    <col collapsed="false" customWidth="true" hidden="false" outlineLevel="0" max="5" min="5" style="0" width="10.13"/>
    <col collapsed="false" customWidth="true" hidden="false" outlineLevel="0" max="6" min="6" style="0" width="9.85"/>
    <col collapsed="false" customWidth="true" hidden="false" outlineLevel="0" max="7" min="7" style="0" width="9.56"/>
    <col collapsed="false" customWidth="true" hidden="true" outlineLevel="0" max="8" min="8" style="0" width="10.41"/>
    <col collapsed="false" customWidth="true" hidden="true" outlineLevel="0" max="9" min="9" style="0" width="9.56"/>
    <col collapsed="false" customWidth="true" hidden="true" outlineLevel="0" max="13" min="10" style="0" width="10.13"/>
    <col collapsed="false" customWidth="true" hidden="false" outlineLevel="0" max="14" min="14" style="2" width="0.99"/>
    <col collapsed="false" customWidth="true" hidden="false" outlineLevel="0" max="15" min="15" style="0" width="11.7"/>
    <col collapsed="false" customWidth="true" hidden="false" outlineLevel="0" max="16" min="16" style="0" width="1.7"/>
    <col collapsed="false" customWidth="true" hidden="false" outlineLevel="0" max="17" min="17" style="0" width="11.42"/>
    <col collapsed="false" customWidth="true" hidden="false" outlineLevel="0" max="18" min="18" style="0" width="10.28"/>
    <col collapsed="false" customWidth="true" hidden="false" outlineLevel="0" max="19" min="19" style="0" width="11.13"/>
    <col collapsed="false" customWidth="true" hidden="false" outlineLevel="0" max="20" min="20" style="0" width="10.99"/>
    <col collapsed="false" customWidth="true" hidden="false" outlineLevel="0" max="21" min="21" style="0" width="1.99"/>
    <col collapsed="false" customWidth="true" hidden="false" outlineLevel="0" max="22" min="22" style="0" width="11.7"/>
  </cols>
  <sheetData>
    <row r="1" customFormat="false" ht="18" hidden="false" customHeight="false" outlineLevel="0" collapsed="false">
      <c r="A1" s="1" t="s">
        <v>25</v>
      </c>
    </row>
    <row r="2" customFormat="false" ht="16.5" hidden="false" customHeight="false" outlineLevel="0" collapsed="false">
      <c r="A2" s="3"/>
    </row>
    <row r="3" customFormat="false" ht="16.5" hidden="false" customHeight="false" outlineLevel="0" collapsed="false">
      <c r="A3" s="32" t="s">
        <v>26</v>
      </c>
      <c r="B3" s="33" t="n">
        <f aca="false">+[1]SpotRates!$F$36</f>
        <v>1.5033106785317</v>
      </c>
      <c r="C3" s="33" t="n">
        <f aca="false">+[2]SpotRates!$F$36</f>
        <v>1.52223214285714</v>
      </c>
      <c r="D3" s="33" t="n">
        <f aca="false">+[3]SpotRates!$F$36</f>
        <v>1.54878666666667</v>
      </c>
      <c r="E3" s="33" t="n">
        <f aca="false">+[4]SpotRates!$F$36</f>
        <v>1.55724333333333</v>
      </c>
      <c r="F3" s="33" t="n">
        <f aca="false">+[6]SpotRates!$F$36</f>
        <v>1.54079677419355</v>
      </c>
      <c r="G3" s="34" t="n">
        <f aca="false">+[7]SpotRates!$F$36</f>
        <v>1.47608666666667</v>
      </c>
      <c r="H3" s="34" t="n">
        <f aca="false">+[8]SpotRates!$F$36</f>
        <v>1.47781612903226</v>
      </c>
      <c r="I3" s="34" t="n">
        <f aca="false">+[9]SpotRates!$F$36</f>
        <v>1.48224677419355</v>
      </c>
      <c r="J3" s="34" t="n">
        <f aca="false">+[10]SpotRates!$F$36</f>
        <v>1.48332068965517</v>
      </c>
      <c r="K3" s="34" t="n">
        <f aca="false">+[11]SpotRates!$F$36</f>
        <v>1.51079421579533</v>
      </c>
      <c r="L3" s="34" t="n">
        <f aca="false">+[12]SpotRates!$F$36</f>
        <v>1.54291</v>
      </c>
      <c r="M3" s="35" t="n">
        <f aca="false">+[13]SpotRates!$F$36</f>
        <v>1.52373103448276</v>
      </c>
    </row>
    <row r="4" customFormat="false" ht="13.5" hidden="false" customHeight="false" outlineLevel="0" collapsed="false">
      <c r="L4" s="36"/>
      <c r="M4" s="36"/>
      <c r="O4" s="37" t="n">
        <f aca="false">+'SUM - C$'!O17/'SUM-USD'!O19</f>
        <v>1.57795403360831</v>
      </c>
    </row>
    <row r="5" customFormat="false" ht="12.75" hidden="false" customHeight="false" outlineLevel="0" collapsed="false">
      <c r="B5" s="38"/>
      <c r="C5" s="39"/>
      <c r="D5" s="39"/>
      <c r="E5" s="40"/>
      <c r="F5" s="39"/>
      <c r="G5" s="39"/>
      <c r="H5" s="39"/>
      <c r="I5" s="39"/>
      <c r="J5" s="39"/>
      <c r="K5" s="41"/>
      <c r="L5" s="41"/>
      <c r="M5" s="41"/>
      <c r="N5" s="39"/>
      <c r="O5" s="42"/>
      <c r="Q5" s="43"/>
      <c r="R5" s="44"/>
      <c r="S5" s="44"/>
      <c r="T5" s="45"/>
      <c r="U5" s="44"/>
      <c r="V5" s="46"/>
    </row>
    <row r="6" customFormat="false" ht="13.5" hidden="false" customHeight="false" outlineLevel="0" collapsed="false">
      <c r="B6" s="47" t="n">
        <f aca="false">+'SUM - C$'!B4</f>
        <v>36892</v>
      </c>
      <c r="C6" s="48" t="n">
        <f aca="false">+'SUM - C$'!C4</f>
        <v>36923</v>
      </c>
      <c r="D6" s="48" t="n">
        <f aca="false">+'SUM - C$'!D4</f>
        <v>36951</v>
      </c>
      <c r="E6" s="48" t="n">
        <f aca="false">+'SUM - C$'!E4</f>
        <v>36982</v>
      </c>
      <c r="F6" s="48" t="n">
        <f aca="false">+'SUM - C$'!F4</f>
        <v>37012</v>
      </c>
      <c r="G6" s="48" t="n">
        <f aca="false">+'SUM - C$'!G4</f>
        <v>37043</v>
      </c>
      <c r="H6" s="48" t="n">
        <f aca="false">+'SUM - C$'!H4</f>
        <v>37073</v>
      </c>
      <c r="I6" s="48" t="n">
        <f aca="false">+'SUM - C$'!I4</f>
        <v>37104</v>
      </c>
      <c r="J6" s="48" t="n">
        <f aca="false">+'SUM - C$'!J4</f>
        <v>37135</v>
      </c>
      <c r="K6" s="48" t="n">
        <f aca="false">+'SUM - C$'!K4</f>
        <v>37165</v>
      </c>
      <c r="L6" s="48" t="n">
        <f aca="false">+'SUM - C$'!L4</f>
        <v>37196</v>
      </c>
      <c r="M6" s="48" t="n">
        <f aca="false">+'SUM - C$'!M4</f>
        <v>37226</v>
      </c>
      <c r="N6" s="49"/>
      <c r="O6" s="50" t="s">
        <v>21</v>
      </c>
      <c r="Q6" s="51" t="s">
        <v>27</v>
      </c>
      <c r="R6" s="52" t="s">
        <v>28</v>
      </c>
      <c r="S6" s="52" t="s">
        <v>29</v>
      </c>
      <c r="T6" s="52" t="s">
        <v>30</v>
      </c>
      <c r="U6" s="53"/>
      <c r="V6" s="54" t="s">
        <v>21</v>
      </c>
    </row>
    <row r="7" customFormat="false" ht="12.75" hidden="false" customHeight="false" outlineLevel="0" collapsed="false">
      <c r="A7" s="55" t="s">
        <v>31</v>
      </c>
      <c r="B7" s="56"/>
      <c r="C7" s="56"/>
      <c r="D7" s="56"/>
      <c r="E7" s="56"/>
      <c r="F7" s="56"/>
      <c r="G7" s="56"/>
      <c r="H7" s="56"/>
      <c r="I7" s="56"/>
      <c r="J7" s="56"/>
      <c r="K7" s="56"/>
      <c r="L7" s="56"/>
      <c r="M7" s="56"/>
      <c r="N7" s="57"/>
      <c r="O7" s="58"/>
      <c r="Q7" s="59" t="str">
        <f aca="false">+A7</f>
        <v>BY BOOK:</v>
      </c>
      <c r="R7" s="60"/>
      <c r="S7" s="60"/>
      <c r="T7" s="60"/>
      <c r="U7" s="57"/>
      <c r="V7" s="58"/>
    </row>
    <row r="8" customFormat="false" ht="12.75" hidden="false" customHeight="false" outlineLevel="0" collapsed="false">
      <c r="A8" s="61" t="s">
        <v>32</v>
      </c>
      <c r="B8" s="62"/>
      <c r="C8" s="63"/>
      <c r="D8" s="63"/>
      <c r="E8" s="63"/>
      <c r="F8" s="63"/>
      <c r="G8" s="63"/>
      <c r="H8" s="63"/>
      <c r="I8" s="63"/>
      <c r="J8" s="63"/>
      <c r="K8" s="63"/>
      <c r="L8" s="63"/>
      <c r="M8" s="63"/>
      <c r="N8" s="64"/>
      <c r="O8" s="65"/>
      <c r="Q8" s="66"/>
      <c r="R8" s="63"/>
      <c r="S8" s="63"/>
      <c r="T8" s="63"/>
      <c r="U8" s="64"/>
      <c r="V8" s="65"/>
    </row>
    <row r="9" customFormat="false" ht="12.75" hidden="false" customHeight="false" outlineLevel="0" collapsed="false">
      <c r="A9" s="67" t="str">
        <f aca="false">+'SUM - C$'!A7</f>
        <v>Alberta Term</v>
      </c>
      <c r="B9" s="68" t="n">
        <f aca="false">+'SUM - C$'!B7/'SUM-USD'!B$3</f>
        <v>539181.774981922</v>
      </c>
      <c r="C9" s="68" t="n">
        <f aca="false">+'SUM - C$'!C7/'SUM-USD'!C$3</f>
        <v>-579384.034254208</v>
      </c>
      <c r="D9" s="68" t="n">
        <f aca="false">+'SUM - C$'!D7/'SUM-USD'!D$3</f>
        <v>10911.8191444486</v>
      </c>
      <c r="E9" s="68" t="n">
        <f aca="false">+'SUM - C$'!E7/'SUM-USD'!E$3</f>
        <v>1272910.73756403</v>
      </c>
      <c r="F9" s="68" t="n">
        <f aca="false">+'SUM - C$'!F7/'SUM-USD'!F$3</f>
        <v>4964672.25796456</v>
      </c>
      <c r="G9" s="69" t="n">
        <f aca="false">+'SUM - C$'!G7/'SUM-USD'!G$3</f>
        <v>0</v>
      </c>
      <c r="H9" s="69" t="n">
        <f aca="false">+'SUM - C$'!H7/'SUM-USD'!H$3</f>
        <v>0</v>
      </c>
      <c r="I9" s="69" t="n">
        <f aca="false">+'SUM - C$'!I7/'SUM-USD'!I$3</f>
        <v>0</v>
      </c>
      <c r="J9" s="69" t="n">
        <f aca="false">+'SUM - C$'!J7/'SUM-USD'!J$3</f>
        <v>0</v>
      </c>
      <c r="K9" s="69" t="n">
        <f aca="false">+'SUM - C$'!K7/'SUM-USD'!K$3</f>
        <v>0</v>
      </c>
      <c r="L9" s="69" t="n">
        <f aca="false">+'SUM - C$'!L7/'SUM-USD'!L$3</f>
        <v>0</v>
      </c>
      <c r="M9" s="69" t="n">
        <f aca="false">+'SUM - C$'!M7/'SUM-USD'!M$3</f>
        <v>0</v>
      </c>
      <c r="N9" s="70"/>
      <c r="O9" s="71" t="n">
        <f aca="false">SUM(B9:N9)</f>
        <v>6208292.55540075</v>
      </c>
      <c r="P9" s="72"/>
      <c r="Q9" s="73" t="n">
        <f aca="false">+SUM(B9:D9)</f>
        <v>-29290.4401278376</v>
      </c>
      <c r="R9" s="70" t="n">
        <f aca="false">+SUM(E9:G9)</f>
        <v>6237582.99552859</v>
      </c>
      <c r="S9" s="70" t="n">
        <f aca="false">+SUM(H9:J9)</f>
        <v>0</v>
      </c>
      <c r="T9" s="70" t="n">
        <f aca="false">+SUM(K9:M9)</f>
        <v>0</v>
      </c>
      <c r="U9" s="70"/>
      <c r="V9" s="71" t="n">
        <f aca="false">SUM(Q9:U9)</f>
        <v>6208292.55540075</v>
      </c>
    </row>
    <row r="10" customFormat="false" ht="12.75" hidden="false" customHeight="false" outlineLevel="0" collapsed="false">
      <c r="A10" s="67" t="str">
        <f aca="false">+'SUM - C$'!A8</f>
        <v>BC Term</v>
      </c>
      <c r="B10" s="74" t="n">
        <f aca="false">+'SUM - C$'!B8/'SUM-USD'!B$3</f>
        <v>2383052.3198964</v>
      </c>
      <c r="C10" s="74" t="n">
        <f aca="false">+'SUM - C$'!C8/'SUM-USD'!C$3</f>
        <v>2393565.27655581</v>
      </c>
      <c r="D10" s="74" t="n">
        <f aca="false">+'SUM - C$'!D8/'SUM-USD'!D$3</f>
        <v>-32195266.8325313</v>
      </c>
      <c r="E10" s="74" t="n">
        <f aca="false">+'SUM - C$'!E8/'SUM-USD'!E$3</f>
        <v>-53405231.0386088</v>
      </c>
      <c r="F10" s="74" t="n">
        <f aca="false">+'SUM - C$'!F8/'SUM-USD'!F$3</f>
        <v>5140445.6010401</v>
      </c>
      <c r="G10" s="69" t="n">
        <f aca="false">+'SUM - C$'!G8/'SUM-USD'!G$3</f>
        <v>0</v>
      </c>
      <c r="H10" s="69" t="n">
        <f aca="false">+'SUM - C$'!H8/'SUM-USD'!H$3</f>
        <v>0</v>
      </c>
      <c r="I10" s="69" t="n">
        <f aca="false">+'SUM - C$'!I8/'SUM-USD'!I$3</f>
        <v>0</v>
      </c>
      <c r="J10" s="69" t="n">
        <f aca="false">+'SUM - C$'!J8/'SUM-USD'!J$3</f>
        <v>0</v>
      </c>
      <c r="K10" s="69" t="n">
        <f aca="false">+'SUM - C$'!K8/'SUM-USD'!K$3</f>
        <v>0</v>
      </c>
      <c r="L10" s="69" t="n">
        <f aca="false">+'SUM - C$'!L8/'SUM-USD'!L$3</f>
        <v>0</v>
      </c>
      <c r="M10" s="69" t="n">
        <f aca="false">+'SUM - C$'!M8/'SUM-USD'!M$3</f>
        <v>0</v>
      </c>
      <c r="N10" s="70"/>
      <c r="O10" s="71" t="n">
        <f aca="false">SUM(B10:N10)</f>
        <v>-75683434.6736478</v>
      </c>
      <c r="P10" s="72"/>
      <c r="Q10" s="73" t="n">
        <f aca="false">+SUM(B10:D10)</f>
        <v>-27418649.2360791</v>
      </c>
      <c r="R10" s="70" t="n">
        <f aca="false">+SUM(E10:G10)</f>
        <v>-48264785.4375687</v>
      </c>
      <c r="S10" s="70" t="n">
        <f aca="false">+SUM(H10:J10)</f>
        <v>0</v>
      </c>
      <c r="T10" s="70" t="n">
        <f aca="false">+SUM(K10:M10)</f>
        <v>0</v>
      </c>
      <c r="U10" s="70"/>
      <c r="V10" s="71" t="n">
        <f aca="false">SUM(Q10:U10)</f>
        <v>-75683434.6736478</v>
      </c>
    </row>
    <row r="11" customFormat="false" ht="12.75" hidden="false" customHeight="false" outlineLevel="0" collapsed="false">
      <c r="A11" s="67" t="str">
        <f aca="false">+'SUM - C$'!A9</f>
        <v>Pipe Book - Term</v>
      </c>
      <c r="B11" s="68" t="n">
        <f aca="false">+'SUM - C$'!B9/'SUM-USD'!B$3</f>
        <v>3795824.82948462</v>
      </c>
      <c r="C11" s="68" t="n">
        <f aca="false">+'SUM - C$'!C9/'SUM-USD'!C$3</f>
        <v>120136.735292392</v>
      </c>
      <c r="D11" s="68" t="n">
        <f aca="false">+'SUM - C$'!D9/'SUM-USD'!D$3</f>
        <v>-17791.9920109505</v>
      </c>
      <c r="E11" s="68" t="n">
        <f aca="false">+'SUM - C$'!E9/'SUM-USD'!E$3</f>
        <v>0</v>
      </c>
      <c r="F11" s="68" t="n">
        <f aca="false">+'SUM - C$'!F9/'SUM-USD'!F$3</f>
        <v>0</v>
      </c>
      <c r="G11" s="69" t="n">
        <f aca="false">+'SUM - C$'!G9/'SUM-USD'!G$3</f>
        <v>0</v>
      </c>
      <c r="H11" s="69" t="n">
        <f aca="false">+'SUM - C$'!H9/'SUM-USD'!H$3</f>
        <v>0</v>
      </c>
      <c r="I11" s="69" t="n">
        <f aca="false">+'SUM - C$'!I9/'SUM-USD'!I$3</f>
        <v>0</v>
      </c>
      <c r="J11" s="69" t="n">
        <f aca="false">+'SUM - C$'!J9/'SUM-USD'!J$3</f>
        <v>0</v>
      </c>
      <c r="K11" s="69" t="n">
        <f aca="false">+'SUM - C$'!K9/'SUM-USD'!K$3</f>
        <v>0</v>
      </c>
      <c r="L11" s="69" t="n">
        <f aca="false">+'SUM - C$'!L9/'SUM-USD'!L$3</f>
        <v>0</v>
      </c>
      <c r="M11" s="69" t="n">
        <f aca="false">+'SUM - C$'!M9/'SUM-USD'!M$3</f>
        <v>0</v>
      </c>
      <c r="N11" s="70"/>
      <c r="O11" s="71" t="n">
        <f aca="false">SUM(B11:N11)</f>
        <v>3898169.57276606</v>
      </c>
      <c r="P11" s="72"/>
      <c r="Q11" s="73" t="n">
        <f aca="false">+SUM(B11:D11)</f>
        <v>3898169.57276606</v>
      </c>
      <c r="R11" s="70" t="n">
        <f aca="false">+SUM(E11:G11)</f>
        <v>0</v>
      </c>
      <c r="S11" s="70" t="n">
        <f aca="false">+SUM(H11:J11)</f>
        <v>0</v>
      </c>
      <c r="T11" s="70" t="n">
        <f aca="false">+SUM(K11:M11)</f>
        <v>0</v>
      </c>
      <c r="U11" s="70"/>
      <c r="V11" s="71" t="n">
        <f aca="false">SUM(Q11:U11)</f>
        <v>3898169.57276606</v>
      </c>
    </row>
    <row r="12" customFormat="false" ht="12.75" hidden="false" customHeight="false" outlineLevel="0" collapsed="false">
      <c r="A12" s="67" t="str">
        <f aca="false">+'SUM - C$'!A10</f>
        <v>Options</v>
      </c>
      <c r="B12" s="75" t="n">
        <f aca="false">+'SUM - C$'!B10/'SUM-USD'!B$3</f>
        <v>-292967.386109546</v>
      </c>
      <c r="C12" s="75" t="n">
        <f aca="false">+'SUM - C$'!C10/'SUM-USD'!C$3</f>
        <v>2353851.22881107</v>
      </c>
      <c r="D12" s="75" t="n">
        <f aca="false">+'SUM - C$'!D10/'SUM-USD'!D$3</f>
        <v>6091984.26294992</v>
      </c>
      <c r="E12" s="75" t="n">
        <f aca="false">+'SUM - C$'!E10/'SUM-USD'!E$3</f>
        <v>-847003.786605819</v>
      </c>
      <c r="F12" s="75" t="n">
        <f aca="false">+'SUM - C$'!F10/'SUM-USD'!F$3</f>
        <v>3272305.65668789</v>
      </c>
      <c r="G12" s="69" t="n">
        <f aca="false">+'SUM - C$'!G10/'SUM-USD'!G$3</f>
        <v>0</v>
      </c>
      <c r="H12" s="69" t="n">
        <f aca="false">+'SUM - C$'!H10/'SUM-USD'!H$3</f>
        <v>0</v>
      </c>
      <c r="I12" s="69" t="n">
        <f aca="false">+'SUM - C$'!I10/'SUM-USD'!I$3</f>
        <v>0</v>
      </c>
      <c r="J12" s="69" t="n">
        <f aca="false">+'SUM - C$'!J10/'SUM-USD'!J$3</f>
        <v>0</v>
      </c>
      <c r="K12" s="69" t="n">
        <f aca="false">+'SUM - C$'!K10/'SUM-USD'!K$3</f>
        <v>0</v>
      </c>
      <c r="L12" s="69" t="n">
        <f aca="false">+'SUM - C$'!L10/'SUM-USD'!L$3</f>
        <v>0</v>
      </c>
      <c r="M12" s="69" t="n">
        <f aca="false">+'SUM - C$'!M10/'SUM-USD'!M$3</f>
        <v>0</v>
      </c>
      <c r="N12" s="70"/>
      <c r="O12" s="71" t="n">
        <f aca="false">SUM(B12:N12)</f>
        <v>10578169.9757335</v>
      </c>
      <c r="P12" s="72"/>
      <c r="Q12" s="73" t="n">
        <f aca="false">+SUM(B12:D12)</f>
        <v>8152868.10565145</v>
      </c>
      <c r="R12" s="70" t="n">
        <f aca="false">+SUM(E12:G12)</f>
        <v>2425301.87008207</v>
      </c>
      <c r="S12" s="70" t="n">
        <f aca="false">+SUM(H12:J12)</f>
        <v>0</v>
      </c>
      <c r="T12" s="70" t="n">
        <f aca="false">+SUM(K12:M12)</f>
        <v>0</v>
      </c>
      <c r="U12" s="70"/>
      <c r="V12" s="71" t="n">
        <f aca="false">SUM(Q12:U12)</f>
        <v>10578169.9757335</v>
      </c>
    </row>
    <row r="13" customFormat="false" ht="12.75" hidden="false" customHeight="false" outlineLevel="0" collapsed="false">
      <c r="A13" s="61" t="s">
        <v>33</v>
      </c>
      <c r="B13" s="70"/>
      <c r="C13" s="70"/>
      <c r="D13" s="70"/>
      <c r="E13" s="70"/>
      <c r="F13" s="70"/>
      <c r="G13" s="69"/>
      <c r="H13" s="69"/>
      <c r="I13" s="69"/>
      <c r="J13" s="69"/>
      <c r="K13" s="69"/>
      <c r="L13" s="69"/>
      <c r="M13" s="69"/>
      <c r="N13" s="70"/>
      <c r="O13" s="71"/>
      <c r="P13" s="72"/>
      <c r="Q13" s="73" t="n">
        <f aca="false">+SUM(B13:D13)</f>
        <v>0</v>
      </c>
      <c r="R13" s="70" t="n">
        <f aca="false">+SUM(E13:G13)</f>
        <v>0</v>
      </c>
      <c r="S13" s="70" t="n">
        <f aca="false">+SUM(H13:J13)</f>
        <v>0</v>
      </c>
      <c r="T13" s="70" t="n">
        <f aca="false">+SUM(K13:M13)</f>
        <v>0</v>
      </c>
      <c r="U13" s="70"/>
      <c r="V13" s="71"/>
    </row>
    <row r="14" customFormat="false" ht="12.75" hidden="false" customHeight="false" outlineLevel="0" collapsed="false">
      <c r="A14" s="67" t="s">
        <v>34</v>
      </c>
      <c r="B14" s="76" t="n">
        <f aca="false">+'SUM - C$'!B12/'SUM-USD'!B$3</f>
        <v>1704564.34888317</v>
      </c>
      <c r="C14" s="76" t="n">
        <f aca="false">+'SUM - C$'!C12/'SUM-USD'!C$3</f>
        <v>-553070.871633657</v>
      </c>
      <c r="D14" s="76" t="n">
        <f aca="false">+'SUM - C$'!D12/'SUM-USD'!D$3</f>
        <v>793519.74549668</v>
      </c>
      <c r="E14" s="76" t="n">
        <f aca="false">+'SUM - C$'!E12/'SUM-USD'!E$3</f>
        <v>757983.20330386</v>
      </c>
      <c r="F14" s="76" t="n">
        <f aca="false">+'SUM - C$'!F12/'SUM-USD'!F$3</f>
        <v>2093487.39428276</v>
      </c>
      <c r="G14" s="69" t="n">
        <f aca="false">+'SUM - C$'!G12/'SUM-USD'!G$3</f>
        <v>0</v>
      </c>
      <c r="H14" s="69" t="n">
        <f aca="false">+'SUM - C$'!H12/'SUM-USD'!H$3</f>
        <v>0</v>
      </c>
      <c r="I14" s="69" t="n">
        <f aca="false">+'SUM - C$'!I12/'SUM-USD'!I$3</f>
        <v>0</v>
      </c>
      <c r="J14" s="69" t="n">
        <f aca="false">+'SUM - C$'!J12/'SUM-USD'!J$3</f>
        <v>0</v>
      </c>
      <c r="K14" s="69" t="n">
        <f aca="false">+'SUM - C$'!K12/'SUM-USD'!K$3</f>
        <v>0</v>
      </c>
      <c r="L14" s="69" t="n">
        <f aca="false">+'SUM - C$'!L12/'SUM-USD'!L$3</f>
        <v>0</v>
      </c>
      <c r="M14" s="69" t="n">
        <f aca="false">+'SUM - C$'!M12/'SUM-USD'!M$3</f>
        <v>0</v>
      </c>
      <c r="N14" s="70"/>
      <c r="O14" s="71" t="n">
        <f aca="false">SUM(B14:N14)</f>
        <v>4796483.82033281</v>
      </c>
      <c r="P14" s="72"/>
      <c r="Q14" s="73" t="n">
        <f aca="false">+SUM(B14:D14)</f>
        <v>1945013.22274619</v>
      </c>
      <c r="R14" s="70" t="n">
        <f aca="false">+SUM(E14:G14)</f>
        <v>2851470.59758662</v>
      </c>
      <c r="S14" s="70" t="n">
        <f aca="false">+SUM(H14:J14)</f>
        <v>0</v>
      </c>
      <c r="T14" s="70" t="n">
        <f aca="false">+SUM(K14:M14)</f>
        <v>0</v>
      </c>
      <c r="U14" s="70"/>
      <c r="V14" s="71" t="n">
        <f aca="false">SUM(Q14:U14)</f>
        <v>4796483.82033281</v>
      </c>
    </row>
    <row r="15" customFormat="false" ht="12.75" hidden="false" customHeight="false" outlineLevel="0" collapsed="false">
      <c r="A15" s="67" t="s">
        <v>35</v>
      </c>
      <c r="B15" s="77" t="n">
        <f aca="false">+'SUM - C$'!B13/'SUM-USD'!B$3</f>
        <v>3310238.64266062</v>
      </c>
      <c r="C15" s="77" t="n">
        <f aca="false">+'SUM - C$'!C13/'SUM-USD'!C$3</f>
        <v>863113.781238359</v>
      </c>
      <c r="D15" s="77" t="n">
        <f aca="false">+'SUM - C$'!D13/'SUM-USD'!D$3</f>
        <v>428524.363157396</v>
      </c>
      <c r="E15" s="77" t="n">
        <f aca="false">+'SUM - C$'!E13/'SUM-USD'!E$3</f>
        <v>642726.013703703</v>
      </c>
      <c r="F15" s="77" t="n">
        <f aca="false">+'SUM - C$'!F13/'SUM-USD'!F$3</f>
        <v>984042.7014092</v>
      </c>
      <c r="G15" s="69" t="n">
        <f aca="false">+'SUM - C$'!G13/'SUM-USD'!G$3</f>
        <v>0</v>
      </c>
      <c r="H15" s="69" t="n">
        <f aca="false">+'SUM - C$'!H13/'SUM-USD'!H$3</f>
        <v>0</v>
      </c>
      <c r="I15" s="69" t="n">
        <f aca="false">+'SUM - C$'!I13/'SUM-USD'!I$3</f>
        <v>0</v>
      </c>
      <c r="J15" s="69" t="n">
        <f aca="false">+'SUM - C$'!J13/'SUM-USD'!J$3</f>
        <v>0</v>
      </c>
      <c r="K15" s="69" t="n">
        <f aca="false">+'SUM - C$'!K13/'SUM-USD'!K$3</f>
        <v>0</v>
      </c>
      <c r="L15" s="69" t="n">
        <f aca="false">+'SUM - C$'!L13/'SUM-USD'!L$3</f>
        <v>0</v>
      </c>
      <c r="M15" s="69" t="n">
        <f aca="false">+'SUM - C$'!M13/'SUM-USD'!M$3</f>
        <v>0</v>
      </c>
      <c r="N15" s="70"/>
      <c r="O15" s="71" t="n">
        <f aca="false">SUM(B15:N15)</f>
        <v>6228645.50216928</v>
      </c>
      <c r="P15" s="72"/>
      <c r="Q15" s="73" t="n">
        <f aca="false">+SUM(B15:D15)</f>
        <v>4601876.78705638</v>
      </c>
      <c r="R15" s="70" t="n">
        <f aca="false">+SUM(E15:G15)</f>
        <v>1626768.7151129</v>
      </c>
      <c r="S15" s="70" t="n">
        <f aca="false">+SUM(H15:J15)</f>
        <v>0</v>
      </c>
      <c r="T15" s="70" t="n">
        <f aca="false">+SUM(K15:M15)</f>
        <v>0</v>
      </c>
      <c r="U15" s="70"/>
      <c r="V15" s="71" t="n">
        <f aca="false">SUM(Q15:U15)</f>
        <v>6228645.50216928</v>
      </c>
    </row>
    <row r="16" customFormat="false" ht="12.75" hidden="false" customHeight="false" outlineLevel="0" collapsed="false">
      <c r="A16" s="67" t="s">
        <v>36</v>
      </c>
      <c r="B16" s="68" t="n">
        <f aca="false">+'SUM - C$'!B14/'SUM-USD'!B$3</f>
        <v>-815998.061823207</v>
      </c>
      <c r="C16" s="68" t="n">
        <f aca="false">+'SUM - C$'!C14/'SUM-USD'!C$3</f>
        <v>35145.0022593785</v>
      </c>
      <c r="D16" s="68" t="n">
        <f aca="false">+'SUM - C$'!D14/'SUM-USD'!D$3</f>
        <v>226377.838474129</v>
      </c>
      <c r="E16" s="68" t="n">
        <f aca="false">+'SUM - C$'!E14/'SUM-USD'!E$3</f>
        <v>0</v>
      </c>
      <c r="F16" s="68" t="n">
        <f aca="false">+'SUM - C$'!F14/'SUM-USD'!F$3</f>
        <v>0</v>
      </c>
      <c r="G16" s="69" t="n">
        <f aca="false">+'SUM - C$'!G14/'SUM-USD'!G$3</f>
        <v>0</v>
      </c>
      <c r="H16" s="69" t="n">
        <f aca="false">+'SUM - C$'!H14/'SUM-USD'!H$3</f>
        <v>0</v>
      </c>
      <c r="I16" s="69" t="n">
        <f aca="false">+'SUM - C$'!I14/'SUM-USD'!I$3</f>
        <v>0</v>
      </c>
      <c r="J16" s="69" t="n">
        <f aca="false">+'SUM - C$'!J14/'SUM-USD'!J$3</f>
        <v>0</v>
      </c>
      <c r="K16" s="69" t="n">
        <f aca="false">+'SUM - C$'!K14/'SUM-USD'!K$3</f>
        <v>0</v>
      </c>
      <c r="L16" s="69" t="n">
        <f aca="false">+'SUM - C$'!L14/'SUM-USD'!L$3</f>
        <v>0</v>
      </c>
      <c r="M16" s="69" t="n">
        <f aca="false">+'SUM - C$'!M14/'SUM-USD'!M$3</f>
        <v>0</v>
      </c>
      <c r="N16" s="70"/>
      <c r="O16" s="71" t="n">
        <f aca="false">SUM(B16:N16)</f>
        <v>-554475.2210897</v>
      </c>
      <c r="P16" s="72"/>
      <c r="Q16" s="73" t="n">
        <f aca="false">+SUM(B16:D16)</f>
        <v>-554475.2210897</v>
      </c>
      <c r="R16" s="70" t="n">
        <f aca="false">+SUM(E16:G16)</f>
        <v>0</v>
      </c>
      <c r="S16" s="70" t="n">
        <f aca="false">+SUM(H16:J16)</f>
        <v>0</v>
      </c>
      <c r="T16" s="70" t="n">
        <f aca="false">+SUM(K16:M16)</f>
        <v>0</v>
      </c>
      <c r="U16" s="70"/>
      <c r="V16" s="71" t="n">
        <f aca="false">SUM(Q16:U16)</f>
        <v>-554475.2210897</v>
      </c>
    </row>
    <row r="17" customFormat="false" ht="12.75" hidden="false" customHeight="false" outlineLevel="0" collapsed="false">
      <c r="A17" s="67" t="s">
        <v>37</v>
      </c>
      <c r="B17" s="68" t="n">
        <f aca="false">+'SUM - C$'!B15/'SUM-USD'!B$3</f>
        <v>244.127847450969</v>
      </c>
      <c r="C17" s="68" t="n">
        <f aca="false">+'SUM - C$'!C15/'SUM-USD'!C$3</f>
        <v>216225.233151504</v>
      </c>
      <c r="D17" s="68" t="n">
        <f aca="false">+'SUM - C$'!D15/'SUM-USD'!D$3</f>
        <v>1001248.15984986</v>
      </c>
      <c r="E17" s="68" t="n">
        <f aca="false">+'SUM - C$'!E15/'SUM-USD'!E$3</f>
        <v>1190494.7417766</v>
      </c>
      <c r="F17" s="68" t="n">
        <f aca="false">+'SUM - C$'!F15/'SUM-USD'!F$3</f>
        <v>1124727.82201082</v>
      </c>
      <c r="G17" s="69" t="n">
        <f aca="false">+'SUM - C$'!G15/'SUM-USD'!G$3</f>
        <v>0</v>
      </c>
      <c r="H17" s="69" t="n">
        <f aca="false">+'SUM - C$'!H15/'SUM-USD'!H$3</f>
        <v>0</v>
      </c>
      <c r="I17" s="69" t="n">
        <f aca="false">+'SUM - C$'!I15/'SUM-USD'!I$3</f>
        <v>0</v>
      </c>
      <c r="J17" s="69" t="n">
        <f aca="false">+'SUM - C$'!J15/'SUM-USD'!J$3</f>
        <v>0</v>
      </c>
      <c r="K17" s="69" t="n">
        <f aca="false">+'SUM - C$'!K15/'SUM-USD'!K$3</f>
        <v>0</v>
      </c>
      <c r="L17" s="69" t="n">
        <f aca="false">+'SUM - C$'!L15/'SUM-USD'!L$3</f>
        <v>0</v>
      </c>
      <c r="M17" s="69" t="n">
        <f aca="false">+'SUM - C$'!M15/'SUM-USD'!M$3</f>
        <v>0</v>
      </c>
      <c r="N17" s="70"/>
      <c r="O17" s="71" t="n">
        <f aca="false">SUM(B17:N17)</f>
        <v>3532940.08463623</v>
      </c>
      <c r="P17" s="72"/>
      <c r="Q17" s="73" t="n">
        <f aca="false">+SUM(B17:D17)</f>
        <v>1217717.52084882</v>
      </c>
      <c r="R17" s="70" t="n">
        <f aca="false">+SUM(E17:G17)</f>
        <v>2315222.56378742</v>
      </c>
      <c r="S17" s="70" t="n">
        <f aca="false">+SUM(H17:J17)</f>
        <v>0</v>
      </c>
      <c r="T17" s="70" t="n">
        <f aca="false">+SUM(K17:M17)</f>
        <v>0</v>
      </c>
      <c r="U17" s="70"/>
      <c r="V17" s="71" t="n">
        <f aca="false">SUM(Q17:U17)</f>
        <v>3532940.08463623</v>
      </c>
    </row>
    <row r="18" customFormat="false" ht="12.75" hidden="false" customHeight="false" outlineLevel="0" collapsed="false">
      <c r="A18" s="67" t="s">
        <v>38</v>
      </c>
      <c r="B18" s="75" t="n">
        <f aca="false">+'SUM - C$'!B16/'SUM-USD'!B$3</f>
        <v>48333.3226043254</v>
      </c>
      <c r="C18" s="75" t="n">
        <f aca="false">+'SUM - C$'!C16/'SUM-USD'!C$3</f>
        <v>83573.3239486187</v>
      </c>
      <c r="D18" s="75" t="n">
        <f aca="false">+'SUM - C$'!D16/'SUM-USD'!D$3</f>
        <v>167266.419304574</v>
      </c>
      <c r="E18" s="75" t="n">
        <f aca="false">+'SUM - C$'!E16/'SUM-USD'!E$3</f>
        <v>-37682.6143634157</v>
      </c>
      <c r="F18" s="75" t="n">
        <f aca="false">+'SUM - C$'!F16/'SUM-USD'!F$3</f>
        <v>130860.865869565</v>
      </c>
      <c r="G18" s="69" t="n">
        <f aca="false">+'SUM - C$'!G16/'SUM-USD'!G$3</f>
        <v>0</v>
      </c>
      <c r="H18" s="69" t="n">
        <f aca="false">+'SUM - C$'!H16/'SUM-USD'!H$3</f>
        <v>0</v>
      </c>
      <c r="I18" s="69" t="n">
        <f aca="false">+'SUM - C$'!I16/'SUM-USD'!I$3</f>
        <v>0</v>
      </c>
      <c r="J18" s="69" t="n">
        <f aca="false">+'SUM - C$'!J16/'SUM-USD'!J$3</f>
        <v>0</v>
      </c>
      <c r="K18" s="69" t="n">
        <f aca="false">+'SUM - C$'!K16/'SUM-USD'!K$3</f>
        <v>0</v>
      </c>
      <c r="L18" s="69" t="n">
        <f aca="false">+'SUM - C$'!L16/'SUM-USD'!L$3</f>
        <v>0</v>
      </c>
      <c r="M18" s="69" t="n">
        <f aca="false">+'SUM - C$'!M16/'SUM-USD'!M$3</f>
        <v>0</v>
      </c>
      <c r="N18" s="70"/>
      <c r="O18" s="71" t="n">
        <f aca="false">SUM(B18:N18)</f>
        <v>392351.317363667</v>
      </c>
      <c r="P18" s="72"/>
      <c r="Q18" s="73" t="n">
        <f aca="false">+SUM(B18:D18)</f>
        <v>299173.065857518</v>
      </c>
      <c r="R18" s="70" t="n">
        <f aca="false">+SUM(E18:G18)</f>
        <v>93178.2515061491</v>
      </c>
      <c r="S18" s="70" t="n">
        <f aca="false">+SUM(H18:J18)</f>
        <v>0</v>
      </c>
      <c r="T18" s="70" t="n">
        <f aca="false">+SUM(K18:M18)</f>
        <v>0</v>
      </c>
      <c r="U18" s="70"/>
      <c r="V18" s="71" t="n">
        <f aca="false">SUM(Q18:U18)</f>
        <v>392351.317363667</v>
      </c>
    </row>
    <row r="19" customFormat="false" ht="13.5" hidden="false" customHeight="false" outlineLevel="0" collapsed="false">
      <c r="A19" s="78" t="s">
        <v>39</v>
      </c>
      <c r="B19" s="79" t="n">
        <f aca="false">SUM(B9:B18)</f>
        <v>10672473.9184257</v>
      </c>
      <c r="C19" s="80" t="n">
        <f aca="false">SUM(C9:C18)</f>
        <v>4933155.67536927</v>
      </c>
      <c r="D19" s="80" t="n">
        <f aca="false">SUM(D9:D18)</f>
        <v>-23493226.2161652</v>
      </c>
      <c r="E19" s="80" t="n">
        <f aca="false">SUM(E9:E18)</f>
        <v>-50425802.7432299</v>
      </c>
      <c r="F19" s="80" t="n">
        <f aca="false">SUM(F9:F18)</f>
        <v>17710542.2992649</v>
      </c>
      <c r="G19" s="80" t="n">
        <f aca="false">SUM(G9:G18)</f>
        <v>0</v>
      </c>
      <c r="H19" s="80" t="n">
        <f aca="false">SUM(H9:H18)</f>
        <v>0</v>
      </c>
      <c r="I19" s="80" t="n">
        <f aca="false">SUM(I9:I18)</f>
        <v>0</v>
      </c>
      <c r="J19" s="80" t="n">
        <f aca="false">SUM(J9:J18)</f>
        <v>0</v>
      </c>
      <c r="K19" s="80" t="n">
        <f aca="false">SUM(K9:K18)</f>
        <v>0</v>
      </c>
      <c r="L19" s="80" t="n">
        <f aca="false">SUM(L9:L18)</f>
        <v>0</v>
      </c>
      <c r="M19" s="80" t="n">
        <f aca="false">SUM(M9:M18)</f>
        <v>0</v>
      </c>
      <c r="N19" s="81"/>
      <c r="O19" s="82" t="n">
        <f aca="false">SUM(O9:O18)</f>
        <v>-40602857.0663352</v>
      </c>
      <c r="P19" s="72"/>
      <c r="Q19" s="83" t="n">
        <f aca="false">SUM(Q9:Q18)</f>
        <v>-7887596.62237019</v>
      </c>
      <c r="R19" s="79" t="n">
        <f aca="false">SUM(R9:R18)</f>
        <v>-32715260.443965</v>
      </c>
      <c r="S19" s="79" t="n">
        <f aca="false">SUM(S9:S18)</f>
        <v>0</v>
      </c>
      <c r="T19" s="79" t="n">
        <f aca="false">SUM(T9:T18)</f>
        <v>0</v>
      </c>
      <c r="U19" s="81"/>
      <c r="V19" s="82" t="n">
        <f aca="false">SUM(V9:V18)</f>
        <v>-40602857.0663352</v>
      </c>
    </row>
    <row r="20" customFormat="false" ht="12.75" hidden="false" customHeight="false" outlineLevel="0" collapsed="false">
      <c r="B20" s="84"/>
      <c r="C20" s="85"/>
      <c r="D20" s="85"/>
      <c r="E20" s="85"/>
      <c r="F20" s="85"/>
      <c r="G20" s="85"/>
      <c r="H20" s="85"/>
      <c r="I20" s="85"/>
      <c r="J20" s="85"/>
      <c r="K20" s="85"/>
      <c r="L20" s="85"/>
      <c r="M20" s="85"/>
      <c r="N20" s="70"/>
      <c r="O20" s="84"/>
      <c r="P20" s="72"/>
      <c r="Q20" s="84"/>
      <c r="R20" s="84"/>
      <c r="S20" s="84"/>
      <c r="T20" s="84"/>
      <c r="U20" s="70"/>
      <c r="V20" s="84"/>
    </row>
    <row r="21" customFormat="false" ht="13.5" hidden="false" customHeight="false" outlineLevel="0" collapsed="false">
      <c r="B21" s="84"/>
      <c r="C21" s="85"/>
      <c r="D21" s="85"/>
      <c r="E21" s="85"/>
      <c r="F21" s="85"/>
      <c r="G21" s="85"/>
      <c r="H21" s="85"/>
      <c r="I21" s="85"/>
      <c r="J21" s="85"/>
      <c r="K21" s="85"/>
      <c r="L21" s="85"/>
      <c r="M21" s="85"/>
      <c r="N21" s="70"/>
      <c r="O21" s="84"/>
      <c r="P21" s="72"/>
      <c r="Q21" s="84"/>
      <c r="R21" s="84"/>
      <c r="S21" s="84"/>
      <c r="T21" s="84"/>
      <c r="U21" s="70"/>
      <c r="V21" s="84"/>
    </row>
    <row r="22" customFormat="false" ht="12.75" hidden="false" customHeight="false" outlineLevel="0" collapsed="false">
      <c r="A22" s="55" t="s">
        <v>40</v>
      </c>
      <c r="B22" s="86"/>
      <c r="C22" s="87"/>
      <c r="D22" s="87"/>
      <c r="E22" s="87"/>
      <c r="F22" s="87"/>
      <c r="G22" s="87"/>
      <c r="H22" s="87"/>
      <c r="I22" s="87"/>
      <c r="J22" s="87"/>
      <c r="K22" s="87"/>
      <c r="L22" s="87"/>
      <c r="M22" s="87"/>
      <c r="N22" s="86"/>
      <c r="O22" s="88"/>
      <c r="P22" s="72"/>
      <c r="Q22" s="55" t="s">
        <v>40</v>
      </c>
      <c r="R22" s="86"/>
      <c r="S22" s="86"/>
      <c r="T22" s="86"/>
      <c r="U22" s="86"/>
      <c r="V22" s="88"/>
    </row>
    <row r="23" customFormat="false" ht="12.75" hidden="false" customHeight="false" outlineLevel="0" collapsed="false">
      <c r="A23" s="67" t="s">
        <v>41</v>
      </c>
      <c r="B23" s="69" t="n">
        <f aca="false">+'SUM - C$'!B21/'SUM-USD'!B$3</f>
        <v>6425091.53825339</v>
      </c>
      <c r="C23" s="69" t="n">
        <f aca="false">+'SUM - C$'!C21/'SUM-USD'!C$3</f>
        <v>4288169.20640507</v>
      </c>
      <c r="D23" s="69" t="n">
        <f aca="false">+'SUM - C$'!D21/'SUM-USD'!D$3</f>
        <v>-26110162.7424478</v>
      </c>
      <c r="E23" s="69" t="n">
        <f aca="false">+'SUM - C$'!E21/'SUM-USD'!E$3</f>
        <v>-52979324.0876506</v>
      </c>
      <c r="F23" s="69" t="n">
        <f aca="false">+'SUM - C$'!F21/'SUM-USD'!F$3</f>
        <v>13377423.5156926</v>
      </c>
      <c r="G23" s="69" t="n">
        <f aca="false">+'SUM - C$'!G21/'SUM-USD'!G$3</f>
        <v>0</v>
      </c>
      <c r="H23" s="69" t="n">
        <f aca="false">+'SUM - C$'!H21/'SUM-USD'!H$3</f>
        <v>0</v>
      </c>
      <c r="I23" s="69" t="n">
        <f aca="false">+'SUM - C$'!I21/'SUM-USD'!I$3</f>
        <v>0</v>
      </c>
      <c r="J23" s="69" t="n">
        <f aca="false">+'SUM - C$'!J21/'SUM-USD'!J$3</f>
        <v>0</v>
      </c>
      <c r="K23" s="69" t="n">
        <f aca="false">+'SUM - C$'!K21/'SUM-USD'!K$3</f>
        <v>0</v>
      </c>
      <c r="L23" s="69" t="n">
        <f aca="false">+'SUM - C$'!L21/'SUM-USD'!L$3</f>
        <v>0</v>
      </c>
      <c r="M23" s="69" t="n">
        <f aca="false">+'SUM - C$'!M21/'SUM-USD'!M$3</f>
        <v>0</v>
      </c>
      <c r="N23" s="70"/>
      <c r="O23" s="71" t="n">
        <f aca="false">SUM(B23:N23)</f>
        <v>-54998802.5697475</v>
      </c>
      <c r="P23" s="72"/>
      <c r="Q23" s="73" t="n">
        <f aca="false">+SUM(B23:D23)</f>
        <v>-15396901.9977894</v>
      </c>
      <c r="R23" s="70" t="n">
        <f aca="false">+SUM(E23:G23)</f>
        <v>-39601900.5719581</v>
      </c>
      <c r="S23" s="70" t="n">
        <f aca="false">+SUM(H23:J23)</f>
        <v>0</v>
      </c>
      <c r="T23" s="70" t="n">
        <f aca="false">+SUM(K23:M23)</f>
        <v>0</v>
      </c>
      <c r="U23" s="70"/>
      <c r="V23" s="71" t="n">
        <f aca="false">SUM(Q23:U23)</f>
        <v>-54998802.5697475</v>
      </c>
    </row>
    <row r="24" customFormat="false" ht="12.75" hidden="false" customHeight="false" outlineLevel="0" collapsed="false">
      <c r="A24" s="89" t="s">
        <v>42</v>
      </c>
      <c r="B24" s="90" t="n">
        <f aca="false">+B23-[1]Report!$AE$56</f>
        <v>0</v>
      </c>
      <c r="C24" s="91" t="n">
        <f aca="false">+C23-SUM(C9:C12)</f>
        <v>0</v>
      </c>
      <c r="D24" s="91" t="n">
        <f aca="false">+D23-SUM(D9:D12)</f>
        <v>0</v>
      </c>
      <c r="E24" s="91" t="n">
        <f aca="false">+E23-SUM(E9:E12)</f>
        <v>0</v>
      </c>
      <c r="F24" s="91" t="n">
        <f aca="false">+F23-SUM(F9:F12)</f>
        <v>0</v>
      </c>
      <c r="G24" s="91" t="n">
        <f aca="false">+G23-SUM(G9:G12)</f>
        <v>0</v>
      </c>
      <c r="H24" s="91" t="n">
        <f aca="false">+H23-SUM(H9:H12)</f>
        <v>0</v>
      </c>
      <c r="I24" s="91" t="n">
        <f aca="false">+I23-SUM(I9:I12)</f>
        <v>0</v>
      </c>
      <c r="J24" s="91" t="n">
        <f aca="false">+J23-SUM(J9:J12)</f>
        <v>0</v>
      </c>
      <c r="K24" s="91" t="n">
        <f aca="false">+K23-SUM(K9:K12)</f>
        <v>0</v>
      </c>
      <c r="L24" s="91" t="n">
        <f aca="false">+L23-SUM(L9:L12)</f>
        <v>0</v>
      </c>
      <c r="M24" s="91" t="n">
        <f aca="false">+M23-SUM(M9:M12)</f>
        <v>0</v>
      </c>
      <c r="N24" s="90"/>
      <c r="O24" s="71" t="n">
        <f aca="false">SUM(B24:N24)</f>
        <v>0</v>
      </c>
      <c r="P24" s="92"/>
      <c r="Q24" s="73" t="n">
        <f aca="false">+SUM(B24:D24)</f>
        <v>0</v>
      </c>
      <c r="R24" s="70" t="n">
        <f aca="false">+SUM(E24:G24)</f>
        <v>0</v>
      </c>
      <c r="S24" s="70" t="n">
        <f aca="false">+SUM(H24:J24)</f>
        <v>0</v>
      </c>
      <c r="T24" s="70" t="n">
        <f aca="false">+SUM(K24:M24)</f>
        <v>0</v>
      </c>
      <c r="U24" s="90"/>
      <c r="V24" s="71" t="n">
        <f aca="false">SUM(I24:U24)</f>
        <v>0</v>
      </c>
    </row>
    <row r="25" customFormat="false" ht="12.75" hidden="false" customHeight="false" outlineLevel="0" collapsed="false">
      <c r="A25" s="67" t="s">
        <v>43</v>
      </c>
      <c r="B25" s="69" t="n">
        <f aca="false">+'SUM - C$'!B23/'SUM-USD'!B$3</f>
        <v>4247382.38017236</v>
      </c>
      <c r="C25" s="69" t="n">
        <f aca="false">+'SUM - C$'!C23/'SUM-USD'!C$3</f>
        <v>644986.468964203</v>
      </c>
      <c r="D25" s="69" t="n">
        <f aca="false">+'SUM - C$'!D23/'SUM-USD'!D$3</f>
        <v>2616936.25187429</v>
      </c>
      <c r="E25" s="69" t="n">
        <f aca="false">+'SUM - C$'!E23/'SUM-USD'!E$3</f>
        <v>2553521.34442075</v>
      </c>
      <c r="F25" s="69" t="n">
        <f aca="false">+'SUM - C$'!F23/'SUM-USD'!F$3</f>
        <v>4333118.78357234</v>
      </c>
      <c r="G25" s="69" t="n">
        <f aca="false">+'SUM - C$'!G23/'SUM-USD'!G$3</f>
        <v>0</v>
      </c>
      <c r="H25" s="69" t="n">
        <f aca="false">+'SUM - C$'!H23/'SUM-USD'!H$3</f>
        <v>0</v>
      </c>
      <c r="I25" s="69" t="n">
        <f aca="false">+'SUM - C$'!I23/'SUM-USD'!I$3</f>
        <v>0</v>
      </c>
      <c r="J25" s="69" t="n">
        <f aca="false">+'SUM - C$'!J23/'SUM-USD'!J$3</f>
        <v>0</v>
      </c>
      <c r="K25" s="69" t="n">
        <f aca="false">+'SUM - C$'!K23/'SUM-USD'!K$3</f>
        <v>0</v>
      </c>
      <c r="L25" s="69" t="n">
        <f aca="false">+'SUM - C$'!L23/'SUM-USD'!L$3</f>
        <v>0</v>
      </c>
      <c r="M25" s="69" t="n">
        <f aca="false">+'SUM - C$'!M23/'SUM-USD'!M$3</f>
        <v>0</v>
      </c>
      <c r="N25" s="70"/>
      <c r="O25" s="71" t="n">
        <f aca="false">SUM(B25:N25)</f>
        <v>14395945.2290039</v>
      </c>
      <c r="P25" s="72"/>
      <c r="Q25" s="73" t="n">
        <f aca="false">+SUM(B25:D25)</f>
        <v>7509305.10101085</v>
      </c>
      <c r="R25" s="70" t="n">
        <f aca="false">+SUM(E25:G25)</f>
        <v>6886640.12799309</v>
      </c>
      <c r="S25" s="70" t="n">
        <f aca="false">+SUM(H25:J25)</f>
        <v>0</v>
      </c>
      <c r="T25" s="70" t="n">
        <f aca="false">+SUM(K25:M25)</f>
        <v>0</v>
      </c>
      <c r="U25" s="70"/>
      <c r="V25" s="71" t="n">
        <f aca="false">SUM(Q25:T25)</f>
        <v>14395945.2290039</v>
      </c>
    </row>
    <row r="26" customFormat="false" ht="12.75" hidden="false" customHeight="false" outlineLevel="0" collapsed="false">
      <c r="A26" s="89" t="s">
        <v>42</v>
      </c>
      <c r="B26" s="70" t="n">
        <f aca="false">+B25-[5]Lavo!$P$31</f>
        <v>-941.6882486213</v>
      </c>
      <c r="C26" s="70" t="n">
        <f aca="false">+C25-SUM(C14:C18)</f>
        <v>0</v>
      </c>
      <c r="D26" s="70" t="n">
        <f aca="false">+D25-SUM(D14:D18)</f>
        <v>-0.274408353958279</v>
      </c>
      <c r="E26" s="70" t="n">
        <f aca="false">+E25-SUM(E14:E18)</f>
        <v>0</v>
      </c>
      <c r="F26" s="91" t="n">
        <f aca="false">+F25-SUM(F14:F18)</f>
        <v>0</v>
      </c>
      <c r="G26" s="91" t="n">
        <f aca="false">+G25-SUM(G14:G18)</f>
        <v>0</v>
      </c>
      <c r="H26" s="91" t="n">
        <f aca="false">+H25-SUM(H14:H18)</f>
        <v>0</v>
      </c>
      <c r="I26" s="91" t="n">
        <f aca="false">+I25-SUM(I14:I18)</f>
        <v>0</v>
      </c>
      <c r="J26" s="91" t="n">
        <f aca="false">+J25-SUM(J14:J18)</f>
        <v>0</v>
      </c>
      <c r="K26" s="91" t="n">
        <f aca="false">+K25-SUM(K14:K18)</f>
        <v>0</v>
      </c>
      <c r="L26" s="91" t="n">
        <f aca="false">+L25-SUM(L14:L18)</f>
        <v>0</v>
      </c>
      <c r="M26" s="91" t="n">
        <f aca="false">+M25-SUM(M14:M18)</f>
        <v>0</v>
      </c>
      <c r="N26" s="90"/>
      <c r="O26" s="93" t="n">
        <f aca="false">+O25+O23-O19</f>
        <v>-0.274408355355263</v>
      </c>
      <c r="P26" s="92"/>
      <c r="Q26" s="94" t="n">
        <f aca="false">+Q25-SUM(Q14:Q18)</f>
        <v>-0.27440835442394</v>
      </c>
      <c r="R26" s="90" t="n">
        <f aca="false">+R25-SUM(R14:R18)</f>
        <v>0</v>
      </c>
      <c r="S26" s="90" t="n">
        <f aca="false">+S25-SUM(S14:S18)</f>
        <v>0</v>
      </c>
      <c r="T26" s="90" t="n">
        <f aca="false">+T25-SUM(T14:T18)</f>
        <v>0</v>
      </c>
      <c r="U26" s="90" t="n">
        <f aca="false">+U25-SUM(U14:U18)</f>
        <v>0</v>
      </c>
      <c r="V26" s="93" t="n">
        <f aca="false">+V25-SUM(V14:V18)</f>
        <v>-0.274408355355263</v>
      </c>
    </row>
    <row r="27" customFormat="false" ht="13.5" hidden="false" customHeight="false" outlineLevel="0" collapsed="false">
      <c r="A27" s="78" t="s">
        <v>39</v>
      </c>
      <c r="B27" s="79" t="n">
        <f aca="false">+B25+B23</f>
        <v>10672473.9184257</v>
      </c>
      <c r="C27" s="80" t="n">
        <f aca="false">+C25+C23</f>
        <v>4933155.67536927</v>
      </c>
      <c r="D27" s="80" t="n">
        <f aca="false">+D25+D23</f>
        <v>-23493226.4905736</v>
      </c>
      <c r="E27" s="80" t="n">
        <f aca="false">+E25+E23</f>
        <v>-50425802.7432299</v>
      </c>
      <c r="F27" s="80" t="n">
        <f aca="false">+F25+F23</f>
        <v>17710542.2992649</v>
      </c>
      <c r="G27" s="80" t="n">
        <f aca="false">+G25+G23</f>
        <v>0</v>
      </c>
      <c r="H27" s="80" t="n">
        <f aca="false">+H25+H23</f>
        <v>0</v>
      </c>
      <c r="I27" s="80" t="n">
        <f aca="false">+I25+I23</f>
        <v>0</v>
      </c>
      <c r="J27" s="80" t="n">
        <f aca="false">+J25+J23</f>
        <v>0</v>
      </c>
      <c r="K27" s="80" t="n">
        <f aca="false">+K25+K23</f>
        <v>0</v>
      </c>
      <c r="L27" s="80" t="n">
        <f aca="false">+L25+L23</f>
        <v>0</v>
      </c>
      <c r="M27" s="80" t="n">
        <f aca="false">+M25+M23</f>
        <v>0</v>
      </c>
      <c r="N27" s="81"/>
      <c r="O27" s="82" t="n">
        <f aca="false">+O25+O23</f>
        <v>-40602857.3407435</v>
      </c>
      <c r="P27" s="72"/>
      <c r="Q27" s="83" t="n">
        <f aca="false">+Q25+Q23</f>
        <v>-7887596.89677854</v>
      </c>
      <c r="R27" s="79" t="n">
        <f aca="false">+R25+R23</f>
        <v>-32715260.443965</v>
      </c>
      <c r="S27" s="79" t="n">
        <f aca="false">+S25+S23</f>
        <v>0</v>
      </c>
      <c r="T27" s="79" t="n">
        <f aca="false">+T25+T23</f>
        <v>0</v>
      </c>
      <c r="U27" s="81"/>
      <c r="V27" s="82" t="n">
        <f aca="false">+V25+V23</f>
        <v>-40602857.3407435</v>
      </c>
    </row>
    <row r="28" customFormat="false" ht="12.75" hidden="false" customHeight="false" outlineLevel="0" collapsed="false">
      <c r="A28" s="2"/>
      <c r="B28" s="70"/>
      <c r="C28" s="69"/>
      <c r="D28" s="69"/>
      <c r="E28" s="69"/>
      <c r="F28" s="69"/>
      <c r="G28" s="69"/>
      <c r="H28" s="69"/>
      <c r="I28" s="69"/>
      <c r="J28" s="69"/>
      <c r="K28" s="69"/>
      <c r="L28" s="69"/>
      <c r="M28" s="69"/>
      <c r="N28" s="70"/>
      <c r="O28" s="70"/>
      <c r="P28" s="72"/>
      <c r="Q28" s="70"/>
      <c r="R28" s="70"/>
      <c r="S28" s="70"/>
      <c r="T28" s="70"/>
      <c r="U28" s="70"/>
      <c r="V28" s="70"/>
    </row>
    <row r="29" customFormat="false" ht="13.5" hidden="false" customHeight="false" outlineLevel="0" collapsed="false">
      <c r="A29" s="2"/>
      <c r="B29" s="70"/>
      <c r="C29" s="69"/>
      <c r="D29" s="69"/>
      <c r="E29" s="69"/>
      <c r="F29" s="69"/>
      <c r="G29" s="69"/>
      <c r="H29" s="69"/>
      <c r="I29" s="69"/>
      <c r="J29" s="69"/>
      <c r="K29" s="69"/>
      <c r="L29" s="69"/>
      <c r="M29" s="69"/>
      <c r="N29" s="70"/>
      <c r="O29" s="70"/>
      <c r="P29" s="72"/>
      <c r="Q29" s="70"/>
      <c r="R29" s="70"/>
      <c r="S29" s="70"/>
      <c r="T29" s="70"/>
      <c r="U29" s="70"/>
      <c r="V29" s="70"/>
    </row>
    <row r="30" customFormat="false" ht="12.75" hidden="false" customHeight="false" outlineLevel="0" collapsed="false">
      <c r="A30" s="55" t="s">
        <v>44</v>
      </c>
      <c r="B30" s="95"/>
      <c r="C30" s="96"/>
      <c r="D30" s="96"/>
      <c r="E30" s="96"/>
      <c r="F30" s="96"/>
      <c r="G30" s="96"/>
      <c r="H30" s="96"/>
      <c r="I30" s="96"/>
      <c r="J30" s="96"/>
      <c r="K30" s="96"/>
      <c r="L30" s="96"/>
      <c r="M30" s="96"/>
      <c r="N30" s="95"/>
      <c r="O30" s="97"/>
      <c r="P30" s="72"/>
      <c r="Q30" s="98" t="str">
        <f aca="false">+A30</f>
        <v>BY AREA - TRADER:</v>
      </c>
      <c r="R30" s="95"/>
      <c r="S30" s="95"/>
      <c r="T30" s="95"/>
      <c r="U30" s="95"/>
      <c r="V30" s="97"/>
    </row>
    <row r="31" customFormat="false" ht="12.75" hidden="false" customHeight="false" outlineLevel="0" collapsed="false">
      <c r="A31" s="67" t="s">
        <v>45</v>
      </c>
      <c r="B31" s="68" t="n">
        <f aca="false">+'SUM - C$'!B29/'SUM-USD'!B$3</f>
        <v>3519252.67049078</v>
      </c>
      <c r="C31" s="68" t="n">
        <f aca="false">+'SUM - C$'!C29/'SUM-USD'!C$3</f>
        <v>-207877.063550933</v>
      </c>
      <c r="D31" s="68" t="n">
        <f aca="false">+'SUM - C$'!D29/'SUM-USD'!D$3</f>
        <v>1220745.82545749</v>
      </c>
      <c r="E31" s="99" t="n">
        <f aca="false">+(('SUM - C$'!E29)/'SUM-USD'!E$3)+('SUM - C$'!E30/'SUM-USD'!E3)-'SUM-USD'!E32</f>
        <v>-10050671.6083945</v>
      </c>
      <c r="F31" s="68" t="n">
        <f aca="false">+'SUM - C$'!F29/'SUM-USD'!F$3</f>
        <v>11229845.6810155</v>
      </c>
      <c r="G31" s="69" t="n">
        <f aca="false">+'SUM - C$'!G29/'SUM-USD'!G$3</f>
        <v>0</v>
      </c>
      <c r="H31" s="69" t="n">
        <f aca="false">+'SUM - C$'!H29/'SUM-USD'!H$3</f>
        <v>0</v>
      </c>
      <c r="I31" s="69" t="n">
        <f aca="false">+'SUM - C$'!I29/'SUM-USD'!I$3</f>
        <v>0</v>
      </c>
      <c r="J31" s="69" t="n">
        <f aca="false">+'SUM - C$'!J29/'SUM-USD'!J$3</f>
        <v>0</v>
      </c>
      <c r="K31" s="69" t="n">
        <f aca="false">+'SUM - C$'!K29/'SUM-USD'!K$3</f>
        <v>0</v>
      </c>
      <c r="L31" s="69" t="n">
        <f aca="false">+'SUM - C$'!L29/'SUM-USD'!L$3</f>
        <v>0</v>
      </c>
      <c r="M31" s="69" t="n">
        <f aca="false">+'SUM - C$'!M29/'SUM-USD'!M$3</f>
        <v>0</v>
      </c>
      <c r="N31" s="70"/>
      <c r="O31" s="71" t="n">
        <f aca="false">SUM(B31:N31)</f>
        <v>5711295.50501829</v>
      </c>
      <c r="P31" s="84"/>
      <c r="Q31" s="73" t="n">
        <f aca="false">+SUM(B31:D31)</f>
        <v>4532121.43239734</v>
      </c>
      <c r="R31" s="70" t="n">
        <f aca="false">+SUM(E31:G31)</f>
        <v>1179174.07262095</v>
      </c>
      <c r="S31" s="70" t="n">
        <f aca="false">+SUM(H31:J31)</f>
        <v>0</v>
      </c>
      <c r="T31" s="70" t="n">
        <f aca="false">+SUM(K31:M31)</f>
        <v>0</v>
      </c>
      <c r="U31" s="70"/>
      <c r="V31" s="71" t="n">
        <f aca="false">SUM(Q31:U31)</f>
        <v>5711295.50501829</v>
      </c>
    </row>
    <row r="32" customFormat="false" ht="12.75" hidden="false" customHeight="false" outlineLevel="0" collapsed="false">
      <c r="A32" s="67" t="s">
        <v>46</v>
      </c>
      <c r="B32" s="74" t="n">
        <f aca="false">+'SUM - C$'!B30/'SUM-USD'!B$3</f>
        <v>2383052.3198964</v>
      </c>
      <c r="C32" s="74" t="n">
        <f aca="false">+'SUM - C$'!C30/'SUM-USD'!C$3</f>
        <v>2393565.27655581</v>
      </c>
      <c r="D32" s="74" t="n">
        <f aca="false">+'SUM - C$'!D30/'SUM-USD'!D$3</f>
        <v>-32195266.8325313</v>
      </c>
      <c r="E32" s="74" t="n">
        <f aca="false">+'[4]PL by Trader'!$E$55</f>
        <v>-40891153.9508737</v>
      </c>
      <c r="F32" s="74" t="n">
        <f aca="false">+'SUM - C$'!F30/'SUM-USD'!F$3</f>
        <v>0</v>
      </c>
      <c r="G32" s="69" t="n">
        <f aca="false">+'SUM - C$'!G30/'SUM-USD'!G$3</f>
        <v>0</v>
      </c>
      <c r="H32" s="69" t="n">
        <f aca="false">+'SUM - C$'!H30/'SUM-USD'!H$3</f>
        <v>0</v>
      </c>
      <c r="I32" s="69" t="n">
        <f aca="false">+'SUM - C$'!I30/'SUM-USD'!I$3</f>
        <v>0</v>
      </c>
      <c r="J32" s="69" t="n">
        <f aca="false">+'SUM - C$'!J30/'SUM-USD'!J$3</f>
        <v>0</v>
      </c>
      <c r="K32" s="69" t="n">
        <f aca="false">+'SUM - C$'!K30/'SUM-USD'!K$3</f>
        <v>0</v>
      </c>
      <c r="L32" s="69" t="n">
        <f aca="false">+'SUM - C$'!L30/'SUM-USD'!L$3</f>
        <v>0</v>
      </c>
      <c r="M32" s="69" t="n">
        <f aca="false">+'SUM - C$'!M30/'SUM-USD'!M$3</f>
        <v>0</v>
      </c>
      <c r="N32" s="70"/>
      <c r="O32" s="71" t="n">
        <f aca="false">SUM(B32:N32)</f>
        <v>-68309803.1869527</v>
      </c>
      <c r="P32" s="84"/>
      <c r="Q32" s="73" t="n">
        <f aca="false">+SUM(B32:D32)</f>
        <v>-27418649.2360791</v>
      </c>
      <c r="R32" s="70" t="n">
        <f aca="false">+SUM(E32:G32)</f>
        <v>-40891153.9508737</v>
      </c>
      <c r="S32" s="70" t="n">
        <f aca="false">+SUM(H32:J32)</f>
        <v>0</v>
      </c>
      <c r="T32" s="70" t="n">
        <f aca="false">+SUM(K32:M32)</f>
        <v>0</v>
      </c>
      <c r="U32" s="70"/>
      <c r="V32" s="71" t="n">
        <f aca="false">SUM(Q32:U32)</f>
        <v>-68309803.1869527</v>
      </c>
    </row>
    <row r="33" customFormat="false" ht="12.75" hidden="false" customHeight="false" outlineLevel="0" collapsed="false">
      <c r="A33" s="67" t="s">
        <v>47</v>
      </c>
      <c r="B33" s="75" t="n">
        <f aca="false">+'SUM - C$'!B31/'SUM-USD'!B$3</f>
        <v>-244634.06350522</v>
      </c>
      <c r="C33" s="75" t="n">
        <f aca="false">+'SUM - C$'!C31/'SUM-USD'!C$3</f>
        <v>2437424.55275969</v>
      </c>
      <c r="D33" s="75" t="n">
        <f aca="false">+'SUM - C$'!D31/'SUM-USD'!D$3</f>
        <v>6259250.68225449</v>
      </c>
      <c r="E33" s="75" t="n">
        <f aca="false">+'SUM - C$'!E31/'SUM-USD'!E$3</f>
        <v>-884686.400969234</v>
      </c>
      <c r="F33" s="75" t="n">
        <f aca="false">+'SUM - C$'!F31/'SUM-USD'!F$3</f>
        <v>3403166.52255745</v>
      </c>
      <c r="G33" s="69" t="n">
        <f aca="false">+'SUM - C$'!G31/'SUM-USD'!G$3</f>
        <v>0</v>
      </c>
      <c r="H33" s="69" t="n">
        <f aca="false">+'SUM - C$'!H31/'SUM-USD'!H$3</f>
        <v>0</v>
      </c>
      <c r="I33" s="69" t="n">
        <f aca="false">+'SUM - C$'!I31/'SUM-USD'!I$3</f>
        <v>0</v>
      </c>
      <c r="J33" s="69" t="n">
        <f aca="false">+'SUM - C$'!J31/'SUM-USD'!J$3</f>
        <v>0</v>
      </c>
      <c r="K33" s="69" t="n">
        <f aca="false">+'SUM - C$'!K31/'SUM-USD'!K$3</f>
        <v>0</v>
      </c>
      <c r="L33" s="69" t="n">
        <f aca="false">+'SUM - C$'!L31/'SUM-USD'!L$3</f>
        <v>0</v>
      </c>
      <c r="M33" s="69" t="n">
        <f aca="false">+'SUM - C$'!M31/'SUM-USD'!M$3</f>
        <v>0</v>
      </c>
      <c r="N33" s="70"/>
      <c r="O33" s="71" t="n">
        <f aca="false">SUM(B33:N33)</f>
        <v>10970521.2930972</v>
      </c>
      <c r="P33" s="84"/>
      <c r="Q33" s="73" t="n">
        <f aca="false">+SUM(B33:D33)</f>
        <v>8452041.17150897</v>
      </c>
      <c r="R33" s="70" t="n">
        <f aca="false">+SUM(E33:G33)</f>
        <v>2518480.12158822</v>
      </c>
      <c r="S33" s="70" t="n">
        <f aca="false">+SUM(H33:J33)</f>
        <v>0</v>
      </c>
      <c r="T33" s="70" t="n">
        <f aca="false">+SUM(K33:M33)</f>
        <v>0</v>
      </c>
      <c r="U33" s="70"/>
      <c r="V33" s="71" t="n">
        <f aca="false">SUM(Q33:U33)</f>
        <v>10970521.2930972</v>
      </c>
    </row>
    <row r="34" customFormat="false" ht="12.75" hidden="false" customHeight="false" outlineLevel="0" collapsed="false">
      <c r="A34" s="67" t="s">
        <v>48</v>
      </c>
      <c r="B34" s="76" t="n">
        <f aca="false">+'SUM - C$'!B32/'SUM-USD'!B$3</f>
        <v>1704564.34888317</v>
      </c>
      <c r="C34" s="76" t="n">
        <f aca="false">+'SUM - C$'!C32/'SUM-USD'!C$3</f>
        <v>-553070.871633657</v>
      </c>
      <c r="D34" s="76" t="n">
        <f aca="false">+'SUM - C$'!D32/'SUM-USD'!D$3</f>
        <v>793519.74549668</v>
      </c>
      <c r="E34" s="76" t="n">
        <f aca="false">+'SUM - C$'!E32/'SUM-USD'!E$3</f>
        <v>757983.20330386</v>
      </c>
      <c r="F34" s="76" t="n">
        <f aca="false">+'SUM - C$'!F32/'SUM-USD'!F$3</f>
        <v>2093487.39428276</v>
      </c>
      <c r="G34" s="69" t="n">
        <f aca="false">+'SUM - C$'!G32/'SUM-USD'!G$3</f>
        <v>0</v>
      </c>
      <c r="H34" s="69" t="n">
        <f aca="false">+'SUM - C$'!H32/'SUM-USD'!H$3</f>
        <v>0</v>
      </c>
      <c r="I34" s="69" t="n">
        <f aca="false">+'SUM - C$'!I32/'SUM-USD'!I$3</f>
        <v>0</v>
      </c>
      <c r="J34" s="69" t="n">
        <f aca="false">+'SUM - C$'!J32/'SUM-USD'!J$3</f>
        <v>0</v>
      </c>
      <c r="K34" s="69" t="n">
        <f aca="false">+'SUM - C$'!K32/'SUM-USD'!K$3</f>
        <v>0</v>
      </c>
      <c r="L34" s="69" t="n">
        <f aca="false">+'SUM - C$'!L32/'SUM-USD'!L$3</f>
        <v>0</v>
      </c>
      <c r="M34" s="69" t="n">
        <f aca="false">+'SUM - C$'!M32/'SUM-USD'!M$3</f>
        <v>0</v>
      </c>
      <c r="N34" s="70"/>
      <c r="O34" s="71" t="n">
        <f aca="false">SUM(B34:N34)</f>
        <v>4796483.82033281</v>
      </c>
      <c r="P34" s="84"/>
      <c r="Q34" s="73" t="n">
        <f aca="false">+SUM(B34:D34)</f>
        <v>1945013.22274619</v>
      </c>
      <c r="R34" s="70" t="n">
        <f aca="false">+SUM(E34:G34)</f>
        <v>2851470.59758662</v>
      </c>
      <c r="S34" s="70" t="n">
        <f aca="false">+SUM(H34:J34)</f>
        <v>0</v>
      </c>
      <c r="T34" s="70" t="n">
        <f aca="false">+SUM(K34:M34)</f>
        <v>0</v>
      </c>
      <c r="U34" s="70"/>
      <c r="V34" s="71" t="n">
        <f aca="false">SUM(Q34:U34)</f>
        <v>4796483.82033281</v>
      </c>
    </row>
    <row r="35" customFormat="false" ht="12.75" hidden="false" customHeight="false" outlineLevel="0" collapsed="false">
      <c r="A35" s="67" t="s">
        <v>49</v>
      </c>
      <c r="B35" s="77" t="n">
        <f aca="false">+'SUM - C$'!B33/'SUM-USD'!B$3</f>
        <v>3310238.64266062</v>
      </c>
      <c r="C35" s="77" t="n">
        <f aca="false">+'SUM - C$'!C33/'SUM-USD'!C$3</f>
        <v>863113.781238359</v>
      </c>
      <c r="D35" s="77" t="n">
        <f aca="false">+'SUM - C$'!D33/'SUM-USD'!D$3</f>
        <v>428524.363157396</v>
      </c>
      <c r="E35" s="77" t="n">
        <f aca="false">+'SUM - C$'!E33/'SUM-USD'!E$3</f>
        <v>642726.013703703</v>
      </c>
      <c r="F35" s="77" t="n">
        <f aca="false">+'SUM - C$'!F33/'SUM-USD'!F$3</f>
        <v>984042.7014092</v>
      </c>
      <c r="G35" s="69" t="n">
        <f aca="false">+'SUM - C$'!G33/'SUM-USD'!G$3</f>
        <v>0</v>
      </c>
      <c r="H35" s="69" t="n">
        <f aca="false">+'SUM - C$'!H33/'SUM-USD'!H$3</f>
        <v>0</v>
      </c>
      <c r="I35" s="69" t="n">
        <f aca="false">+'SUM - C$'!I33/'SUM-USD'!I$3</f>
        <v>0</v>
      </c>
      <c r="J35" s="69" t="n">
        <f aca="false">+'SUM - C$'!J33/'SUM-USD'!J$3</f>
        <v>0</v>
      </c>
      <c r="K35" s="69" t="n">
        <f aca="false">+'SUM - C$'!K33/'SUM-USD'!K$3</f>
        <v>0</v>
      </c>
      <c r="L35" s="69" t="n">
        <f aca="false">+'SUM - C$'!L33/'SUM-USD'!L$3</f>
        <v>0</v>
      </c>
      <c r="M35" s="69" t="n">
        <f aca="false">+'SUM - C$'!M33/'SUM-USD'!M$3</f>
        <v>0</v>
      </c>
      <c r="N35" s="70"/>
      <c r="O35" s="71" t="n">
        <f aca="false">SUM(B35:N35)</f>
        <v>6228645.50216928</v>
      </c>
      <c r="P35" s="84"/>
      <c r="Q35" s="73" t="n">
        <f aca="false">+SUM(B35:D35)</f>
        <v>4601876.78705638</v>
      </c>
      <c r="R35" s="70" t="n">
        <f aca="false">+SUM(E35:G35)</f>
        <v>1626768.7151129</v>
      </c>
      <c r="S35" s="70" t="n">
        <f aca="false">+SUM(H35:J35)</f>
        <v>0</v>
      </c>
      <c r="T35" s="70" t="n">
        <f aca="false">+SUM(K35:M35)</f>
        <v>0</v>
      </c>
      <c r="U35" s="70"/>
      <c r="V35" s="71" t="n">
        <f aca="false">SUM(Q35:U35)</f>
        <v>6228645.50216928</v>
      </c>
    </row>
    <row r="36" customFormat="false" ht="13.5" hidden="false" customHeight="false" outlineLevel="0" collapsed="false">
      <c r="A36" s="78" t="s">
        <v>39</v>
      </c>
      <c r="B36" s="79" t="n">
        <f aca="false">SUM(B31:B35)</f>
        <v>10672473.9184258</v>
      </c>
      <c r="C36" s="79" t="n">
        <f aca="false">SUM(C31:C35)</f>
        <v>4933155.67536927</v>
      </c>
      <c r="D36" s="79" t="n">
        <f aca="false">SUM(D31:D35)</f>
        <v>-23493226.2161652</v>
      </c>
      <c r="E36" s="79" t="n">
        <f aca="false">SUM(E31:E35)</f>
        <v>-50425802.7432299</v>
      </c>
      <c r="F36" s="79" t="n">
        <f aca="false">SUM(F31:F35)</f>
        <v>17710542.2992649</v>
      </c>
      <c r="G36" s="79" t="n">
        <f aca="false">SUM(G31:G35)</f>
        <v>0</v>
      </c>
      <c r="H36" s="79" t="n">
        <f aca="false">SUM(H31:H35)</f>
        <v>0</v>
      </c>
      <c r="I36" s="79" t="n">
        <f aca="false">SUM(I31:I35)</f>
        <v>0</v>
      </c>
      <c r="J36" s="79" t="n">
        <f aca="false">SUM(J31:J35)</f>
        <v>0</v>
      </c>
      <c r="K36" s="79" t="n">
        <f aca="false">SUM(K31:K35)</f>
        <v>0</v>
      </c>
      <c r="L36" s="79" t="n">
        <f aca="false">SUM(L31:L35)</f>
        <v>0</v>
      </c>
      <c r="M36" s="79" t="n">
        <f aca="false">SUM(M31:M35)</f>
        <v>0</v>
      </c>
      <c r="N36" s="81"/>
      <c r="O36" s="82" t="n">
        <f aca="false">SUM(O31:O35)</f>
        <v>-40602857.0663352</v>
      </c>
      <c r="P36" s="84"/>
      <c r="Q36" s="83" t="n">
        <f aca="false">SUM(Q31:Q35)</f>
        <v>-7887596.62237019</v>
      </c>
      <c r="R36" s="79" t="n">
        <f aca="false">SUM(R31:R35)</f>
        <v>-32715260.443965</v>
      </c>
      <c r="S36" s="79" t="n">
        <f aca="false">SUM(S31:S35)</f>
        <v>0</v>
      </c>
      <c r="T36" s="79" t="n">
        <f aca="false">SUM(T31:T35)</f>
        <v>0</v>
      </c>
      <c r="U36" s="81"/>
      <c r="V36" s="82" t="n">
        <f aca="false">SUM(V31:V35)</f>
        <v>-40602857.0663352</v>
      </c>
    </row>
    <row r="37" customFormat="false" ht="12.75" hidden="true" customHeight="false" outlineLevel="0" collapsed="false">
      <c r="A37" s="0" t="s">
        <v>42</v>
      </c>
      <c r="B37" s="84" t="n">
        <f aca="false">+B36-B19</f>
        <v>0</v>
      </c>
      <c r="C37" s="84" t="n">
        <f aca="false">+C36-C19</f>
        <v>0</v>
      </c>
      <c r="D37" s="84" t="n">
        <f aca="false">+D36-D19</f>
        <v>0</v>
      </c>
      <c r="E37" s="84" t="n">
        <f aca="false">+E36-E19</f>
        <v>0</v>
      </c>
      <c r="F37" s="84" t="n">
        <f aca="false">+F36-F19</f>
        <v>0</v>
      </c>
      <c r="G37" s="84" t="n">
        <f aca="false">+G36-G19</f>
        <v>0</v>
      </c>
      <c r="H37" s="84" t="n">
        <f aca="false">+H36-H19</f>
        <v>0</v>
      </c>
      <c r="I37" s="84" t="n">
        <f aca="false">+I36-I19</f>
        <v>0</v>
      </c>
      <c r="J37" s="84" t="n">
        <f aca="false">+J36-J19</f>
        <v>0</v>
      </c>
      <c r="K37" s="84" t="n">
        <f aca="false">+K36-K19</f>
        <v>0</v>
      </c>
      <c r="L37" s="84" t="n">
        <f aca="false">+L36-L19</f>
        <v>0</v>
      </c>
      <c r="M37" s="84" t="n">
        <f aca="false">+M36-M19</f>
        <v>0</v>
      </c>
      <c r="N37" s="84"/>
      <c r="O37" s="84"/>
      <c r="P37" s="84"/>
      <c r="Q37" s="84" t="n">
        <f aca="false">+Q36-Q19</f>
        <v>0</v>
      </c>
      <c r="R37" s="84" t="n">
        <f aca="false">+R36-R19</f>
        <v>0</v>
      </c>
      <c r="S37" s="84" t="n">
        <f aca="false">+S36-S19</f>
        <v>0</v>
      </c>
      <c r="T37" s="84" t="n">
        <f aca="false">+T36-T19</f>
        <v>0</v>
      </c>
      <c r="U37" s="84"/>
      <c r="V37" s="84"/>
    </row>
    <row r="38" customFormat="false" ht="12.75" hidden="false" customHeight="false" outlineLevel="0" collapsed="false">
      <c r="B38" s="84"/>
      <c r="C38" s="84"/>
      <c r="D38" s="84"/>
      <c r="E38" s="84"/>
      <c r="F38" s="84"/>
      <c r="G38" s="84"/>
      <c r="H38" s="84"/>
      <c r="I38" s="84"/>
      <c r="J38" s="84"/>
      <c r="K38" s="84"/>
      <c r="L38" s="84"/>
      <c r="M38" s="84"/>
      <c r="N38" s="84"/>
      <c r="O38" s="84"/>
      <c r="P38" s="84"/>
      <c r="Q38" s="84"/>
      <c r="R38" s="84"/>
      <c r="S38" s="84"/>
      <c r="T38" s="84"/>
      <c r="U38" s="84"/>
      <c r="V38" s="84"/>
    </row>
    <row r="39" customFormat="false" ht="13.5" hidden="false" customHeight="false" outlineLevel="0" collapsed="false">
      <c r="A39" s="100" t="s">
        <v>50</v>
      </c>
      <c r="B39" s="79" t="n">
        <f aca="false">+B36-B33</f>
        <v>10917107.981931</v>
      </c>
      <c r="C39" s="79" t="n">
        <f aca="false">+C36-C33</f>
        <v>2495731.12260958</v>
      </c>
      <c r="D39" s="79" t="n">
        <f aca="false">+D36-D33</f>
        <v>-29752476.8984197</v>
      </c>
      <c r="E39" s="79" t="n">
        <f aca="false">SUM(E33:E37)</f>
        <v>-49909779.9271915</v>
      </c>
      <c r="F39" s="79" t="n">
        <f aca="false">SUM(F33:F37)</f>
        <v>24191238.9175143</v>
      </c>
      <c r="G39" s="79" t="n">
        <f aca="false">SUM(G33:G37)</f>
        <v>0</v>
      </c>
      <c r="H39" s="79" t="n">
        <f aca="false">SUM(H33:H37)</f>
        <v>0</v>
      </c>
      <c r="I39" s="79" t="n">
        <f aca="false">SUM(I33:I37)</f>
        <v>0</v>
      </c>
      <c r="J39" s="79" t="n">
        <f aca="false">SUM(J33:J37)</f>
        <v>0</v>
      </c>
      <c r="K39" s="79" t="n">
        <f aca="false">SUM(K33:K37)</f>
        <v>0</v>
      </c>
      <c r="L39" s="79" t="n">
        <f aca="false">SUM(L33:L37)</f>
        <v>0</v>
      </c>
      <c r="M39" s="79" t="n">
        <f aca="false">SUM(M33:M37)</f>
        <v>0</v>
      </c>
      <c r="N39" s="81"/>
      <c r="O39" s="82" t="n">
        <f aca="false">SUM(B39:N39)</f>
        <v>-42058178.8035564</v>
      </c>
      <c r="P39" s="84"/>
      <c r="Q39" s="83" t="n">
        <f aca="false">SUM(Q33:Q37)</f>
        <v>7111334.55894135</v>
      </c>
      <c r="R39" s="79" t="n">
        <f aca="false">SUM(R33:R37)</f>
        <v>-25718541.0096772</v>
      </c>
      <c r="S39" s="79" t="n">
        <f aca="false">SUM(S33:S37)</f>
        <v>0</v>
      </c>
      <c r="T39" s="79" t="n">
        <f aca="false">SUM(T33:T37)</f>
        <v>0</v>
      </c>
      <c r="U39" s="81"/>
      <c r="V39" s="82" t="n">
        <f aca="false">SUM(V33:V37)</f>
        <v>-18607206.4507359</v>
      </c>
    </row>
    <row r="40" customFormat="false" ht="13.5" hidden="false" customHeight="false" outlineLevel="0" collapsed="false">
      <c r="A40" s="100" t="s">
        <v>51</v>
      </c>
      <c r="B40" s="101" t="n">
        <f aca="false">+'[1]Orig Sched'!$O$183</f>
        <v>5334668.17371649</v>
      </c>
      <c r="C40" s="101" t="n">
        <f aca="false">+'[2]Orig Sched'!$O$183</f>
        <v>628924.152222934</v>
      </c>
      <c r="D40" s="101" t="n">
        <f aca="false">+'[3]Orig Sched'!$O$183</f>
        <v>880527.695678457</v>
      </c>
      <c r="E40" s="101" t="n">
        <f aca="false">+'[4]Orig Sched'!$O$239</f>
        <v>3270694.84186414</v>
      </c>
      <c r="F40" s="101" t="n">
        <f aca="false">+'[6]Orig Sched'!$O$239</f>
        <v>587258.522054825</v>
      </c>
      <c r="G40" s="79" t="n">
        <f aca="false">SUM(G34:G38)</f>
        <v>0</v>
      </c>
      <c r="H40" s="79" t="n">
        <f aca="false">SUM(H34:H38)</f>
        <v>0</v>
      </c>
      <c r="I40" s="79" t="n">
        <f aca="false">SUM(I34:I38)</f>
        <v>0</v>
      </c>
      <c r="J40" s="79" t="n">
        <f aca="false">SUM(J34:J38)</f>
        <v>0</v>
      </c>
      <c r="K40" s="79" t="n">
        <f aca="false">SUM(K34:K38)</f>
        <v>0</v>
      </c>
      <c r="L40" s="79" t="n">
        <f aca="false">SUM(L34:L38)</f>
        <v>0</v>
      </c>
      <c r="M40" s="79" t="n">
        <f aca="false">SUM(M34:M38)</f>
        <v>0</v>
      </c>
      <c r="N40" s="81"/>
      <c r="O40" s="82" t="n">
        <f aca="false">SUM(B40:N40)</f>
        <v>10702073.3855369</v>
      </c>
      <c r="P40" s="84"/>
      <c r="Q40" s="83" t="n">
        <f aca="false">SUM(Q34:Q38)</f>
        <v>-1340706.61256762</v>
      </c>
      <c r="R40" s="79" t="n">
        <f aca="false">SUM(R34:R38)</f>
        <v>-28237021.1312655</v>
      </c>
      <c r="S40" s="79" t="n">
        <f aca="false">SUM(S34:S38)</f>
        <v>0</v>
      </c>
      <c r="T40" s="79" t="n">
        <f aca="false">SUM(T34:T38)</f>
        <v>0</v>
      </c>
      <c r="U40" s="81"/>
      <c r="V40" s="82" t="n">
        <f aca="false">SUM(V34:V38)</f>
        <v>-29577727.7438331</v>
      </c>
    </row>
    <row r="41" customFormat="false" ht="13.5" hidden="false" customHeight="false" outlineLevel="0" collapsed="false">
      <c r="A41" s="100" t="s">
        <v>52</v>
      </c>
      <c r="B41" s="79" t="n">
        <f aca="false">+B40+B39</f>
        <v>16251776.1556475</v>
      </c>
      <c r="C41" s="79" t="n">
        <f aca="false">+C40+C39</f>
        <v>3124655.27483251</v>
      </c>
      <c r="D41" s="79" t="n">
        <f aca="false">+D40+D39</f>
        <v>-28871949.2027412</v>
      </c>
      <c r="E41" s="79" t="n">
        <f aca="false">+E40+E39</f>
        <v>-46639085.0853274</v>
      </c>
      <c r="F41" s="79" t="n">
        <f aca="false">+F40+F39</f>
        <v>24778497.4395691</v>
      </c>
      <c r="G41" s="79" t="n">
        <f aca="false">+G40+G39</f>
        <v>0</v>
      </c>
      <c r="H41" s="79" t="n">
        <f aca="false">+H40+H39</f>
        <v>0</v>
      </c>
      <c r="I41" s="79" t="n">
        <f aca="false">+I40+I39</f>
        <v>0</v>
      </c>
      <c r="J41" s="79" t="n">
        <f aca="false">+J40+J39</f>
        <v>0</v>
      </c>
      <c r="K41" s="79" t="n">
        <f aca="false">+K40+K39</f>
        <v>0</v>
      </c>
      <c r="L41" s="79" t="n">
        <f aca="false">+L40+L39</f>
        <v>0</v>
      </c>
      <c r="M41" s="79" t="n">
        <f aca="false">+M40+M39</f>
        <v>0</v>
      </c>
      <c r="N41" s="81"/>
      <c r="O41" s="82" t="n">
        <f aca="false">SUM(B41:N41)</f>
        <v>-31356105.4180195</v>
      </c>
      <c r="P41" s="84"/>
      <c r="Q41" s="83" t="n">
        <f aca="false">SUM(Q35:Q39)</f>
        <v>3825614.72362754</v>
      </c>
      <c r="R41" s="79" t="n">
        <f aca="false">SUM(R35:R39)</f>
        <v>-56807032.7385293</v>
      </c>
      <c r="S41" s="79" t="n">
        <f aca="false">SUM(S35:S39)</f>
        <v>0</v>
      </c>
      <c r="T41" s="79" t="n">
        <f aca="false">SUM(T35:T39)</f>
        <v>0</v>
      </c>
      <c r="U41" s="81"/>
      <c r="V41" s="82" t="n">
        <f aca="false">SUM(V35:V39)</f>
        <v>-52981418.0149018</v>
      </c>
    </row>
    <row r="42" customFormat="false" ht="12.75" hidden="false" customHeight="false" outlineLevel="0" collapsed="false">
      <c r="U42" s="2"/>
    </row>
    <row r="43" customFormat="false" ht="13.5" hidden="false" customHeight="false" outlineLevel="0" collapsed="false">
      <c r="A43" s="102" t="s">
        <v>53</v>
      </c>
      <c r="B43" s="103"/>
      <c r="C43" s="103"/>
      <c r="D43" s="103"/>
      <c r="E43" s="103"/>
      <c r="F43" s="103"/>
      <c r="G43" s="103" t="n">
        <f aca="false">+G42+G41</f>
        <v>0</v>
      </c>
      <c r="H43" s="103" t="n">
        <f aca="false">+H42+H41</f>
        <v>0</v>
      </c>
      <c r="I43" s="103" t="n">
        <f aca="false">+I42+I41</f>
        <v>0</v>
      </c>
      <c r="J43" s="103" t="n">
        <f aca="false">+J42+J41</f>
        <v>0</v>
      </c>
      <c r="K43" s="103" t="n">
        <f aca="false">+K42+K41</f>
        <v>0</v>
      </c>
      <c r="L43" s="103" t="n">
        <f aca="false">+L42+L41</f>
        <v>0</v>
      </c>
      <c r="M43" s="103" t="n">
        <f aca="false">+M42+M41</f>
        <v>0</v>
      </c>
      <c r="N43" s="104"/>
      <c r="O43" s="103" t="n">
        <f aca="false">+'Recon to Houston'!W15*1000</f>
        <v>-29916529.3652431</v>
      </c>
      <c r="P43" s="105"/>
      <c r="Q43" s="106"/>
      <c r="R43" s="103"/>
      <c r="S43" s="103"/>
      <c r="T43" s="103"/>
      <c r="U43" s="104"/>
      <c r="V43" s="107"/>
    </row>
    <row r="44" customFormat="false" ht="13.5" hidden="false" customHeight="false" outlineLevel="0" collapsed="false">
      <c r="A44" s="102" t="s">
        <v>54</v>
      </c>
      <c r="B44" s="103"/>
      <c r="C44" s="103"/>
      <c r="D44" s="103"/>
      <c r="E44" s="103"/>
      <c r="F44" s="103"/>
      <c r="G44" s="103" t="n">
        <f aca="false">+G43+G42</f>
        <v>0</v>
      </c>
      <c r="H44" s="103" t="n">
        <f aca="false">+H43+H42</f>
        <v>0</v>
      </c>
      <c r="I44" s="103" t="n">
        <f aca="false">+I43+I42</f>
        <v>0</v>
      </c>
      <c r="J44" s="103" t="n">
        <f aca="false">+J43+J42</f>
        <v>0</v>
      </c>
      <c r="K44" s="103" t="n">
        <f aca="false">+K43+K42</f>
        <v>0</v>
      </c>
      <c r="L44" s="103" t="n">
        <f aca="false">+L43+L42</f>
        <v>0</v>
      </c>
      <c r="M44" s="103" t="n">
        <f aca="false">+M43+M42</f>
        <v>0</v>
      </c>
      <c r="N44" s="104"/>
      <c r="O44" s="103" t="n">
        <f aca="false">+O43-O36-O40</f>
        <v>-15745.6844448149</v>
      </c>
      <c r="P44" s="105"/>
      <c r="Q44" s="106"/>
      <c r="R44" s="103"/>
      <c r="S44" s="103"/>
      <c r="T44" s="103"/>
      <c r="U44" s="104"/>
      <c r="V44" s="107"/>
    </row>
    <row r="45" customFormat="false" ht="12.75" hidden="false" customHeight="false" outlineLevel="0" collapsed="false">
      <c r="U45" s="2"/>
    </row>
    <row r="46" customFormat="false" ht="12.75" hidden="false" customHeight="false" outlineLevel="0" collapsed="false">
      <c r="U46" s="2"/>
    </row>
    <row r="47" customFormat="false" ht="12.75" hidden="false" customHeight="false" outlineLevel="0" collapsed="false">
      <c r="U47" s="2"/>
    </row>
    <row r="48" customFormat="false" ht="12.75" hidden="false" customHeight="false" outlineLevel="0" collapsed="false">
      <c r="U48"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46"/>
  <sheetViews>
    <sheetView showFormulas="false" showGridLines="true" showRowColHeaders="true" showZeros="true" rightToLeft="false" tabSelected="false" showOutlineSymbols="true" defaultGridColor="true" view="normal" topLeftCell="B27" colorId="64" zoomScale="100" zoomScaleNormal="100" zoomScalePageLayoutView="100" workbookViewId="0">
      <selection pane="topLeft" activeCell="N42" activeCellId="0" sqref="N42"/>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0.28"/>
    <col collapsed="false" customWidth="true" hidden="false" outlineLevel="0" max="3" min="3" style="0" width="9.85"/>
    <col collapsed="false" customWidth="true" hidden="false" outlineLevel="0" max="4" min="4" style="0" width="11.28"/>
    <col collapsed="false" customWidth="true" hidden="false" outlineLevel="0" max="5" min="5" style="0" width="10.71"/>
    <col collapsed="false" customWidth="true" hidden="false" outlineLevel="0" max="6" min="6" style="0" width="11.13"/>
    <col collapsed="false" customWidth="true" hidden="false" outlineLevel="0" max="7" min="7" style="0" width="9.56"/>
    <col collapsed="false" customWidth="true" hidden="false" outlineLevel="0" max="8" min="8" style="0" width="10.41"/>
    <col collapsed="false" customWidth="true" hidden="false" outlineLevel="0" max="9" min="9" style="0" width="9.56"/>
    <col collapsed="false" customWidth="true" hidden="false" outlineLevel="0" max="11" min="10" style="0" width="10.13"/>
    <col collapsed="false" customWidth="true" hidden="false" outlineLevel="0" max="13" min="12" style="0" width="10.56"/>
    <col collapsed="false" customWidth="true" hidden="false" outlineLevel="0" max="14" min="14" style="2" width="0.99"/>
    <col collapsed="false" customWidth="true" hidden="false" outlineLevel="0" max="15" min="15" style="0" width="12.85"/>
    <col collapsed="false" customWidth="true" hidden="false" outlineLevel="0" max="16" min="16" style="0" width="1.7"/>
    <col collapsed="false" customWidth="true" hidden="false" outlineLevel="0" max="17" min="17" style="0" width="11.56"/>
    <col collapsed="false" customWidth="true" hidden="false" outlineLevel="0" max="18" min="18" style="0" width="10.28"/>
    <col collapsed="false" customWidth="true" hidden="false" outlineLevel="0" max="19" min="19" style="0" width="11.13"/>
    <col collapsed="false" customWidth="true" hidden="false" outlineLevel="0" max="20" min="20" style="0" width="10.99"/>
    <col collapsed="false" customWidth="true" hidden="false" outlineLevel="0" max="21" min="21" style="0" width="1.99"/>
    <col collapsed="false" customWidth="true" hidden="false" outlineLevel="0" max="22" min="22" style="0" width="10.99"/>
  </cols>
  <sheetData>
    <row r="1" customFormat="false" ht="18" hidden="false" customHeight="false" outlineLevel="0" collapsed="false">
      <c r="A1" s="1" t="s">
        <v>55</v>
      </c>
    </row>
    <row r="2" customFormat="false" ht="13.5" hidden="false" customHeight="false" outlineLevel="0" collapsed="false">
      <c r="L2" s="36"/>
      <c r="M2" s="36"/>
    </row>
    <row r="3" customFormat="false" ht="12.75" hidden="false" customHeight="false" outlineLevel="0" collapsed="false">
      <c r="B3" s="38"/>
      <c r="C3" s="39"/>
      <c r="D3" s="39"/>
      <c r="E3" s="40"/>
      <c r="F3" s="39"/>
      <c r="G3" s="39"/>
      <c r="H3" s="39"/>
      <c r="I3" s="39"/>
      <c r="J3" s="39"/>
      <c r="K3" s="41"/>
      <c r="L3" s="41"/>
      <c r="M3" s="41"/>
      <c r="N3" s="39"/>
      <c r="O3" s="42"/>
      <c r="Q3" s="43"/>
      <c r="R3" s="44"/>
      <c r="S3" s="44"/>
      <c r="T3" s="45" t="s">
        <v>56</v>
      </c>
      <c r="U3" s="44"/>
      <c r="V3" s="46"/>
    </row>
    <row r="4" customFormat="false" ht="13.5" hidden="false" customHeight="false" outlineLevel="0" collapsed="false">
      <c r="B4" s="108" t="n">
        <v>36892</v>
      </c>
      <c r="C4" s="109" t="n">
        <v>36923</v>
      </c>
      <c r="D4" s="109" t="n">
        <v>36951</v>
      </c>
      <c r="E4" s="109" t="n">
        <v>36982</v>
      </c>
      <c r="F4" s="109" t="n">
        <v>37012</v>
      </c>
      <c r="G4" s="109" t="n">
        <v>37043</v>
      </c>
      <c r="H4" s="109" t="n">
        <v>37073</v>
      </c>
      <c r="I4" s="109" t="n">
        <v>37104</v>
      </c>
      <c r="J4" s="109" t="n">
        <v>37135</v>
      </c>
      <c r="K4" s="109" t="n">
        <v>37165</v>
      </c>
      <c r="L4" s="48" t="n">
        <v>37196</v>
      </c>
      <c r="M4" s="48" t="n">
        <v>37226</v>
      </c>
      <c r="N4" s="49"/>
      <c r="O4" s="50" t="s">
        <v>21</v>
      </c>
      <c r="Q4" s="51" t="s">
        <v>27</v>
      </c>
      <c r="R4" s="52" t="s">
        <v>28</v>
      </c>
      <c r="S4" s="52" t="s">
        <v>29</v>
      </c>
      <c r="T4" s="52" t="s">
        <v>30</v>
      </c>
      <c r="U4" s="53"/>
      <c r="V4" s="54" t="s">
        <v>21</v>
      </c>
    </row>
    <row r="5" customFormat="false" ht="12.75" hidden="false" customHeight="false" outlineLevel="0" collapsed="false">
      <c r="A5" s="55" t="s">
        <v>31</v>
      </c>
      <c r="B5" s="56"/>
      <c r="C5" s="56"/>
      <c r="D5" s="56"/>
      <c r="E5" s="56"/>
      <c r="F5" s="56"/>
      <c r="G5" s="56"/>
      <c r="H5" s="56"/>
      <c r="I5" s="56"/>
      <c r="J5" s="56"/>
      <c r="K5" s="56"/>
      <c r="L5" s="56"/>
      <c r="M5" s="56"/>
      <c r="N5" s="57"/>
      <c r="O5" s="58"/>
      <c r="Q5" s="59" t="str">
        <f aca="false">+A5</f>
        <v>BY BOOK:</v>
      </c>
      <c r="R5" s="60"/>
      <c r="S5" s="60"/>
      <c r="T5" s="60"/>
      <c r="U5" s="57"/>
      <c r="V5" s="58"/>
    </row>
    <row r="6" customFormat="false" ht="12.75" hidden="false" customHeight="false" outlineLevel="0" collapsed="false">
      <c r="A6" s="61" t="s">
        <v>32</v>
      </c>
      <c r="B6" s="62"/>
      <c r="C6" s="63"/>
      <c r="D6" s="63"/>
      <c r="E6" s="63"/>
      <c r="F6" s="63"/>
      <c r="G6" s="63"/>
      <c r="H6" s="63"/>
      <c r="I6" s="63"/>
      <c r="J6" s="63"/>
      <c r="K6" s="63"/>
      <c r="L6" s="63"/>
      <c r="M6" s="63"/>
      <c r="N6" s="64"/>
      <c r="O6" s="65"/>
      <c r="Q6" s="66"/>
      <c r="R6" s="63"/>
      <c r="S6" s="63"/>
      <c r="T6" s="63"/>
      <c r="U6" s="64"/>
      <c r="V6" s="65"/>
    </row>
    <row r="7" customFormat="false" ht="12.75" hidden="false" customHeight="false" outlineLevel="0" collapsed="false">
      <c r="A7" s="67" t="s">
        <v>57</v>
      </c>
      <c r="B7" s="68" t="n">
        <f aca="false">+[1]Report!$G$56</f>
        <v>810557.720000001</v>
      </c>
      <c r="C7" s="68" t="n">
        <f aca="false">+[2]Report!$G$56</f>
        <v>-881957</v>
      </c>
      <c r="D7" s="68" t="n">
        <f aca="false">+[3]Report!$G$56</f>
        <v>16900.0800000001</v>
      </c>
      <c r="E7" s="68" t="n">
        <f aca="false">+[4]Report!$G$56</f>
        <v>1982231.76</v>
      </c>
      <c r="F7" s="68" t="n">
        <f aca="false">+[6]Report!$G$56</f>
        <v>7649551</v>
      </c>
      <c r="G7" s="69"/>
      <c r="H7" s="69"/>
      <c r="I7" s="69"/>
      <c r="J7" s="69"/>
      <c r="K7" s="69"/>
      <c r="L7" s="69"/>
      <c r="M7" s="69"/>
      <c r="N7" s="70"/>
      <c r="O7" s="71" t="n">
        <f aca="false">SUM(B7:N7)</f>
        <v>9577283.56</v>
      </c>
      <c r="P7" s="72"/>
      <c r="Q7" s="73" t="n">
        <f aca="false">+SUM(B7:D7)</f>
        <v>-54499.1999999993</v>
      </c>
      <c r="R7" s="70" t="n">
        <f aca="false">+SUM(E7:G7)</f>
        <v>9631782.76</v>
      </c>
      <c r="S7" s="70" t="n">
        <f aca="false">+SUM(H7:J7)</f>
        <v>0</v>
      </c>
      <c r="T7" s="70" t="n">
        <f aca="false">+SUM(K7:M7)</f>
        <v>0</v>
      </c>
      <c r="U7" s="70"/>
      <c r="V7" s="71" t="n">
        <f aca="false">SUM(Q7:U7)</f>
        <v>9577283.56</v>
      </c>
    </row>
    <row r="8" customFormat="false" ht="12.75" hidden="false" customHeight="false" outlineLevel="0" collapsed="false">
      <c r="A8" s="67" t="s">
        <v>58</v>
      </c>
      <c r="B8" s="74" t="n">
        <f aca="false">+[1]Report!$M$56</f>
        <v>3582468</v>
      </c>
      <c r="C8" s="74" t="n">
        <f aca="false">+[2]Report!$M$56</f>
        <v>3643562</v>
      </c>
      <c r="D8" s="74" t="n">
        <f aca="false">+[3]Report!$M$56</f>
        <v>-49863600</v>
      </c>
      <c r="E8" s="110" t="n">
        <f aca="false">+[4]Report!$M$56</f>
        <v>-83164940</v>
      </c>
      <c r="F8" s="68" t="n">
        <f aca="false">+[6]Report!$M$56</f>
        <v>7920382</v>
      </c>
      <c r="G8" s="69"/>
      <c r="H8" s="69"/>
      <c r="I8" s="69"/>
      <c r="J8" s="69"/>
      <c r="K8" s="69"/>
      <c r="L8" s="111"/>
      <c r="M8" s="111"/>
      <c r="N8" s="70"/>
      <c r="O8" s="71" t="n">
        <f aca="false">SUM(B8:N8)</f>
        <v>-117882128</v>
      </c>
      <c r="P8" s="72"/>
      <c r="Q8" s="73" t="n">
        <f aca="false">+SUM(B8:D8)</f>
        <v>-42637570</v>
      </c>
      <c r="R8" s="70" t="n">
        <f aca="false">+SUM(E8:G8)</f>
        <v>-75244558</v>
      </c>
      <c r="S8" s="70" t="n">
        <f aca="false">+SUM(H8:J8)</f>
        <v>0</v>
      </c>
      <c r="T8" s="70" t="n">
        <f aca="false">+SUM(K8:M8)</f>
        <v>0</v>
      </c>
      <c r="U8" s="70"/>
      <c r="V8" s="71" t="n">
        <f aca="false">SUM(Q8:U8)</f>
        <v>-117882128</v>
      </c>
    </row>
    <row r="9" customFormat="false" ht="12.75" hidden="false" customHeight="false" outlineLevel="0" collapsed="false">
      <c r="A9" s="67" t="s">
        <v>59</v>
      </c>
      <c r="B9" s="112" t="n">
        <f aca="false">+[1]Report!$S$56</f>
        <v>5706304</v>
      </c>
      <c r="C9" s="112" t="n">
        <f aca="false">+[2]Report!$S$56</f>
        <v>182876</v>
      </c>
      <c r="D9" s="112" t="n">
        <f aca="false">+[3]Report!$S$56</f>
        <v>-27556</v>
      </c>
      <c r="E9" s="112" t="n">
        <f aca="false">+[4]Report!$S$56</f>
        <v>0</v>
      </c>
      <c r="F9" s="112" t="n">
        <f aca="false">+[6]Report!$S$56</f>
        <v>0</v>
      </c>
      <c r="G9" s="69"/>
      <c r="H9" s="69"/>
      <c r="I9" s="69"/>
      <c r="J9" s="69"/>
      <c r="K9" s="69"/>
      <c r="L9" s="69"/>
      <c r="M9" s="69"/>
      <c r="N9" s="70"/>
      <c r="O9" s="71" t="n">
        <f aca="false">SUM(B9:N9)</f>
        <v>5861624</v>
      </c>
      <c r="P9" s="72"/>
      <c r="Q9" s="73" t="n">
        <f aca="false">+SUM(B9:D9)</f>
        <v>5861624</v>
      </c>
      <c r="R9" s="70" t="n">
        <f aca="false">+SUM(E9:G9)</f>
        <v>0</v>
      </c>
      <c r="S9" s="70" t="n">
        <f aca="false">+SUM(H9:J9)</f>
        <v>0</v>
      </c>
      <c r="T9" s="70" t="n">
        <f aca="false">+SUM(K9:M9)</f>
        <v>0</v>
      </c>
      <c r="U9" s="70"/>
      <c r="V9" s="71" t="n">
        <f aca="false">SUM(Q9:U9)</f>
        <v>5861624</v>
      </c>
    </row>
    <row r="10" customFormat="false" ht="12.75" hidden="false" customHeight="false" outlineLevel="0" collapsed="false">
      <c r="A10" s="67" t="s">
        <v>60</v>
      </c>
      <c r="B10" s="75" t="n">
        <f aca="false">+[1]Report!$AA$56</f>
        <v>-440421</v>
      </c>
      <c r="C10" s="75" t="n">
        <f aca="false">+[2]Report!$AA$56</f>
        <v>3583108</v>
      </c>
      <c r="D10" s="75" t="n">
        <f aca="false">+[3]Report!$AA$56</f>
        <v>9435184</v>
      </c>
      <c r="E10" s="75" t="n">
        <f aca="false">+[4]Report!$AA$56</f>
        <v>-1318991</v>
      </c>
      <c r="F10" s="75" t="n">
        <f aca="false">+[6]Report!$AA$56</f>
        <v>5041958</v>
      </c>
      <c r="G10" s="69"/>
      <c r="H10" s="69"/>
      <c r="I10" s="69"/>
      <c r="J10" s="69"/>
      <c r="K10" s="111"/>
      <c r="L10" s="69"/>
      <c r="M10" s="69"/>
      <c r="N10" s="70"/>
      <c r="O10" s="71" t="n">
        <f aca="false">SUM(B10:N10)</f>
        <v>16300838</v>
      </c>
      <c r="P10" s="72"/>
      <c r="Q10" s="73" t="n">
        <f aca="false">+SUM(B10:D10)</f>
        <v>12577871</v>
      </c>
      <c r="R10" s="70" t="n">
        <f aca="false">+SUM(E10:G10)</f>
        <v>3722967</v>
      </c>
      <c r="S10" s="70" t="n">
        <f aca="false">+SUM(H10:J10)</f>
        <v>0</v>
      </c>
      <c r="T10" s="70" t="n">
        <f aca="false">+SUM(K10:M10)</f>
        <v>0</v>
      </c>
      <c r="U10" s="70"/>
      <c r="V10" s="71" t="n">
        <f aca="false">SUM(Q10:U10)</f>
        <v>16300838</v>
      </c>
    </row>
    <row r="11" customFormat="false" ht="12.75" hidden="false" customHeight="false" outlineLevel="0" collapsed="false">
      <c r="A11" s="61" t="s">
        <v>33</v>
      </c>
      <c r="B11" s="70"/>
      <c r="C11" s="69"/>
      <c r="D11" s="69"/>
      <c r="E11" s="69"/>
      <c r="F11" s="69"/>
      <c r="G11" s="69"/>
      <c r="H11" s="69"/>
      <c r="I11" s="69"/>
      <c r="J11" s="69"/>
      <c r="K11" s="69"/>
      <c r="L11" s="69"/>
      <c r="M11" s="69"/>
      <c r="N11" s="70"/>
      <c r="O11" s="71" t="n">
        <f aca="false">SUM(B11:N11)</f>
        <v>0</v>
      </c>
      <c r="P11" s="72"/>
      <c r="Q11" s="73" t="n">
        <f aca="false">+SUM(B11:D11)</f>
        <v>0</v>
      </c>
      <c r="R11" s="70" t="n">
        <f aca="false">+SUM(E11:G11)</f>
        <v>0</v>
      </c>
      <c r="S11" s="70" t="n">
        <f aca="false">+SUM(H11:J11)</f>
        <v>0</v>
      </c>
      <c r="T11" s="70" t="n">
        <f aca="false">+SUM(K11:M11)</f>
        <v>0</v>
      </c>
      <c r="U11" s="70"/>
      <c r="V11" s="71"/>
    </row>
    <row r="12" customFormat="false" ht="12.75" hidden="false" customHeight="false" outlineLevel="0" collapsed="false">
      <c r="A12" s="67" t="s">
        <v>34</v>
      </c>
      <c r="B12" s="76" t="n">
        <f aca="false">+[5]Lavo!$I$18</f>
        <v>2562489.78792051</v>
      </c>
      <c r="C12" s="76" t="n">
        <f aca="false">+[14]Lavo!$I$18</f>
        <v>-841902.25807877</v>
      </c>
      <c r="D12" s="76" t="n">
        <f aca="false">+[15]Lavo!$I$18</f>
        <v>1228992.80156198</v>
      </c>
      <c r="E12" s="76" t="n">
        <f aca="false">+[16]Lavo!$I$18</f>
        <v>1180364.29012358</v>
      </c>
      <c r="F12" s="76" t="n">
        <f aca="false">+[17]Lavo!$I$18</f>
        <v>3225638.62392573</v>
      </c>
      <c r="G12" s="69"/>
      <c r="H12" s="69"/>
      <c r="I12" s="69"/>
      <c r="J12" s="69"/>
      <c r="K12" s="69"/>
      <c r="L12" s="69"/>
      <c r="M12" s="69"/>
      <c r="N12" s="70"/>
      <c r="O12" s="71" t="n">
        <f aca="false">SUM(B12:N12)</f>
        <v>7355583.24545303</v>
      </c>
      <c r="P12" s="72"/>
      <c r="Q12" s="73" t="n">
        <f aca="false">+SUM(B12:D12)</f>
        <v>2949580.33140372</v>
      </c>
      <c r="R12" s="70" t="n">
        <f aca="false">+SUM(E12:G12)</f>
        <v>4406002.91404931</v>
      </c>
      <c r="S12" s="70" t="n">
        <f aca="false">+SUM(H12:J12)</f>
        <v>0</v>
      </c>
      <c r="T12" s="70" t="n">
        <f aca="false">+SUM(K12:M12)</f>
        <v>0</v>
      </c>
      <c r="U12" s="70"/>
      <c r="V12" s="71" t="n">
        <f aca="false">SUM(Q12:U12)</f>
        <v>7355583.24545303</v>
      </c>
    </row>
    <row r="13" customFormat="false" ht="12.75" hidden="false" customHeight="false" outlineLevel="0" collapsed="false">
      <c r="A13" s="67" t="s">
        <v>35</v>
      </c>
      <c r="B13" s="77" t="n">
        <f aca="false">+[5]Lavo!$I$38</f>
        <v>4976317.1</v>
      </c>
      <c r="C13" s="77" t="n">
        <f aca="false">+[14]Lavo!$I$38</f>
        <v>1313859.540744</v>
      </c>
      <c r="D13" s="77" t="n">
        <f aca="false">+[15]Lavo!$I$38</f>
        <v>663692.82</v>
      </c>
      <c r="E13" s="77" t="n">
        <f aca="false">+[16]Lavo!$I$38</f>
        <v>1000880.8</v>
      </c>
      <c r="F13" s="77" t="n">
        <f aca="false">+[17]Lavo!$I$38</f>
        <v>1516209.82</v>
      </c>
      <c r="G13" s="69"/>
      <c r="H13" s="69"/>
      <c r="I13" s="69"/>
      <c r="J13" s="69"/>
      <c r="K13" s="69"/>
      <c r="L13" s="69"/>
      <c r="M13" s="69"/>
      <c r="N13" s="70"/>
      <c r="O13" s="71" t="n">
        <f aca="false">SUM(B13:N13)</f>
        <v>9470960.080744</v>
      </c>
      <c r="P13" s="72"/>
      <c r="Q13" s="73" t="n">
        <f aca="false">+SUM(B13:D13)</f>
        <v>6953869.460744</v>
      </c>
      <c r="R13" s="70" t="n">
        <f aca="false">+SUM(E13:G13)</f>
        <v>2517090.62</v>
      </c>
      <c r="S13" s="70" t="n">
        <f aca="false">+SUM(H13:J13)</f>
        <v>0</v>
      </c>
      <c r="T13" s="70" t="n">
        <f aca="false">+SUM(K13:M13)</f>
        <v>0</v>
      </c>
      <c r="U13" s="70"/>
      <c r="V13" s="71" t="n">
        <f aca="false">SUM(Q13:U13)</f>
        <v>9470960.080744</v>
      </c>
    </row>
    <row r="14" customFormat="false" ht="12.75" hidden="false" customHeight="false" outlineLevel="0" collapsed="false">
      <c r="A14" s="67" t="s">
        <v>36</v>
      </c>
      <c r="B14" s="68" t="n">
        <f aca="false">+[5]Lavo!$I$50</f>
        <v>-1226698.6</v>
      </c>
      <c r="C14" s="68" t="n">
        <f aca="false">+[14]Lavo!$I$50</f>
        <v>53498.8521000128</v>
      </c>
      <c r="D14" s="68" t="n">
        <f aca="false">+[15]Lavo!$I$50</f>
        <v>350610.977857552</v>
      </c>
      <c r="E14" s="68" t="n">
        <f aca="false">+[16]Lavo!$I$50</f>
        <v>0</v>
      </c>
      <c r="F14" s="68" t="n">
        <f aca="false">+[17]Lavo!$I$50</f>
        <v>0</v>
      </c>
      <c r="G14" s="69"/>
      <c r="H14" s="69"/>
      <c r="I14" s="69"/>
      <c r="J14" s="69"/>
      <c r="K14" s="69"/>
      <c r="L14" s="69"/>
      <c r="M14" s="69"/>
      <c r="N14" s="70"/>
      <c r="O14" s="71" t="n">
        <f aca="false">SUM(B14:N14)</f>
        <v>-822588.770042435</v>
      </c>
      <c r="P14" s="72"/>
      <c r="Q14" s="73" t="n">
        <f aca="false">+SUM(B14:D14)</f>
        <v>-822588.770042435</v>
      </c>
      <c r="R14" s="70" t="n">
        <f aca="false">+SUM(E14:G14)</f>
        <v>0</v>
      </c>
      <c r="S14" s="70" t="n">
        <f aca="false">+SUM(H14:J14)</f>
        <v>0</v>
      </c>
      <c r="T14" s="70" t="n">
        <f aca="false">+SUM(K14:M14)</f>
        <v>0</v>
      </c>
      <c r="U14" s="70"/>
      <c r="V14" s="71" t="n">
        <f aca="false">SUM(Q14:U14)</f>
        <v>-822588.770042435</v>
      </c>
    </row>
    <row r="15" customFormat="false" ht="12.75" hidden="false" customHeight="false" outlineLevel="0" collapsed="false">
      <c r="A15" s="67" t="s">
        <v>37</v>
      </c>
      <c r="B15" s="68" t="n">
        <f aca="false">+[5]Lavo!$I$54</f>
        <v>367</v>
      </c>
      <c r="C15" s="68" t="n">
        <f aca="false">+[14]Lavo!$I$54</f>
        <v>329145</v>
      </c>
      <c r="D15" s="68" t="n">
        <f aca="false">+[15]Lavo!$I$54</f>
        <v>1550719.8</v>
      </c>
      <c r="E15" s="68" t="n">
        <f aca="false">+[16]Lavo!$I$54</f>
        <v>1853890</v>
      </c>
      <c r="F15" s="68" t="n">
        <f aca="false">+[17]Lavo!$I$54</f>
        <v>1732977</v>
      </c>
      <c r="G15" s="69"/>
      <c r="H15" s="69"/>
      <c r="I15" s="69"/>
      <c r="J15" s="69"/>
      <c r="K15" s="69"/>
      <c r="L15" s="69"/>
      <c r="M15" s="69"/>
      <c r="N15" s="70"/>
      <c r="O15" s="71" t="n">
        <f aca="false">SUM(B15:N15)</f>
        <v>5467098.8</v>
      </c>
      <c r="P15" s="72"/>
      <c r="Q15" s="73" t="n">
        <f aca="false">+SUM(B15:D15)</f>
        <v>1880231.8</v>
      </c>
      <c r="R15" s="70" t="n">
        <f aca="false">+SUM(E15:G15)</f>
        <v>3586867</v>
      </c>
      <c r="S15" s="70" t="n">
        <f aca="false">+SUM(H15:J15)</f>
        <v>0</v>
      </c>
      <c r="T15" s="70" t="n">
        <f aca="false">+SUM(K15:M15)</f>
        <v>0</v>
      </c>
      <c r="U15" s="70"/>
      <c r="V15" s="71" t="n">
        <f aca="false">SUM(Q15:U15)</f>
        <v>5467098.8</v>
      </c>
    </row>
    <row r="16" customFormat="false" ht="12.75" hidden="false" customHeight="false" outlineLevel="0" collapsed="false">
      <c r="A16" s="67" t="s">
        <v>38</v>
      </c>
      <c r="B16" s="75" t="n">
        <f aca="false">+[5]Lavo!$I$56</f>
        <v>72660</v>
      </c>
      <c r="C16" s="75" t="n">
        <f aca="false">+[14]Lavo!$I$56</f>
        <v>127218</v>
      </c>
      <c r="D16" s="75" t="n">
        <f aca="false">+[15]Lavo!$I$56</f>
        <v>259060</v>
      </c>
      <c r="E16" s="75" t="n">
        <f aca="false">+[16]Lavo!$I$56</f>
        <v>-58681</v>
      </c>
      <c r="F16" s="75" t="n">
        <f aca="false">+[17]Lavo!$I$56</f>
        <v>201630</v>
      </c>
      <c r="G16" s="69"/>
      <c r="H16" s="69"/>
      <c r="I16" s="69"/>
      <c r="J16" s="69"/>
      <c r="K16" s="69"/>
      <c r="L16" s="69"/>
      <c r="M16" s="69"/>
      <c r="N16" s="70"/>
      <c r="O16" s="71" t="n">
        <f aca="false">SUM(B16:N16)</f>
        <v>601887</v>
      </c>
      <c r="P16" s="72"/>
      <c r="Q16" s="73" t="n">
        <f aca="false">+SUM(B16:D16)</f>
        <v>458938</v>
      </c>
      <c r="R16" s="70" t="n">
        <f aca="false">+SUM(E16:G16)</f>
        <v>142949</v>
      </c>
      <c r="S16" s="70" t="n">
        <f aca="false">+SUM(H16:J16)</f>
        <v>0</v>
      </c>
      <c r="T16" s="70" t="n">
        <f aca="false">+SUM(K16:M16)</f>
        <v>0</v>
      </c>
      <c r="U16" s="70"/>
      <c r="V16" s="71" t="n">
        <f aca="false">SUM(Q16:U16)</f>
        <v>601887</v>
      </c>
    </row>
    <row r="17" customFormat="false" ht="13.5" hidden="false" customHeight="false" outlineLevel="0" collapsed="false">
      <c r="A17" s="78" t="s">
        <v>39</v>
      </c>
      <c r="B17" s="79" t="n">
        <f aca="false">SUM(B7:B16)</f>
        <v>16044044.0079205</v>
      </c>
      <c r="C17" s="80" t="n">
        <f aca="false">SUM(C7:C16)</f>
        <v>7509408.13476524</v>
      </c>
      <c r="D17" s="80" t="n">
        <f aca="false">SUM(D7:D16)</f>
        <v>-36385995.5205805</v>
      </c>
      <c r="E17" s="80" t="n">
        <f aca="false">SUM(E7:E16)</f>
        <v>-78525245.1498764</v>
      </c>
      <c r="F17" s="80" t="n">
        <f aca="false">SUM(F7:F16)</f>
        <v>27288346.4439257</v>
      </c>
      <c r="G17" s="80" t="n">
        <f aca="false">SUM(G7:G16)</f>
        <v>0</v>
      </c>
      <c r="H17" s="80" t="n">
        <f aca="false">SUM(H7:H16)</f>
        <v>0</v>
      </c>
      <c r="I17" s="80" t="n">
        <f aca="false">SUM(I7:I16)</f>
        <v>0</v>
      </c>
      <c r="J17" s="80" t="n">
        <f aca="false">SUM(J7:J16)</f>
        <v>0</v>
      </c>
      <c r="K17" s="80" t="n">
        <f aca="false">SUM(K7:K16)</f>
        <v>0</v>
      </c>
      <c r="L17" s="80" t="n">
        <f aca="false">SUM(L7:L16)</f>
        <v>0</v>
      </c>
      <c r="M17" s="80" t="n">
        <f aca="false">SUM(M7:M16)</f>
        <v>0</v>
      </c>
      <c r="N17" s="81"/>
      <c r="O17" s="82" t="n">
        <f aca="false">SUM(O7:O16)</f>
        <v>-64069442.0838454</v>
      </c>
      <c r="P17" s="72"/>
      <c r="Q17" s="83" t="n">
        <f aca="false">SUM(Q7:Q16)</f>
        <v>-12832543.3778947</v>
      </c>
      <c r="R17" s="79" t="n">
        <f aca="false">SUM(R7:R16)</f>
        <v>-51236898.7059507</v>
      </c>
      <c r="S17" s="79" t="n">
        <f aca="false">SUM(S7:S16)</f>
        <v>0</v>
      </c>
      <c r="T17" s="79" t="n">
        <f aca="false">SUM(T7:T16)</f>
        <v>0</v>
      </c>
      <c r="U17" s="81"/>
      <c r="V17" s="82" t="n">
        <f aca="false">SUM(V7:V16)</f>
        <v>-64069442.0838454</v>
      </c>
    </row>
    <row r="18" customFormat="false" ht="12.75" hidden="false" customHeight="false" outlineLevel="0" collapsed="false">
      <c r="B18" s="84"/>
      <c r="C18" s="85"/>
      <c r="D18" s="85"/>
      <c r="E18" s="85"/>
      <c r="F18" s="85"/>
      <c r="G18" s="85"/>
      <c r="H18" s="85"/>
      <c r="I18" s="85"/>
      <c r="J18" s="85"/>
      <c r="K18" s="85"/>
      <c r="L18" s="85"/>
      <c r="M18" s="85"/>
      <c r="N18" s="70"/>
      <c r="O18" s="84"/>
      <c r="P18" s="72"/>
      <c r="Q18" s="84"/>
      <c r="R18" s="84"/>
      <c r="S18" s="84"/>
      <c r="T18" s="84"/>
      <c r="U18" s="70"/>
      <c r="V18" s="84"/>
    </row>
    <row r="19" customFormat="false" ht="13.5" hidden="false" customHeight="false" outlineLevel="0" collapsed="false">
      <c r="B19" s="84"/>
      <c r="C19" s="85"/>
      <c r="D19" s="85"/>
      <c r="E19" s="85"/>
      <c r="F19" s="85"/>
      <c r="G19" s="85"/>
      <c r="H19" s="85"/>
      <c r="I19" s="85"/>
      <c r="J19" s="85"/>
      <c r="K19" s="85"/>
      <c r="L19" s="85"/>
      <c r="M19" s="85"/>
      <c r="N19" s="70"/>
      <c r="O19" s="84"/>
      <c r="P19" s="72"/>
      <c r="Q19" s="84"/>
      <c r="R19" s="84"/>
      <c r="S19" s="84"/>
      <c r="T19" s="84"/>
      <c r="U19" s="70"/>
      <c r="V19" s="84"/>
    </row>
    <row r="20" customFormat="false" ht="12.75" hidden="false" customHeight="false" outlineLevel="0" collapsed="false">
      <c r="A20" s="55" t="s">
        <v>40</v>
      </c>
      <c r="B20" s="86"/>
      <c r="C20" s="87"/>
      <c r="D20" s="87"/>
      <c r="E20" s="87"/>
      <c r="F20" s="87"/>
      <c r="G20" s="87"/>
      <c r="H20" s="87"/>
      <c r="I20" s="87"/>
      <c r="J20" s="87"/>
      <c r="K20" s="87"/>
      <c r="L20" s="87"/>
      <c r="M20" s="87"/>
      <c r="N20" s="86"/>
      <c r="O20" s="88"/>
      <c r="P20" s="72"/>
      <c r="Q20" s="55" t="s">
        <v>40</v>
      </c>
      <c r="R20" s="86"/>
      <c r="S20" s="86"/>
      <c r="T20" s="86"/>
      <c r="U20" s="86"/>
      <c r="V20" s="88"/>
    </row>
    <row r="21" customFormat="false" ht="12.75" hidden="false" customHeight="false" outlineLevel="0" collapsed="false">
      <c r="A21" s="67" t="s">
        <v>41</v>
      </c>
      <c r="B21" s="70" t="n">
        <f aca="false">+[1]Report!$AC$56</f>
        <v>9658908.72</v>
      </c>
      <c r="C21" s="70" t="n">
        <f aca="false">+[2]Report!$AC$56</f>
        <v>6527589</v>
      </c>
      <c r="D21" s="70" t="n">
        <f aca="false">+[3]Report!$AC$56</f>
        <v>-40439071.92</v>
      </c>
      <c r="E21" s="70" t="n">
        <f aca="false">+[4]Report!$AC$56</f>
        <v>-82501699.24</v>
      </c>
      <c r="F21" s="70" t="n">
        <f aca="false">+[6]Report!$AC$56</f>
        <v>20611891</v>
      </c>
      <c r="G21" s="69"/>
      <c r="H21" s="69"/>
      <c r="I21" s="69"/>
      <c r="J21" s="69"/>
      <c r="K21" s="69"/>
      <c r="L21" s="69"/>
      <c r="M21" s="69"/>
      <c r="N21" s="70"/>
      <c r="O21" s="71" t="n">
        <f aca="false">SUM(B21:N21)</f>
        <v>-86142382.44</v>
      </c>
      <c r="P21" s="72"/>
      <c r="Q21" s="73" t="n">
        <f aca="false">+SUM(B21:D21)</f>
        <v>-24252574.2</v>
      </c>
      <c r="R21" s="70" t="n">
        <f aca="false">+SUM(E21:G21)</f>
        <v>-61889808.24</v>
      </c>
      <c r="S21" s="70" t="n">
        <f aca="false">+SUM(H21:J21)</f>
        <v>0</v>
      </c>
      <c r="T21" s="70" t="n">
        <f aca="false">+SUM(K21:M21)</f>
        <v>0</v>
      </c>
      <c r="U21" s="70"/>
      <c r="V21" s="71" t="n">
        <f aca="false">SUM(Q21:U21)</f>
        <v>-86142382.44</v>
      </c>
    </row>
    <row r="22" customFormat="false" ht="12.75" hidden="false" customHeight="false" outlineLevel="0" collapsed="false">
      <c r="A22" s="89" t="s">
        <v>42</v>
      </c>
      <c r="B22" s="90" t="n">
        <f aca="false">+B21-SUM(B7:B10)</f>
        <v>0</v>
      </c>
      <c r="C22" s="91" t="n">
        <f aca="false">+C21-SUM(C7:C10)</f>
        <v>0</v>
      </c>
      <c r="D22" s="91" t="n">
        <f aca="false">+D21-SUM(D7:D10)</f>
        <v>0</v>
      </c>
      <c r="E22" s="91" t="n">
        <f aca="false">+E21-SUM(E7:E10)</f>
        <v>0</v>
      </c>
      <c r="F22" s="91" t="n">
        <f aca="false">+F21-SUM(F7:F10)</f>
        <v>0</v>
      </c>
      <c r="G22" s="91" t="n">
        <f aca="false">+G21-SUM(G7:G10)</f>
        <v>0</v>
      </c>
      <c r="H22" s="91" t="n">
        <f aca="false">+H21-SUM(H7:H10)</f>
        <v>0</v>
      </c>
      <c r="I22" s="91" t="n">
        <f aca="false">+I21-SUM(I7:I10)</f>
        <v>0</v>
      </c>
      <c r="J22" s="91" t="n">
        <f aca="false">+J21-SUM(J7:J10)</f>
        <v>0</v>
      </c>
      <c r="K22" s="91" t="n">
        <f aca="false">+K21-SUM(K7:K10)</f>
        <v>0</v>
      </c>
      <c r="L22" s="91" t="n">
        <f aca="false">+L21-SUM(L7:L10)</f>
        <v>0</v>
      </c>
      <c r="M22" s="91" t="n">
        <f aca="false">+M21-SUM(M7:M10)</f>
        <v>0</v>
      </c>
      <c r="N22" s="90"/>
      <c r="O22" s="71" t="n">
        <f aca="false">SUM(B22:N22)</f>
        <v>0</v>
      </c>
      <c r="P22" s="92"/>
      <c r="Q22" s="73" t="n">
        <f aca="false">+SUM(B22:D22)</f>
        <v>0</v>
      </c>
      <c r="R22" s="70" t="n">
        <f aca="false">+SUM(E22:G22)</f>
        <v>0</v>
      </c>
      <c r="S22" s="70" t="n">
        <f aca="false">+SUM(H22:J22)</f>
        <v>0</v>
      </c>
      <c r="T22" s="70" t="n">
        <f aca="false">+SUM(K22:M22)</f>
        <v>0</v>
      </c>
      <c r="U22" s="90"/>
      <c r="V22" s="71" t="n">
        <f aca="false">SUM(I22:U22)</f>
        <v>0</v>
      </c>
    </row>
    <row r="23" customFormat="false" ht="12.75" hidden="false" customHeight="false" outlineLevel="0" collapsed="false">
      <c r="A23" s="67" t="s">
        <v>43</v>
      </c>
      <c r="B23" s="70" t="n">
        <f aca="false">+[5]Lavo!$I$63</f>
        <v>6385135.28792051</v>
      </c>
      <c r="C23" s="70" t="n">
        <f aca="false">+[14]Lavo!$I$63</f>
        <v>981819.134765242</v>
      </c>
      <c r="D23" s="70" t="n">
        <f aca="false">+[15]Lavo!$I$63</f>
        <v>4053075.97441954</v>
      </c>
      <c r="E23" s="69" t="n">
        <f aca="false">+[16]Lavo!$I$63</f>
        <v>3976454.09012358</v>
      </c>
      <c r="F23" s="69" t="n">
        <f aca="false">+[17]Lavo!$I$63</f>
        <v>6676455.44392574</v>
      </c>
      <c r="G23" s="69"/>
      <c r="H23" s="69"/>
      <c r="I23" s="69"/>
      <c r="J23" s="69"/>
      <c r="K23" s="69"/>
      <c r="L23" s="69"/>
      <c r="M23" s="69"/>
      <c r="N23" s="70"/>
      <c r="O23" s="71" t="n">
        <f aca="false">SUM(B23:N23)</f>
        <v>22072939.9311546</v>
      </c>
      <c r="P23" s="72"/>
      <c r="Q23" s="73" t="n">
        <f aca="false">+SUM(B23:D23)</f>
        <v>11420030.3971053</v>
      </c>
      <c r="R23" s="70" t="n">
        <f aca="false">+SUM(E23:G23)</f>
        <v>10652909.5340493</v>
      </c>
      <c r="S23" s="70" t="n">
        <f aca="false">+SUM(H23:J23)</f>
        <v>0</v>
      </c>
      <c r="T23" s="70" t="n">
        <f aca="false">+SUM(K23:M23)</f>
        <v>0</v>
      </c>
      <c r="U23" s="70"/>
      <c r="V23" s="71" t="n">
        <f aca="false">SUM(Q23:T23)</f>
        <v>22072939.9311546</v>
      </c>
    </row>
    <row r="24" customFormat="false" ht="12.75" hidden="false" customHeight="false" outlineLevel="0" collapsed="false">
      <c r="A24" s="89" t="s">
        <v>42</v>
      </c>
      <c r="B24" s="90" t="n">
        <f aca="false">+B23-SUM(B12:B16)</f>
        <v>0</v>
      </c>
      <c r="C24" s="91" t="n">
        <f aca="false">+C23-SUM(C12:C16)</f>
        <v>0</v>
      </c>
      <c r="D24" s="91" t="n">
        <f aca="false">+D23-SUM(D12:D16)</f>
        <v>-0.424999999348074</v>
      </c>
      <c r="E24" s="91" t="n">
        <f aca="false">+E23-SUM(E12:E16)</f>
        <v>0</v>
      </c>
      <c r="F24" s="91" t="n">
        <f aca="false">+F23-SUM(F12:F16)</f>
        <v>0</v>
      </c>
      <c r="G24" s="91" t="n">
        <f aca="false">+G23-SUM(G12:G16)</f>
        <v>0</v>
      </c>
      <c r="H24" s="91" t="n">
        <f aca="false">+H23-SUM(H12:H16)</f>
        <v>0</v>
      </c>
      <c r="I24" s="91" t="n">
        <f aca="false">+I23-SUM(I12:I16)</f>
        <v>0</v>
      </c>
      <c r="J24" s="91" t="n">
        <f aca="false">+J23-SUM(J12:J16)</f>
        <v>0</v>
      </c>
      <c r="K24" s="91" t="n">
        <f aca="false">+K23-SUM(K12:K16)</f>
        <v>0</v>
      </c>
      <c r="L24" s="91" t="n">
        <f aca="false">+L23-SUM(L12:L16)</f>
        <v>0</v>
      </c>
      <c r="M24" s="91" t="n">
        <f aca="false">+M23-SUM(M12:M16)</f>
        <v>0</v>
      </c>
      <c r="N24" s="90"/>
      <c r="O24" s="93" t="n">
        <f aca="false">SUM(B24:N24)</f>
        <v>-0.424999999348074</v>
      </c>
      <c r="P24" s="92"/>
      <c r="Q24" s="94" t="n">
        <f aca="false">+Q23-SUM(Q12:Q16)</f>
        <v>-0.425000000745058</v>
      </c>
      <c r="R24" s="90" t="n">
        <f aca="false">+R23-SUM(R12:R16)</f>
        <v>0</v>
      </c>
      <c r="S24" s="90" t="n">
        <f aca="false">+S23-SUM(S12:S16)</f>
        <v>0</v>
      </c>
      <c r="T24" s="90" t="n">
        <f aca="false">+T23-SUM(T12:T16)</f>
        <v>0</v>
      </c>
      <c r="U24" s="90" t="n">
        <f aca="false">+U23-SUM(U12:U16)</f>
        <v>0</v>
      </c>
      <c r="V24" s="93" t="n">
        <f aca="false">+V23-SUM(V12:V16)</f>
        <v>-0.425000000745058</v>
      </c>
    </row>
    <row r="25" customFormat="false" ht="13.5" hidden="false" customHeight="false" outlineLevel="0" collapsed="false">
      <c r="A25" s="78" t="s">
        <v>39</v>
      </c>
      <c r="B25" s="79" t="n">
        <f aca="false">+B23+B21</f>
        <v>16044044.0079205</v>
      </c>
      <c r="C25" s="80" t="n">
        <f aca="false">+C23+C21</f>
        <v>7509408.13476524</v>
      </c>
      <c r="D25" s="80" t="n">
        <f aca="false">+D23+D21</f>
        <v>-36385995.9455805</v>
      </c>
      <c r="E25" s="80" t="n">
        <f aca="false">+E23+E21</f>
        <v>-78525245.1498764</v>
      </c>
      <c r="F25" s="80" t="n">
        <f aca="false">+F23+F21</f>
        <v>27288346.4439257</v>
      </c>
      <c r="G25" s="80" t="n">
        <f aca="false">+G23+G21</f>
        <v>0</v>
      </c>
      <c r="H25" s="80" t="n">
        <f aca="false">+H23+H21</f>
        <v>0</v>
      </c>
      <c r="I25" s="80" t="n">
        <f aca="false">+I23+I21</f>
        <v>0</v>
      </c>
      <c r="J25" s="80" t="n">
        <f aca="false">+J23+J21</f>
        <v>0</v>
      </c>
      <c r="K25" s="80" t="n">
        <f aca="false">+K23+K21</f>
        <v>0</v>
      </c>
      <c r="L25" s="80" t="n">
        <f aca="false">+L23+L21</f>
        <v>0</v>
      </c>
      <c r="M25" s="80" t="n">
        <f aca="false">+M23+M21</f>
        <v>0</v>
      </c>
      <c r="N25" s="81"/>
      <c r="O25" s="82" t="n">
        <f aca="false">+O23+O21</f>
        <v>-64069442.5088454</v>
      </c>
      <c r="P25" s="72"/>
      <c r="Q25" s="83" t="n">
        <f aca="false">+Q23+Q21</f>
        <v>-12832543.8028947</v>
      </c>
      <c r="R25" s="79" t="n">
        <f aca="false">+R23+R21</f>
        <v>-51236898.7059507</v>
      </c>
      <c r="S25" s="79" t="n">
        <f aca="false">+S23+S21</f>
        <v>0</v>
      </c>
      <c r="T25" s="79" t="n">
        <f aca="false">+T23+T21</f>
        <v>0</v>
      </c>
      <c r="U25" s="81"/>
      <c r="V25" s="82" t="n">
        <f aca="false">+V23+V21</f>
        <v>-64069442.5088454</v>
      </c>
    </row>
    <row r="26" customFormat="false" ht="12.75" hidden="false" customHeight="false" outlineLevel="0" collapsed="false">
      <c r="A26" s="2"/>
      <c r="B26" s="70"/>
      <c r="C26" s="69"/>
      <c r="D26" s="69"/>
      <c r="E26" s="69"/>
      <c r="F26" s="69"/>
      <c r="G26" s="69"/>
      <c r="H26" s="69"/>
      <c r="I26" s="69"/>
      <c r="J26" s="69"/>
      <c r="K26" s="69"/>
      <c r="L26" s="69"/>
      <c r="M26" s="69"/>
      <c r="N26" s="70"/>
      <c r="O26" s="70"/>
      <c r="P26" s="72"/>
      <c r="Q26" s="70"/>
      <c r="R26" s="70"/>
      <c r="S26" s="70"/>
      <c r="T26" s="70"/>
      <c r="U26" s="70"/>
      <c r="V26" s="70"/>
    </row>
    <row r="27" customFormat="false" ht="13.5" hidden="false" customHeight="false" outlineLevel="0" collapsed="false">
      <c r="A27" s="2"/>
      <c r="B27" s="70"/>
      <c r="C27" s="69"/>
      <c r="D27" s="69"/>
      <c r="E27" s="69"/>
      <c r="F27" s="69"/>
      <c r="G27" s="69"/>
      <c r="H27" s="69"/>
      <c r="I27" s="69"/>
      <c r="J27" s="69"/>
      <c r="K27" s="69"/>
      <c r="L27" s="69"/>
      <c r="M27" s="69"/>
      <c r="N27" s="70"/>
      <c r="O27" s="70"/>
      <c r="P27" s="72"/>
      <c r="Q27" s="70"/>
      <c r="R27" s="70"/>
      <c r="S27" s="70"/>
      <c r="T27" s="70"/>
      <c r="U27" s="70"/>
      <c r="V27" s="70"/>
    </row>
    <row r="28" customFormat="false" ht="12.75" hidden="false" customHeight="false" outlineLevel="0" collapsed="false">
      <c r="A28" s="55" t="s">
        <v>61</v>
      </c>
      <c r="B28" s="95"/>
      <c r="C28" s="96"/>
      <c r="D28" s="96"/>
      <c r="E28" s="96"/>
      <c r="F28" s="96"/>
      <c r="G28" s="96"/>
      <c r="H28" s="96"/>
      <c r="I28" s="96"/>
      <c r="J28" s="96"/>
      <c r="K28" s="96"/>
      <c r="L28" s="96"/>
      <c r="M28" s="96"/>
      <c r="N28" s="95"/>
      <c r="O28" s="97"/>
      <c r="P28" s="72"/>
      <c r="Q28" s="98" t="str">
        <f aca="false">+A28</f>
        <v>BY AREA/TRADER:</v>
      </c>
      <c r="R28" s="95"/>
      <c r="S28" s="95"/>
      <c r="T28" s="95"/>
      <c r="U28" s="95"/>
      <c r="V28" s="97"/>
    </row>
    <row r="29" customFormat="false" ht="12.75" hidden="false" customHeight="false" outlineLevel="0" collapsed="false">
      <c r="A29" s="67" t="s">
        <v>45</v>
      </c>
      <c r="B29" s="68" t="n">
        <f aca="false">+B7+B9+B15+B14</f>
        <v>5290530.12</v>
      </c>
      <c r="C29" s="68" t="n">
        <f aca="false">+C7+C9+C15+C14</f>
        <v>-316437.147899987</v>
      </c>
      <c r="D29" s="68" t="n">
        <f aca="false">+D7+D9+D15+D14</f>
        <v>1890674.85785755</v>
      </c>
      <c r="E29" s="68" t="n">
        <f aca="false">+E7+E9+E15+E14+E8-E30</f>
        <v>-15500112.24</v>
      </c>
      <c r="F29" s="68" t="n">
        <f aca="false">+F7+F9+F15+F14+F8</f>
        <v>17302910</v>
      </c>
      <c r="G29" s="69"/>
      <c r="H29" s="69"/>
      <c r="I29" s="69"/>
      <c r="J29" s="69"/>
      <c r="K29" s="69"/>
      <c r="L29" s="69"/>
      <c r="M29" s="69"/>
      <c r="N29" s="70"/>
      <c r="O29" s="71" t="n">
        <f aca="false">SUM(B29:N29)</f>
        <v>8667565.58995757</v>
      </c>
      <c r="P29" s="84"/>
      <c r="Q29" s="73" t="n">
        <f aca="false">+SUM(B29:D29)</f>
        <v>6864767.82995757</v>
      </c>
      <c r="R29" s="70" t="n">
        <f aca="false">+SUM(E29:G29)</f>
        <v>1802797.76000001</v>
      </c>
      <c r="S29" s="70" t="n">
        <f aca="false">+SUM(H29:J29)</f>
        <v>0</v>
      </c>
      <c r="T29" s="70" t="n">
        <f aca="false">+SUM(K29:M29)</f>
        <v>0</v>
      </c>
      <c r="U29" s="70"/>
      <c r="V29" s="71" t="n">
        <f aca="false">SUM(Q29:U29)</f>
        <v>8667565.58995757</v>
      </c>
    </row>
    <row r="30" customFormat="false" ht="12.75" hidden="false" customHeight="false" outlineLevel="0" collapsed="false">
      <c r="A30" s="67" t="s">
        <v>46</v>
      </c>
      <c r="B30" s="74" t="n">
        <f aca="false">+B8</f>
        <v>3582468</v>
      </c>
      <c r="C30" s="74" t="n">
        <f aca="false">+C8</f>
        <v>3643562</v>
      </c>
      <c r="D30" s="74" t="n">
        <f aca="false">+D8</f>
        <v>-49863600</v>
      </c>
      <c r="E30" s="74" t="n">
        <v>-63828706</v>
      </c>
      <c r="F30" s="74" t="n">
        <v>0</v>
      </c>
      <c r="G30" s="69"/>
      <c r="H30" s="69"/>
      <c r="I30" s="69"/>
      <c r="J30" s="69"/>
      <c r="K30" s="69"/>
      <c r="L30" s="69"/>
      <c r="M30" s="69"/>
      <c r="N30" s="70"/>
      <c r="O30" s="71" t="n">
        <f aca="false">SUM(B30:N30)</f>
        <v>-106466276</v>
      </c>
      <c r="P30" s="84"/>
      <c r="Q30" s="73" t="n">
        <f aca="false">+SUM(B30:D30)</f>
        <v>-42637570</v>
      </c>
      <c r="R30" s="70" t="n">
        <f aca="false">+SUM(E30:G30)</f>
        <v>-63828706</v>
      </c>
      <c r="S30" s="70" t="n">
        <f aca="false">+SUM(H30:J30)</f>
        <v>0</v>
      </c>
      <c r="T30" s="70" t="n">
        <f aca="false">+SUM(K30:M30)</f>
        <v>0</v>
      </c>
      <c r="U30" s="70"/>
      <c r="V30" s="71" t="n">
        <f aca="false">SUM(Q30:U30)</f>
        <v>-106466276</v>
      </c>
    </row>
    <row r="31" customFormat="false" ht="12.75" hidden="false" customHeight="false" outlineLevel="0" collapsed="false">
      <c r="A31" s="67" t="s">
        <v>47</v>
      </c>
      <c r="B31" s="75" t="n">
        <f aca="false">+B10+B16</f>
        <v>-367761</v>
      </c>
      <c r="C31" s="75" t="n">
        <f aca="false">+C10+C16</f>
        <v>3710326</v>
      </c>
      <c r="D31" s="75" t="n">
        <f aca="false">+D10+D16</f>
        <v>9694244</v>
      </c>
      <c r="E31" s="75" t="n">
        <f aca="false">+E10+E16</f>
        <v>-1377672</v>
      </c>
      <c r="F31" s="75" t="n">
        <f aca="false">+F10+F16</f>
        <v>5243588</v>
      </c>
      <c r="G31" s="69"/>
      <c r="H31" s="69"/>
      <c r="I31" s="69"/>
      <c r="J31" s="69"/>
      <c r="K31" s="69"/>
      <c r="L31" s="69"/>
      <c r="M31" s="69"/>
      <c r="N31" s="70"/>
      <c r="O31" s="71" t="n">
        <f aca="false">SUM(B31:N31)</f>
        <v>16902725</v>
      </c>
      <c r="P31" s="84"/>
      <c r="Q31" s="73" t="n">
        <f aca="false">+SUM(B31:D31)</f>
        <v>13036809</v>
      </c>
      <c r="R31" s="70" t="n">
        <f aca="false">+SUM(E31:G31)</f>
        <v>3865916</v>
      </c>
      <c r="S31" s="70" t="n">
        <f aca="false">+SUM(H31:J31)</f>
        <v>0</v>
      </c>
      <c r="T31" s="70" t="n">
        <f aca="false">+SUM(K31:M31)</f>
        <v>0</v>
      </c>
      <c r="U31" s="70"/>
      <c r="V31" s="71" t="n">
        <f aca="false">SUM(Q31:U31)</f>
        <v>16902725</v>
      </c>
    </row>
    <row r="32" customFormat="false" ht="12.75" hidden="false" customHeight="false" outlineLevel="0" collapsed="false">
      <c r="A32" s="67" t="s">
        <v>48</v>
      </c>
      <c r="B32" s="76" t="n">
        <f aca="false">+B12</f>
        <v>2562489.78792051</v>
      </c>
      <c r="C32" s="76" t="n">
        <f aca="false">+C12</f>
        <v>-841902.25807877</v>
      </c>
      <c r="D32" s="76" t="n">
        <f aca="false">+D12</f>
        <v>1228992.80156198</v>
      </c>
      <c r="E32" s="76" t="n">
        <f aca="false">+E12</f>
        <v>1180364.29012358</v>
      </c>
      <c r="F32" s="76" t="n">
        <f aca="false">+F12</f>
        <v>3225638.62392573</v>
      </c>
      <c r="G32" s="69"/>
      <c r="H32" s="69"/>
      <c r="I32" s="69"/>
      <c r="J32" s="69"/>
      <c r="K32" s="69"/>
      <c r="L32" s="69"/>
      <c r="M32" s="69"/>
      <c r="N32" s="70"/>
      <c r="O32" s="71" t="n">
        <f aca="false">SUM(B32:N32)</f>
        <v>7355583.24545303</v>
      </c>
      <c r="P32" s="84"/>
      <c r="Q32" s="73" t="n">
        <f aca="false">+SUM(B32:D32)</f>
        <v>2949580.33140372</v>
      </c>
      <c r="R32" s="70" t="n">
        <f aca="false">+SUM(E32:G32)</f>
        <v>4406002.91404931</v>
      </c>
      <c r="S32" s="70" t="n">
        <f aca="false">+SUM(H32:J32)</f>
        <v>0</v>
      </c>
      <c r="T32" s="70" t="n">
        <f aca="false">+SUM(K32:M32)</f>
        <v>0</v>
      </c>
      <c r="U32" s="70"/>
      <c r="V32" s="71" t="n">
        <f aca="false">SUM(Q32:U32)</f>
        <v>7355583.24545303</v>
      </c>
    </row>
    <row r="33" customFormat="false" ht="12.75" hidden="false" customHeight="false" outlineLevel="0" collapsed="false">
      <c r="A33" s="67" t="s">
        <v>49</v>
      </c>
      <c r="B33" s="77" t="n">
        <f aca="false">+B13</f>
        <v>4976317.1</v>
      </c>
      <c r="C33" s="77" t="n">
        <f aca="false">+C13</f>
        <v>1313859.540744</v>
      </c>
      <c r="D33" s="77" t="n">
        <f aca="false">+D13</f>
        <v>663692.82</v>
      </c>
      <c r="E33" s="77" t="n">
        <f aca="false">+E13</f>
        <v>1000880.8</v>
      </c>
      <c r="F33" s="77" t="n">
        <f aca="false">+F13</f>
        <v>1516209.82</v>
      </c>
      <c r="G33" s="69"/>
      <c r="H33" s="69"/>
      <c r="I33" s="69"/>
      <c r="J33" s="69"/>
      <c r="K33" s="69"/>
      <c r="L33" s="69"/>
      <c r="M33" s="69"/>
      <c r="N33" s="70"/>
      <c r="O33" s="71" t="n">
        <f aca="false">SUM(B33:N33)</f>
        <v>9470960.080744</v>
      </c>
      <c r="P33" s="84"/>
      <c r="Q33" s="73" t="n">
        <f aca="false">+SUM(B33:D33)</f>
        <v>6953869.460744</v>
      </c>
      <c r="R33" s="70" t="n">
        <f aca="false">+SUM(E33:G33)</f>
        <v>2517090.62</v>
      </c>
      <c r="S33" s="70" t="n">
        <f aca="false">+SUM(H33:J33)</f>
        <v>0</v>
      </c>
      <c r="T33" s="70" t="n">
        <f aca="false">+SUM(K33:M33)</f>
        <v>0</v>
      </c>
      <c r="U33" s="70"/>
      <c r="V33" s="71" t="n">
        <f aca="false">SUM(Q33:U33)</f>
        <v>9470960.080744</v>
      </c>
    </row>
    <row r="34" customFormat="false" ht="13.5" hidden="false" customHeight="false" outlineLevel="0" collapsed="false">
      <c r="A34" s="78" t="s">
        <v>39</v>
      </c>
      <c r="B34" s="79" t="n">
        <f aca="false">SUM(B29:B33)</f>
        <v>16044044.0079205</v>
      </c>
      <c r="C34" s="79" t="n">
        <f aca="false">SUM(C29:C33)</f>
        <v>7509408.13476524</v>
      </c>
      <c r="D34" s="79" t="n">
        <f aca="false">SUM(D29:D33)</f>
        <v>-36385995.5205805</v>
      </c>
      <c r="E34" s="79" t="n">
        <f aca="false">SUM(E29:E33)</f>
        <v>-78525245.1498764</v>
      </c>
      <c r="F34" s="79" t="n">
        <f aca="false">SUM(F29:F33)</f>
        <v>27288346.4439257</v>
      </c>
      <c r="G34" s="79" t="n">
        <f aca="false">SUM(G29:G33)</f>
        <v>0</v>
      </c>
      <c r="H34" s="79" t="n">
        <f aca="false">SUM(H29:H33)</f>
        <v>0</v>
      </c>
      <c r="I34" s="79" t="n">
        <f aca="false">SUM(I29:I33)</f>
        <v>0</v>
      </c>
      <c r="J34" s="79" t="n">
        <f aca="false">SUM(J29:J33)</f>
        <v>0</v>
      </c>
      <c r="K34" s="79" t="n">
        <f aca="false">SUM(K29:K33)</f>
        <v>0</v>
      </c>
      <c r="L34" s="79" t="n">
        <f aca="false">SUM(L29:L33)</f>
        <v>0</v>
      </c>
      <c r="M34" s="79" t="n">
        <f aca="false">SUM(M29:M33)</f>
        <v>0</v>
      </c>
      <c r="N34" s="81"/>
      <c r="O34" s="82" t="n">
        <f aca="false">SUM(O29:O33)</f>
        <v>-64069442.0838454</v>
      </c>
      <c r="P34" s="84"/>
      <c r="Q34" s="83" t="n">
        <f aca="false">SUM(Q29:Q33)</f>
        <v>-12832543.3778947</v>
      </c>
      <c r="R34" s="79" t="n">
        <f aca="false">SUM(R29:R33)</f>
        <v>-51236898.7059507</v>
      </c>
      <c r="S34" s="79" t="n">
        <f aca="false">SUM(S29:S33)</f>
        <v>0</v>
      </c>
      <c r="T34" s="79" t="n">
        <f aca="false">SUM(T29:T33)</f>
        <v>0</v>
      </c>
      <c r="U34" s="81"/>
      <c r="V34" s="82" t="n">
        <f aca="false">SUM(V29:V33)</f>
        <v>-64069442.0838454</v>
      </c>
    </row>
    <row r="35" customFormat="false" ht="12.75" hidden="true" customHeight="false" outlineLevel="0" collapsed="false">
      <c r="A35" s="0" t="s">
        <v>42</v>
      </c>
      <c r="B35" s="84" t="n">
        <f aca="false">+B34-B17</f>
        <v>0</v>
      </c>
      <c r="C35" s="84" t="n">
        <f aca="false">+C34-C17</f>
        <v>0</v>
      </c>
      <c r="D35" s="84" t="n">
        <f aca="false">+D34-D17</f>
        <v>0</v>
      </c>
      <c r="E35" s="84" t="n">
        <f aca="false">+E34-E17</f>
        <v>0</v>
      </c>
      <c r="F35" s="84" t="n">
        <f aca="false">+F34-F17</f>
        <v>0</v>
      </c>
      <c r="G35" s="84" t="n">
        <f aca="false">+G34-G17</f>
        <v>0</v>
      </c>
      <c r="H35" s="84" t="n">
        <f aca="false">+H34-H17</f>
        <v>0</v>
      </c>
      <c r="I35" s="84" t="n">
        <f aca="false">+I34-I17</f>
        <v>0</v>
      </c>
      <c r="J35" s="84" t="n">
        <f aca="false">+J34-J17</f>
        <v>0</v>
      </c>
      <c r="K35" s="84" t="n">
        <f aca="false">+K34-K17</f>
        <v>0</v>
      </c>
      <c r="L35" s="84" t="n">
        <f aca="false">+L34-L17</f>
        <v>0</v>
      </c>
      <c r="M35" s="84" t="n">
        <f aca="false">+M34-M17</f>
        <v>0</v>
      </c>
      <c r="N35" s="84"/>
      <c r="O35" s="84"/>
      <c r="P35" s="84"/>
      <c r="Q35" s="84" t="n">
        <f aca="false">+Q34-Q17</f>
        <v>0</v>
      </c>
      <c r="R35" s="84" t="n">
        <f aca="false">+R34-R17</f>
        <v>0</v>
      </c>
      <c r="S35" s="84" t="n">
        <f aca="false">+S34-S17</f>
        <v>0</v>
      </c>
      <c r="T35" s="84" t="n">
        <f aca="false">+T34-T17</f>
        <v>0</v>
      </c>
      <c r="U35" s="84"/>
      <c r="V35" s="84"/>
    </row>
    <row r="36" customFormat="false" ht="12.75" hidden="false" customHeight="false" outlineLevel="0" collapsed="false">
      <c r="B36" s="84"/>
      <c r="C36" s="84"/>
      <c r="D36" s="84"/>
      <c r="E36" s="84"/>
      <c r="F36" s="84"/>
      <c r="G36" s="84"/>
      <c r="H36" s="84"/>
      <c r="I36" s="84"/>
      <c r="J36" s="84"/>
      <c r="K36" s="84"/>
      <c r="L36" s="84"/>
      <c r="M36" s="84"/>
      <c r="N36" s="84"/>
      <c r="O36" s="84"/>
      <c r="P36" s="84"/>
      <c r="Q36" s="84"/>
      <c r="R36" s="84"/>
      <c r="S36" s="84"/>
      <c r="T36" s="84"/>
      <c r="U36" s="84"/>
      <c r="V36" s="84"/>
    </row>
    <row r="37" customFormat="false" ht="13.5" hidden="false" customHeight="false" outlineLevel="0" collapsed="false">
      <c r="A37" s="100" t="s">
        <v>50</v>
      </c>
      <c r="B37" s="79" t="n">
        <f aca="false">+B34-B31</f>
        <v>16411805.0079205</v>
      </c>
      <c r="C37" s="79" t="n">
        <f aca="false">+C34-C31</f>
        <v>3799082.13476524</v>
      </c>
      <c r="D37" s="79" t="n">
        <f aca="false">+D34-D31</f>
        <v>-46080239.5205805</v>
      </c>
      <c r="E37" s="79" t="n">
        <f aca="false">SUM(E31:E35)</f>
        <v>-77721672.0597528</v>
      </c>
      <c r="F37" s="79" t="n">
        <f aca="false">SUM(F31:F35)</f>
        <v>37273782.8878515</v>
      </c>
      <c r="G37" s="79" t="n">
        <f aca="false">SUM(G31:G35)</f>
        <v>0</v>
      </c>
      <c r="H37" s="79" t="n">
        <f aca="false">SUM(H31:H35)</f>
        <v>0</v>
      </c>
      <c r="I37" s="79" t="n">
        <f aca="false">SUM(I31:I35)</f>
        <v>0</v>
      </c>
      <c r="J37" s="79" t="n">
        <f aca="false">SUM(J31:J35)</f>
        <v>0</v>
      </c>
      <c r="K37" s="79" t="n">
        <f aca="false">SUM(K31:K35)</f>
        <v>0</v>
      </c>
      <c r="L37" s="79" t="n">
        <f aca="false">SUM(L31:L35)</f>
        <v>0</v>
      </c>
      <c r="M37" s="79" t="n">
        <f aca="false">SUM(M31:M35)</f>
        <v>0</v>
      </c>
      <c r="N37" s="81"/>
      <c r="O37" s="82" t="n">
        <f aca="false">SUM(B37:N37)</f>
        <v>-66317241.5497961</v>
      </c>
      <c r="P37" s="84"/>
      <c r="Q37" s="83" t="n">
        <f aca="false">SUM(Q31:Q35)</f>
        <v>10107715.414253</v>
      </c>
      <c r="R37" s="79" t="n">
        <f aca="false">SUM(R31:R35)</f>
        <v>-40447889.1719014</v>
      </c>
      <c r="S37" s="79" t="n">
        <f aca="false">SUM(S31:S35)</f>
        <v>0</v>
      </c>
      <c r="T37" s="79" t="n">
        <f aca="false">SUM(T31:T35)</f>
        <v>0</v>
      </c>
      <c r="U37" s="81"/>
      <c r="V37" s="82" t="n">
        <f aca="false">SUM(V31:V35)</f>
        <v>-30340173.7576484</v>
      </c>
    </row>
    <row r="38" customFormat="false" ht="13.5" hidden="false" customHeight="false" outlineLevel="0" collapsed="false">
      <c r="A38" s="100" t="s">
        <v>51</v>
      </c>
      <c r="B38" s="79" t="n">
        <f aca="false">+'[1]Orig Sched'!$Q$183</f>
        <v>8025858.65248628</v>
      </c>
      <c r="C38" s="79" t="n">
        <f aca="false">+'[2]Orig Sched'!$Q$183</f>
        <v>949954.8285</v>
      </c>
      <c r="D38" s="79" t="n">
        <f aca="false">+'[3]Orig Sched'!$Q$183</f>
        <v>1376624.41466129</v>
      </c>
      <c r="E38" s="79" t="n">
        <f aca="false">+'[18]Orig Sched'!$Q$183</f>
        <v>3189977.15936662</v>
      </c>
      <c r="F38" s="101" t="n">
        <f aca="false">+'[6]Orig Sched'!$Q$239</f>
        <v>903346.697889415</v>
      </c>
      <c r="G38" s="79" t="n">
        <f aca="false">SUM(G32:G36)</f>
        <v>0</v>
      </c>
      <c r="H38" s="79" t="n">
        <f aca="false">SUM(H32:H36)</f>
        <v>0</v>
      </c>
      <c r="I38" s="79" t="n">
        <f aca="false">SUM(I32:I36)</f>
        <v>0</v>
      </c>
      <c r="J38" s="79" t="n">
        <f aca="false">SUM(J32:J36)</f>
        <v>0</v>
      </c>
      <c r="K38" s="79" t="n">
        <f aca="false">SUM(K32:K36)</f>
        <v>0</v>
      </c>
      <c r="L38" s="79" t="n">
        <f aca="false">SUM(L32:L36)</f>
        <v>0</v>
      </c>
      <c r="M38" s="79" t="n">
        <f aca="false">SUM(M32:M36)</f>
        <v>0</v>
      </c>
      <c r="N38" s="81"/>
      <c r="O38" s="82" t="n">
        <f aca="false">SUM(B38:N38)</f>
        <v>14445761.7529036</v>
      </c>
      <c r="P38" s="84"/>
      <c r="Q38" s="83" t="n">
        <f aca="false">SUM(Q32:Q36)</f>
        <v>-2929093.585747</v>
      </c>
      <c r="R38" s="79" t="n">
        <f aca="false">SUM(R32:R36)</f>
        <v>-44313805.1719014</v>
      </c>
      <c r="S38" s="79" t="n">
        <f aca="false">SUM(S32:S36)</f>
        <v>0</v>
      </c>
      <c r="T38" s="79" t="n">
        <f aca="false">SUM(T32:T36)</f>
        <v>0</v>
      </c>
      <c r="U38" s="81"/>
      <c r="V38" s="82" t="n">
        <f aca="false">SUM(V32:V36)</f>
        <v>-47242898.7576484</v>
      </c>
    </row>
    <row r="39" customFormat="false" ht="13.5" hidden="false" customHeight="false" outlineLevel="0" collapsed="false">
      <c r="A39" s="100" t="s">
        <v>52</v>
      </c>
      <c r="B39" s="79" t="n">
        <f aca="false">+B38+B37</f>
        <v>24437663.6604068</v>
      </c>
      <c r="C39" s="79" t="n">
        <f aca="false">+C38+C37</f>
        <v>4749036.96326524</v>
      </c>
      <c r="D39" s="79" t="n">
        <f aca="false">+D38+D37</f>
        <v>-44703615.1059192</v>
      </c>
      <c r="E39" s="79" t="n">
        <f aca="false">+E38+E37</f>
        <v>-74531694.9003862</v>
      </c>
      <c r="F39" s="79" t="n">
        <f aca="false">+F38+F37</f>
        <v>38177129.5857409</v>
      </c>
      <c r="G39" s="79" t="n">
        <f aca="false">+G38+G37</f>
        <v>0</v>
      </c>
      <c r="H39" s="79" t="n">
        <f aca="false">+H38+H37</f>
        <v>0</v>
      </c>
      <c r="I39" s="79" t="n">
        <f aca="false">+I38+I37</f>
        <v>0</v>
      </c>
      <c r="J39" s="79" t="n">
        <f aca="false">+J38+J37</f>
        <v>0</v>
      </c>
      <c r="K39" s="79" t="n">
        <f aca="false">+K38+K37</f>
        <v>0</v>
      </c>
      <c r="L39" s="79" t="n">
        <f aca="false">+L38+L37</f>
        <v>0</v>
      </c>
      <c r="M39" s="79" t="n">
        <f aca="false">+M38+M37</f>
        <v>0</v>
      </c>
      <c r="N39" s="81"/>
      <c r="O39" s="82" t="n">
        <f aca="false">SUM(B39:N39)</f>
        <v>-51871479.7968925</v>
      </c>
      <c r="P39" s="84"/>
      <c r="Q39" s="83" t="n">
        <f aca="false">SUM(Q33:Q37)</f>
        <v>4229041.49710229</v>
      </c>
      <c r="R39" s="79" t="n">
        <f aca="false">SUM(R33:R37)</f>
        <v>-89167697.2578521</v>
      </c>
      <c r="S39" s="79" t="n">
        <f aca="false">SUM(S33:S37)</f>
        <v>0</v>
      </c>
      <c r="T39" s="79" t="n">
        <f aca="false">SUM(T33:T37)</f>
        <v>0</v>
      </c>
      <c r="U39" s="81"/>
      <c r="V39" s="82" t="n">
        <f aca="false">SUM(V33:V37)</f>
        <v>-84938655.7607498</v>
      </c>
    </row>
    <row r="40" customFormat="false" ht="12.75" hidden="false" customHeight="false" outlineLevel="0" collapsed="false">
      <c r="A40" s="13"/>
      <c r="U40" s="2"/>
    </row>
    <row r="41" customFormat="false" ht="12.75" hidden="false" customHeight="false" outlineLevel="0" collapsed="false">
      <c r="U41" s="2"/>
    </row>
    <row r="42" customFormat="false" ht="12.75" hidden="false" customHeight="false" outlineLevel="0" collapsed="false">
      <c r="U42" s="2"/>
    </row>
    <row r="43" customFormat="false" ht="12.75" hidden="false" customHeight="false" outlineLevel="0" collapsed="false">
      <c r="U43" s="2"/>
    </row>
    <row r="44" customFormat="false" ht="12.75" hidden="false" customHeight="false" outlineLevel="0" collapsed="false">
      <c r="U44" s="2"/>
    </row>
    <row r="45" customFormat="false" ht="12.75" hidden="false" customHeight="false" outlineLevel="0" collapsed="false">
      <c r="U45" s="2"/>
    </row>
    <row r="46" customFormat="false" ht="12.75" hidden="false" customHeight="false" outlineLevel="0" collapsed="false">
      <c r="U46"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2000-10-27T18:07:45Z</dcterms:created>
  <dc:creator>kreeve1</dc:creator>
  <dc:description/>
  <dc:language>en-US</dc:language>
  <cp:lastModifiedBy>kreeve1</cp:lastModifiedBy>
  <cp:lastPrinted>2001-04-20T14:32:30Z</cp:lastPrinted>
  <dcterms:modified xsi:type="dcterms:W3CDTF">2001-06-06T16:21:38Z</dcterms:modified>
  <cp:revision>0</cp:revision>
  <dc:subject/>
  <dc:title/>
</cp:coreProperties>
</file>