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9.xml" ContentType="application/vnd.openxmlformats-officedocument.spreadsheetml.externalLink+xml"/>
  <Override PartName="/xl/externalLinks/externalLink14.xml" ContentType="application/vnd.openxmlformats-officedocument.spreadsheetml.externalLink+xml"/>
  <Override PartName="/xl/externalLinks/_rels/externalLink13.xml.rels" ContentType="application/vnd.openxmlformats-package.relationships+xml"/>
  <Override PartName="/xl/externalLinks/_rels/externalLink9.xml.rels" ContentType="application/vnd.openxmlformats-package.relationships+xml"/>
  <Override PartName="/xl/externalLinks/_rels/externalLink14.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externalLinks/_rels/externalLink10.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11.xml.rels" ContentType="application/vnd.openxmlformats-package.relationships+xml"/>
  <Override PartName="/xl/externalLinks/_rels/externalLink7.xml.rels" ContentType="application/vnd.openxmlformats-package.relationships+xml"/>
  <Override PartName="/xl/externalLinks/_rels/externalLink12.xml.rels" ContentType="application/vnd.openxmlformats-package.relationships+xml"/>
  <Override PartName="/xl/externalLinks/_rels/externalLink8.xml.rels" ContentType="application/vnd.openxmlformats-package.relationships+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5.xml" ContentType="application/vnd.openxmlformats-officedocument.spreadsheetml.externalLink+xml"/>
  <Override PartName="/xl/externalLinks/externalLink11.xml" ContentType="application/vnd.openxmlformats-officedocument.spreadsheetml.externalLink+xml"/>
  <Override PartName="/xl/externalLinks/externalLink6.xml" ContentType="application/vnd.openxmlformats-officedocument.spreadsheetml.externalLink+xml"/>
  <Override PartName="/xl/externalLinks/externalLink12.xml" ContentType="application/vnd.openxmlformats-officedocument.spreadsheetml.externalLink+xml"/>
  <Override PartName="/xl/externalLinks/externalLink7.xml" ContentType="application/vnd.openxmlformats-officedocument.spreadsheetml.externalLink+xml"/>
  <Override PartName="/xl/externalLinks/externalLink13.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con to Houston" sheetId="1" state="visible" r:id="rId3"/>
    <sheet name="SUM-USD" sheetId="2" state="visible" r:id="rId4"/>
    <sheet name="SUM - C$" sheetId="3" state="visible"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4" authorId="0">
      <text>
        <r>
          <rPr>
            <b val="true"/>
            <sz val="12"/>
            <color rgb="FF000000"/>
            <rFont val="Tahoma"/>
            <family val="0"/>
          </rPr>
          <t xml:space="preserve">kreeve1:
</t>
        </r>
        <r>
          <rPr>
            <sz val="12"/>
            <color rgb="FF000000"/>
            <rFont val="Tahoma"/>
            <family val="0"/>
          </rPr>
          <t xml:space="preserve">Origination recorded in IM not picked up by Houston.  This is orig will be backed out of IM in Feb and booked in term so that Houston can pick it up.</t>
        </r>
      </text>
      <mc:AlternateContent>
        <mc:Choice Requires="v2">
          <commentPr autoFill="true" autoScale="false" colHidden="false" locked="false" rowHidden="false" textHAlign="justify" textVAlign="top">
            <anchor moveWithCells="false" sizeWithCells="false">
              <xdr:from>
                <xdr:col>4</xdr:col>
                <xdr:colOff>16</xdr:colOff>
                <xdr:row>12</xdr:row>
                <xdr:rowOff>16</xdr:rowOff>
              </xdr:from>
              <xdr:to>
                <xdr:col>6</xdr:col>
                <xdr:colOff>74</xdr:colOff>
                <xdr:row>16</xdr:row>
                <xdr:rowOff>17</xdr:rowOff>
              </xdr:to>
            </anchor>
          </commentPr>
        </mc:Choice>
        <mc:Fallback/>
      </mc:AlternateContent>
    </comment>
  </commentList>
</comments>
</file>

<file path=xl/sharedStrings.xml><?xml version="1.0" encoding="utf-8"?>
<sst xmlns="http://schemas.openxmlformats.org/spreadsheetml/2006/main" count="90" uniqueCount="53">
  <si>
    <t xml:space="preserve">RECONCILATION TO HOUSTON REPORTED P&amp;L</t>
  </si>
  <si>
    <t xml:space="preserve">January</t>
  </si>
  <si>
    <t xml:space="preserve">Trader</t>
  </si>
  <si>
    <t xml:space="preserve">HOUSTON</t>
  </si>
  <si>
    <t xml:space="preserve">CALGARY</t>
  </si>
  <si>
    <t xml:space="preserve">DIFF</t>
  </si>
  <si>
    <t xml:space="preserve">McKay Firm</t>
  </si>
  <si>
    <t xml:space="preserve">McKay Intra</t>
  </si>
  <si>
    <t xml:space="preserve">Lambie Firm</t>
  </si>
  <si>
    <t xml:space="preserve">Lambie Intra</t>
  </si>
  <si>
    <t xml:space="preserve">Mckay</t>
  </si>
  <si>
    <t xml:space="preserve">Clark</t>
  </si>
  <si>
    <t xml:space="preserve">Cowan</t>
  </si>
  <si>
    <t xml:space="preserve">Greenizan</t>
  </si>
  <si>
    <t xml:space="preserve">Lambie</t>
  </si>
  <si>
    <t xml:space="preserve">Le Dain (Origination)</t>
  </si>
  <si>
    <t xml:space="preserve">Disturnal</t>
  </si>
  <si>
    <t xml:space="preserve">TOTAL</t>
  </si>
  <si>
    <t xml:space="preserve">Origination - Term</t>
  </si>
  <si>
    <t xml:space="preserve">Origination - IM</t>
  </si>
  <si>
    <t xml:space="preserve">Origination - Total</t>
  </si>
  <si>
    <t xml:space="preserve">SUMMARY OF CANADA'S TRADING INCOME BY TRADER - IN US$</t>
  </si>
  <si>
    <t xml:space="preserve">FX - AVG OF MNTH</t>
  </si>
  <si>
    <t xml:space="preserve">To date</t>
  </si>
  <si>
    <t xml:space="preserve">Q1</t>
  </si>
  <si>
    <t xml:space="preserve">Q2</t>
  </si>
  <si>
    <t xml:space="preserve">Q3</t>
  </si>
  <si>
    <t xml:space="preserve">Q4</t>
  </si>
  <si>
    <t xml:space="preserve">BY BOOK:</t>
  </si>
  <si>
    <t xml:space="preserve">TERM:</t>
  </si>
  <si>
    <t xml:space="preserve">CASH</t>
  </si>
  <si>
    <t xml:space="preserve">Alberta Cash</t>
  </si>
  <si>
    <t xml:space="preserve">BC Cash</t>
  </si>
  <si>
    <t xml:space="preserve">BC Pipe Cash</t>
  </si>
  <si>
    <t xml:space="preserve">Alberta Term - GD</t>
  </si>
  <si>
    <t xml:space="preserve">Options - GD</t>
  </si>
  <si>
    <t xml:space="preserve">TOTAL CANADA</t>
  </si>
  <si>
    <t xml:space="preserve">BY RISK TYPE:</t>
  </si>
  <si>
    <t xml:space="preserve">Total Term</t>
  </si>
  <si>
    <t xml:space="preserve">Check</t>
  </si>
  <si>
    <t xml:space="preserve">Total Cash</t>
  </si>
  <si>
    <t xml:space="preserve">BY AREA - TRADER:</t>
  </si>
  <si>
    <r>
      <rPr>
        <sz val="10"/>
        <rFont val="Arial"/>
        <family val="0"/>
      </rPr>
      <t xml:space="preserve">Alberta Term - </t>
    </r>
    <r>
      <rPr>
        <b val="true"/>
        <sz val="10"/>
        <rFont val="Arial"/>
        <family val="2"/>
      </rPr>
      <t xml:space="preserve">Mckay</t>
    </r>
  </si>
  <si>
    <r>
      <rPr>
        <sz val="10"/>
        <rFont val="Arial"/>
        <family val="0"/>
      </rPr>
      <t xml:space="preserve">BC Term -</t>
    </r>
    <r>
      <rPr>
        <b val="true"/>
        <sz val="10"/>
        <rFont val="Arial"/>
        <family val="2"/>
      </rPr>
      <t xml:space="preserve"> Lambie</t>
    </r>
  </si>
  <si>
    <r>
      <rPr>
        <sz val="10"/>
        <rFont val="Arial"/>
        <family val="0"/>
      </rPr>
      <t xml:space="preserve">Options - </t>
    </r>
    <r>
      <rPr>
        <b val="true"/>
        <sz val="10"/>
        <rFont val="Arial"/>
        <family val="2"/>
      </rPr>
      <t xml:space="preserve">Disturnal</t>
    </r>
  </si>
  <si>
    <r>
      <rPr>
        <sz val="10"/>
        <rFont val="Arial"/>
        <family val="0"/>
      </rPr>
      <t xml:space="preserve">Alberta Cash -</t>
    </r>
    <r>
      <rPr>
        <b val="true"/>
        <sz val="10"/>
        <rFont val="Arial"/>
        <family val="2"/>
      </rPr>
      <t xml:space="preserve"> Cowan</t>
    </r>
  </si>
  <si>
    <r>
      <rPr>
        <sz val="10"/>
        <rFont val="Arial"/>
        <family val="0"/>
      </rPr>
      <t xml:space="preserve">BC Cash - </t>
    </r>
    <r>
      <rPr>
        <b val="true"/>
        <sz val="10"/>
        <rFont val="Arial"/>
        <family val="2"/>
      </rPr>
      <t xml:space="preserve">Clark</t>
    </r>
  </si>
  <si>
    <t xml:space="preserve">SUMMARY OF CANADA'S TRADING INCOME BY DESK - IN C$</t>
  </si>
  <si>
    <t xml:space="preserve">Alberta Term</t>
  </si>
  <si>
    <t xml:space="preserve">BC Term</t>
  </si>
  <si>
    <t xml:space="preserve">Pipe Book - Term</t>
  </si>
  <si>
    <t xml:space="preserve">Options</t>
  </si>
  <si>
    <t xml:space="preserve">BY AREA/TRADER:</t>
  </si>
</sst>
</file>

<file path=xl/styles.xml><?xml version="1.0" encoding="utf-8"?>
<styleSheet xmlns="http://schemas.openxmlformats.org/spreadsheetml/2006/main">
  <numFmts count="8">
    <numFmt numFmtId="164" formatCode="General"/>
    <numFmt numFmtId="165" formatCode="[$-409]#,##0_);[RED]\(#,##0\)"/>
    <numFmt numFmtId="166" formatCode="0.0000"/>
    <numFmt numFmtId="167" formatCode="_(* #,##0.00_);_(* \(#,##0.00\);_(* \-??_);_(@_)"/>
    <numFmt numFmtId="168" formatCode="mmm\-yyyy"/>
    <numFmt numFmtId="169" formatCode="[$-409]mmm\-yy"/>
    <numFmt numFmtId="170" formatCode="_(* #,##0_);_(* \(#,##0\);_(* \-_);_(@_)"/>
    <numFmt numFmtId="171" formatCode="\$#,##0_);&quot;($&quot;#,##0\)"/>
  </numFmts>
  <fonts count="17">
    <font>
      <sz val="10"/>
      <name val="Arial"/>
      <family val="0"/>
    </font>
    <font>
      <sz val="10"/>
      <name val="Arial"/>
      <family val="0"/>
    </font>
    <font>
      <sz val="10"/>
      <name val="Arial"/>
      <family val="0"/>
    </font>
    <font>
      <sz val="10"/>
      <name val="Arial"/>
      <family val="0"/>
    </font>
    <font>
      <b val="true"/>
      <sz val="14"/>
      <name val="Arial"/>
      <family val="2"/>
    </font>
    <font>
      <b val="true"/>
      <sz val="12"/>
      <name val="Arial"/>
      <family val="2"/>
    </font>
    <font>
      <b val="true"/>
      <sz val="12"/>
      <name val="Arial Black"/>
      <family val="2"/>
    </font>
    <font>
      <b val="true"/>
      <sz val="10"/>
      <name val="Arial"/>
      <family val="2"/>
    </font>
    <font>
      <sz val="12"/>
      <name val="Arial Black"/>
      <family val="2"/>
    </font>
    <font>
      <sz val="10"/>
      <name val="Arial Black"/>
      <family val="2"/>
    </font>
    <font>
      <b val="true"/>
      <sz val="12"/>
      <color rgb="FF000000"/>
      <name val="Tahoma"/>
      <family val="0"/>
    </font>
    <font>
      <sz val="12"/>
      <color rgb="FF000000"/>
      <name val="Tahoma"/>
      <family val="0"/>
    </font>
    <font>
      <i val="true"/>
      <sz val="10"/>
      <name val="Arial"/>
      <family val="2"/>
    </font>
    <font>
      <b val="true"/>
      <u val="single"/>
      <sz val="10"/>
      <name val="Arial"/>
      <family val="2"/>
    </font>
    <font>
      <i val="true"/>
      <u val="single"/>
      <sz val="10"/>
      <name val="Arial"/>
      <family val="2"/>
    </font>
    <font>
      <sz val="8"/>
      <name val="Arial"/>
      <family val="2"/>
    </font>
    <font>
      <i val="true"/>
      <sz val="7"/>
      <name val="Arial"/>
      <family val="2"/>
    </font>
  </fonts>
  <fills count="11">
    <fill>
      <patternFill patternType="none"/>
    </fill>
    <fill>
      <patternFill patternType="gray125"/>
    </fill>
    <fill>
      <patternFill patternType="solid">
        <fgColor rgb="FFFFFF00"/>
        <bgColor rgb="FFFFFF00"/>
      </patternFill>
    </fill>
    <fill>
      <patternFill patternType="solid">
        <fgColor rgb="FFC0C0C0"/>
        <bgColor rgb="FFCCCCFF"/>
      </patternFill>
    </fill>
    <fill>
      <patternFill patternType="solid">
        <fgColor rgb="FFCCFFCC"/>
        <bgColor rgb="FFCCFFFF"/>
      </patternFill>
    </fill>
    <fill>
      <patternFill patternType="solid">
        <fgColor rgb="FFCCFFFF"/>
        <bgColor rgb="FFCCFFFF"/>
      </patternFill>
    </fill>
    <fill>
      <patternFill patternType="solid">
        <fgColor rgb="FFFFCC99"/>
        <bgColor rgb="FFC0C0C0"/>
      </patternFill>
    </fill>
    <fill>
      <patternFill patternType="solid">
        <fgColor rgb="FFCC99FF"/>
        <bgColor rgb="FF9999FF"/>
      </patternFill>
    </fill>
    <fill>
      <patternFill patternType="solid">
        <fgColor rgb="FFFFFF99"/>
        <bgColor rgb="FFFFFFCC"/>
      </patternFill>
    </fill>
    <fill>
      <patternFill patternType="solid">
        <fgColor rgb="FF99CCFF"/>
        <bgColor rgb="FFCCCCFF"/>
      </patternFill>
    </fill>
    <fill>
      <patternFill patternType="solid">
        <fgColor rgb="FFFF99CC"/>
        <bgColor rgb="FFFF8080"/>
      </patternFill>
    </fill>
  </fills>
  <borders count="29">
    <border diagonalUp="false" diagonalDown="false">
      <left/>
      <right/>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medium"/>
      <right/>
      <top/>
      <bottom/>
      <diagonal/>
    </border>
    <border diagonalUp="false" diagonalDown="false">
      <left style="thin"/>
      <right/>
      <top/>
      <bottom/>
      <diagonal/>
    </border>
    <border diagonalUp="false" diagonalDown="false">
      <left style="thin"/>
      <right style="medium"/>
      <top/>
      <bottom/>
      <diagonal/>
    </border>
    <border diagonalUp="false" diagonalDown="false">
      <left style="medium"/>
      <right/>
      <top/>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top style="medium"/>
      <bottom/>
      <diagonal/>
    </border>
    <border diagonalUp="false" diagonalDown="false">
      <left/>
      <right/>
      <top style="medium"/>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top/>
      <bottom style="medium"/>
      <diagonal/>
    </border>
    <border diagonalUp="false" diagonalDown="false">
      <left style="medium"/>
      <right style="medium"/>
      <top style="thin"/>
      <bottom style="medium"/>
      <diagonal/>
    </border>
    <border diagonalUp="false" diagonalDown="false">
      <left/>
      <right style="medium"/>
      <top style="medium"/>
      <bottom/>
      <diagonal/>
    </border>
    <border diagonalUp="false" diagonalDown="false">
      <left/>
      <right style="medium"/>
      <top/>
      <bottom style="medium"/>
      <diagonal/>
    </border>
    <border diagonalUp="false" diagonalDown="false">
      <left/>
      <right style="medium"/>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20" applyFont="true" applyBorder="true" applyAlignment="true" applyProtection="false">
      <alignment horizontal="center" vertical="bottom" textRotation="0" wrapText="false" indent="0" shrinkToFit="false"/>
      <protection locked="true" hidden="false"/>
    </xf>
    <xf numFmtId="164" fontId="6" fillId="2" borderId="2" xfId="20" applyFont="true" applyBorder="true" applyAlignment="true" applyProtection="false">
      <alignment horizontal="center"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6" fillId="3" borderId="4" xfId="20" applyFont="true" applyBorder="true" applyAlignment="true" applyProtection="false">
      <alignment horizontal="center" vertical="bottom" textRotation="0" wrapText="false" indent="0" shrinkToFit="false"/>
      <protection locked="true" hidden="false"/>
    </xf>
    <xf numFmtId="164" fontId="7" fillId="4" borderId="5" xfId="0" applyFont="true" applyBorder="true" applyAlignment="true" applyProtection="false">
      <alignment horizontal="center" vertical="bottom" textRotation="0" wrapText="false" indent="0" shrinkToFit="false"/>
      <protection locked="true" hidden="false"/>
    </xf>
    <xf numFmtId="164" fontId="6" fillId="5" borderId="6" xfId="20" applyFont="true" applyBorder="true" applyAlignment="true" applyProtection="false">
      <alignment horizontal="left" vertical="bottom" textRotation="0" wrapText="false" indent="0" shrinkToFit="false"/>
      <protection locked="true" hidden="false"/>
    </xf>
    <xf numFmtId="165" fontId="8" fillId="0" borderId="7" xfId="20" applyFont="true" applyBorder="true" applyAlignment="false" applyProtection="false">
      <alignment horizontal="general" vertical="bottom" textRotation="0" wrapText="false" indent="0" shrinkToFit="false"/>
      <protection locked="true" hidden="false"/>
    </xf>
    <xf numFmtId="165" fontId="8" fillId="0" borderId="8" xfId="20" applyFont="true" applyBorder="true" applyAlignment="false" applyProtection="false">
      <alignment horizontal="general" vertical="bottom" textRotation="0" wrapText="false" indent="0" shrinkToFit="false"/>
      <protection locked="true" hidden="false"/>
    </xf>
    <xf numFmtId="164" fontId="6" fillId="5" borderId="9" xfId="20" applyFont="true" applyBorder="true" applyAlignment="true" applyProtection="false">
      <alignment horizontal="left" vertical="bottom" textRotation="0" wrapText="false" indent="0" shrinkToFit="false"/>
      <protection locked="true" hidden="false"/>
    </xf>
    <xf numFmtId="165" fontId="8" fillId="0" borderId="10" xfId="20" applyFont="true" applyBorder="true" applyAlignment="false" applyProtection="false">
      <alignment horizontal="general" vertical="bottom" textRotation="0" wrapText="false" indent="0" shrinkToFit="false"/>
      <protection locked="true" hidden="false"/>
    </xf>
    <xf numFmtId="165" fontId="8" fillId="0" borderId="11" xfId="20" applyFont="true" applyBorder="true" applyAlignment="false" applyProtection="false">
      <alignment horizontal="general" vertical="bottom" textRotation="0" wrapText="false" indent="0" shrinkToFit="false"/>
      <protection locked="true" hidden="false"/>
    </xf>
    <xf numFmtId="164" fontId="6" fillId="5" borderId="12" xfId="20" applyFont="true" applyBorder="true" applyAlignment="true" applyProtection="false">
      <alignment horizontal="left" vertical="bottom" textRotation="0" wrapText="false" indent="0" shrinkToFit="false"/>
      <protection locked="true" hidden="false"/>
    </xf>
    <xf numFmtId="165" fontId="8" fillId="0" borderId="13" xfId="20" applyFont="true" applyBorder="true" applyAlignment="false" applyProtection="false">
      <alignment horizontal="general" vertical="bottom" textRotation="0" wrapText="false" indent="0" shrinkToFit="false"/>
      <protection locked="true" hidden="false"/>
    </xf>
    <xf numFmtId="165" fontId="8" fillId="0" borderId="14" xfId="20" applyFont="true" applyBorder="true" applyAlignment="false" applyProtection="false">
      <alignment horizontal="general" vertical="bottom" textRotation="0" wrapText="false" indent="0" shrinkToFit="false"/>
      <protection locked="true" hidden="false"/>
    </xf>
    <xf numFmtId="165" fontId="8" fillId="0" borderId="15" xfId="20" applyFont="true" applyBorder="true" applyAlignment="false" applyProtection="false">
      <alignment horizontal="general" vertical="bottom" textRotation="0" wrapText="false" indent="0" shrinkToFit="false"/>
      <protection locked="true" hidden="false"/>
    </xf>
    <xf numFmtId="165" fontId="8" fillId="0" borderId="16" xfId="20" applyFont="true" applyBorder="true" applyAlignment="false" applyProtection="false">
      <alignment horizontal="general" vertical="bottom" textRotation="0" wrapText="false" indent="0" shrinkToFit="false"/>
      <protection locked="true" hidden="false"/>
    </xf>
    <xf numFmtId="164" fontId="7" fillId="4" borderId="17" xfId="0" applyFont="tru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5" fontId="9" fillId="0" borderId="19" xfId="20" applyFont="true" applyBorder="true" applyAlignment="false" applyProtection="false">
      <alignment horizontal="general" vertical="bottom" textRotation="0" wrapText="false" indent="0" shrinkToFit="false"/>
      <protection locked="true" hidden="false"/>
    </xf>
    <xf numFmtId="164" fontId="7" fillId="4" borderId="9" xfId="0" applyFont="true" applyBorder="true" applyAlignment="false" applyProtection="false">
      <alignment horizontal="general" vertical="bottom" textRotation="0" wrapText="false" indent="0" shrinkToFit="false"/>
      <protection locked="true" hidden="false"/>
    </xf>
    <xf numFmtId="165" fontId="9" fillId="0" borderId="20" xfId="20" applyFont="true" applyBorder="true" applyAlignment="false" applyProtection="false">
      <alignment horizontal="general" vertical="bottom" textRotation="0" wrapText="false" indent="0" shrinkToFit="false"/>
      <protection locked="true" hidden="false"/>
    </xf>
    <xf numFmtId="164" fontId="7" fillId="4" borderId="12"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5" fontId="9" fillId="0" borderId="22" xfId="2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6" fontId="7" fillId="0" borderId="2" xfId="0" applyFont="true" applyBorder="true" applyAlignment="false" applyProtection="false">
      <alignment horizontal="general" vertical="bottom" textRotation="0" wrapText="false" indent="0" shrinkToFit="false"/>
      <protection locked="true" hidden="false"/>
    </xf>
    <xf numFmtId="166" fontId="7" fillId="6" borderId="2" xfId="0" applyFont="true" applyBorder="true" applyAlignment="false" applyProtection="false">
      <alignment horizontal="general" vertical="bottom" textRotation="0" wrapText="false" indent="0" shrinkToFit="false"/>
      <protection locked="true" hidden="false"/>
    </xf>
    <xf numFmtId="166" fontId="7" fillId="6" borderId="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7" fontId="7" fillId="7" borderId="5" xfId="0" applyFont="true" applyBorder="true" applyAlignment="true" applyProtection="false">
      <alignment horizontal="general" vertical="bottom" textRotation="0" wrapText="false" indent="0" shrinkToFit="false"/>
      <protection locked="true" hidden="false"/>
    </xf>
    <xf numFmtId="164" fontId="0" fillId="4" borderId="17"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12" fillId="4" borderId="18" xfId="0" applyFont="true" applyBorder="true" applyAlignment="true" applyProtection="false">
      <alignment horizontal="center" vertical="bottom" textRotation="0" wrapText="false" indent="0" shrinkToFit="false"/>
      <protection locked="true" hidden="false"/>
    </xf>
    <xf numFmtId="164" fontId="0" fillId="4" borderId="23" xfId="0" applyFont="false" applyBorder="true" applyAlignment="false" applyProtection="false">
      <alignment horizontal="general" vertical="bottom" textRotation="0" wrapText="false" indent="0" shrinkToFit="false"/>
      <protection locked="true" hidden="false"/>
    </xf>
    <xf numFmtId="164" fontId="0" fillId="8" borderId="17" xfId="0" applyFont="false" applyBorder="true" applyAlignment="false" applyProtection="false">
      <alignment horizontal="general" vertical="bottom" textRotation="0" wrapText="false" indent="0" shrinkToFit="false"/>
      <protection locked="true" hidden="false"/>
    </xf>
    <xf numFmtId="164" fontId="0" fillId="8" borderId="18" xfId="0" applyFont="false" applyBorder="true" applyAlignment="false" applyProtection="false">
      <alignment horizontal="general" vertical="bottom" textRotation="0" wrapText="false" indent="0" shrinkToFit="false"/>
      <protection locked="true" hidden="false"/>
    </xf>
    <xf numFmtId="164" fontId="12" fillId="8" borderId="18" xfId="0" applyFont="true" applyBorder="true" applyAlignment="true" applyProtection="false">
      <alignment horizontal="center" vertical="bottom" textRotation="0" wrapText="false" indent="0" shrinkToFit="false"/>
      <protection locked="true" hidden="false"/>
    </xf>
    <xf numFmtId="164" fontId="0" fillId="8" borderId="23" xfId="0" applyFont="false" applyBorder="true" applyAlignment="false" applyProtection="false">
      <alignment horizontal="general" vertical="bottom" textRotation="0" wrapText="false" indent="0" shrinkToFit="false"/>
      <protection locked="true" hidden="false"/>
    </xf>
    <xf numFmtId="168" fontId="13" fillId="4" borderId="12" xfId="0" applyFont="true" applyBorder="true" applyAlignment="true" applyProtection="false">
      <alignment horizontal="center" vertical="bottom" textRotation="0" wrapText="false" indent="0" shrinkToFit="false"/>
      <protection locked="true" hidden="false"/>
    </xf>
    <xf numFmtId="168" fontId="13" fillId="4" borderId="21" xfId="0" applyFont="true" applyBorder="true" applyAlignment="true" applyProtection="false">
      <alignment horizontal="center" vertical="bottom" textRotation="0" wrapText="false" indent="0" shrinkToFit="false"/>
      <protection locked="true" hidden="false"/>
    </xf>
    <xf numFmtId="169" fontId="0" fillId="4" borderId="21" xfId="0" applyFont="false" applyBorder="true" applyAlignment="false" applyProtection="false">
      <alignment horizontal="general" vertical="bottom" textRotation="0" wrapText="false" indent="0" shrinkToFit="false"/>
      <protection locked="true" hidden="false"/>
    </xf>
    <xf numFmtId="169" fontId="13" fillId="4" borderId="24" xfId="0" applyFont="true" applyBorder="true" applyAlignment="true" applyProtection="false">
      <alignment horizontal="center" vertical="bottom" textRotation="0" wrapText="false" indent="0" shrinkToFit="false"/>
      <protection locked="true" hidden="false"/>
    </xf>
    <xf numFmtId="168" fontId="13" fillId="8" borderId="12" xfId="0" applyFont="true" applyBorder="true" applyAlignment="true" applyProtection="false">
      <alignment horizontal="center" vertical="bottom" textRotation="0" wrapText="false" indent="0" shrinkToFit="false"/>
      <protection locked="true" hidden="false"/>
    </xf>
    <xf numFmtId="168" fontId="13" fillId="8" borderId="21" xfId="0" applyFont="true" applyBorder="true" applyAlignment="true" applyProtection="false">
      <alignment horizontal="center" vertical="bottom" textRotation="0" wrapText="false" indent="0" shrinkToFit="false"/>
      <protection locked="true" hidden="false"/>
    </xf>
    <xf numFmtId="169" fontId="0" fillId="8" borderId="21" xfId="0" applyFont="false" applyBorder="true" applyAlignment="false" applyProtection="false">
      <alignment horizontal="general" vertical="bottom" textRotation="0" wrapText="false" indent="0" shrinkToFit="false"/>
      <protection locked="true" hidden="false"/>
    </xf>
    <xf numFmtId="169" fontId="13" fillId="8" borderId="24" xfId="0" applyFont="true" applyBorder="true" applyAlignment="true" applyProtection="false">
      <alignment horizontal="center" vertical="bottom" textRotation="0" wrapText="false" indent="0" shrinkToFit="false"/>
      <protection locked="true" hidden="false"/>
    </xf>
    <xf numFmtId="164" fontId="13" fillId="0" borderId="17" xfId="0" applyFont="true" applyBorder="true" applyAlignment="false" applyProtection="false">
      <alignment horizontal="general" vertical="bottom" textRotation="0" wrapText="false" indent="0" shrinkToFit="false"/>
      <protection locked="true" hidden="false"/>
    </xf>
    <xf numFmtId="169" fontId="13" fillId="0" borderId="18" xfId="0" applyFont="true" applyBorder="true" applyAlignment="true" applyProtection="false">
      <alignment horizontal="center" vertical="bottom" textRotation="0" wrapText="false" indent="0" shrinkToFit="false"/>
      <protection locked="true" hidden="false"/>
    </xf>
    <xf numFmtId="169" fontId="0" fillId="0" borderId="18" xfId="0" applyFont="false" applyBorder="true" applyAlignment="false" applyProtection="false">
      <alignment horizontal="general" vertical="bottom" textRotation="0" wrapText="false" indent="0" shrinkToFit="false"/>
      <protection locked="true" hidden="false"/>
    </xf>
    <xf numFmtId="169" fontId="13" fillId="0" borderId="23" xfId="0" applyFont="true" applyBorder="true" applyAlignment="true" applyProtection="false">
      <alignment horizontal="center" vertical="bottom" textRotation="0" wrapText="false" indent="0" shrinkToFit="false"/>
      <protection locked="true" hidden="false"/>
    </xf>
    <xf numFmtId="168" fontId="13" fillId="0" borderId="17" xfId="0" applyFont="true" applyBorder="true" applyAlignment="true" applyProtection="false">
      <alignment horizontal="center" vertical="bottom" textRotation="0" wrapText="false" indent="0" shrinkToFit="false"/>
      <protection locked="true" hidden="false"/>
    </xf>
    <xf numFmtId="168" fontId="13" fillId="0" borderId="18" xfId="0" applyFont="true" applyBorder="true" applyAlignment="true" applyProtection="false">
      <alignment horizontal="center" vertical="bottom" textRotation="0" wrapText="false" indent="0" shrinkToFit="false"/>
      <protection locked="true" hidden="false"/>
    </xf>
    <xf numFmtId="164" fontId="13" fillId="0" borderId="9" xfId="0" applyFont="true" applyBorder="true" applyAlignment="false" applyProtection="false">
      <alignment horizontal="general" vertical="bottom" textRotation="0" wrapText="false" indent="0" shrinkToFit="false"/>
      <protection locked="true" hidden="false"/>
    </xf>
    <xf numFmtId="169" fontId="14" fillId="0" borderId="0" xfId="0" applyFont="true" applyBorder="true" applyAlignment="true" applyProtection="false">
      <alignment horizontal="left" vertical="bottom" textRotation="0" wrapText="false" indent="0" shrinkToFit="false"/>
      <protection locked="true" hidden="false"/>
    </xf>
    <xf numFmtId="169" fontId="13"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9" fontId="13" fillId="0" borderId="25" xfId="0" applyFont="true" applyBorder="true" applyAlignment="true" applyProtection="false">
      <alignment horizontal="center" vertical="bottom" textRotation="0" wrapText="false" indent="0" shrinkToFit="false"/>
      <protection locked="true" hidden="false"/>
    </xf>
    <xf numFmtId="169" fontId="1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0" fontId="15" fillId="2" borderId="0" xfId="0" applyFont="true" applyBorder="true" applyAlignment="false" applyProtection="false">
      <alignment horizontal="general" vertical="bottom" textRotation="0" wrapText="false" indent="0" shrinkToFit="false"/>
      <protection locked="true" hidden="false"/>
    </xf>
    <xf numFmtId="170" fontId="15" fillId="0" borderId="0" xfId="0" applyFont="true" applyBorder="true" applyAlignment="false" applyProtection="false">
      <alignment horizontal="general" vertical="bottom" textRotation="0" wrapText="false" indent="0" shrinkToFit="false"/>
      <protection locked="true" hidden="false"/>
    </xf>
    <xf numFmtId="170" fontId="15" fillId="0" borderId="0" xfId="0" applyFont="true" applyBorder="true" applyAlignment="false" applyProtection="false">
      <alignment horizontal="general" vertical="bottom" textRotation="0" wrapText="false" indent="0" shrinkToFit="false"/>
      <protection locked="true" hidden="false"/>
    </xf>
    <xf numFmtId="170" fontId="15" fillId="0" borderId="25" xfId="0" applyFont="true" applyBorder="tru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15" fillId="0" borderId="9" xfId="0" applyFont="true" applyBorder="true" applyAlignment="false" applyProtection="false">
      <alignment horizontal="general" vertical="bottom" textRotation="0" wrapText="false" indent="0" shrinkToFit="false"/>
      <protection locked="true" hidden="false"/>
    </xf>
    <xf numFmtId="170" fontId="15" fillId="7" borderId="0" xfId="0" applyFont="true" applyBorder="true" applyAlignment="false" applyProtection="false">
      <alignment horizontal="general" vertical="bottom" textRotation="0" wrapText="false" indent="0" shrinkToFit="false"/>
      <protection locked="true" hidden="false"/>
    </xf>
    <xf numFmtId="171" fontId="15" fillId="0" borderId="0" xfId="0" applyFont="true" applyBorder="true" applyAlignment="false" applyProtection="false">
      <alignment horizontal="general" vertical="bottom" textRotation="0" wrapText="false" indent="0" shrinkToFit="false"/>
      <protection locked="true" hidden="false"/>
    </xf>
    <xf numFmtId="170" fontId="15" fillId="4" borderId="0" xfId="0" applyFont="true" applyBorder="true" applyAlignment="false" applyProtection="false">
      <alignment horizontal="general" vertical="bottom" textRotation="0" wrapText="false" indent="0" shrinkToFit="false"/>
      <protection locked="true" hidden="false"/>
    </xf>
    <xf numFmtId="171" fontId="15" fillId="0" borderId="0" xfId="0" applyFont="true" applyBorder="true" applyAlignment="false" applyProtection="false">
      <alignment horizontal="general" vertical="bottom" textRotation="0" wrapText="false" indent="0" shrinkToFit="false"/>
      <protection locked="true" hidden="false"/>
    </xf>
    <xf numFmtId="170" fontId="15" fillId="9" borderId="0" xfId="0" applyFont="true" applyBorder="true" applyAlignment="false" applyProtection="false">
      <alignment horizontal="general" vertical="bottom" textRotation="0" wrapText="false" indent="0" shrinkToFit="false"/>
      <protection locked="true" hidden="false"/>
    </xf>
    <xf numFmtId="170" fontId="15" fillId="10" borderId="0" xfId="0" applyFont="true" applyBorder="true" applyAlignment="false" applyProtection="false">
      <alignment horizontal="general" vertical="bottom" textRotation="0" wrapText="fals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70" fontId="15" fillId="0" borderId="27" xfId="0" applyFont="true" applyBorder="true" applyAlignment="false" applyProtection="false">
      <alignment horizontal="general" vertical="bottom" textRotation="0" wrapText="false" indent="0" shrinkToFit="false"/>
      <protection locked="true" hidden="false"/>
    </xf>
    <xf numFmtId="170" fontId="15" fillId="0" borderId="27" xfId="0" applyFont="true" applyBorder="true" applyAlignment="false" applyProtection="false">
      <alignment horizontal="general" vertical="bottom" textRotation="0" wrapText="false" indent="0" shrinkToFit="false"/>
      <protection locked="true" hidden="false"/>
    </xf>
    <xf numFmtId="170" fontId="15" fillId="0" borderId="21" xfId="0" applyFont="true" applyBorder="true" applyAlignment="false" applyProtection="false">
      <alignment horizontal="general" vertical="bottom" textRotation="0" wrapText="false" indent="0" shrinkToFit="false"/>
      <protection locked="true" hidden="false"/>
    </xf>
    <xf numFmtId="170" fontId="15" fillId="0" borderId="28" xfId="0" applyFont="true" applyBorder="true" applyAlignment="false" applyProtection="false">
      <alignment horizontal="general" vertical="bottom" textRotation="0" wrapText="false" indent="0" shrinkToFit="false"/>
      <protection locked="true" hidden="false"/>
    </xf>
    <xf numFmtId="170" fontId="15" fillId="0" borderId="26" xfId="0" applyFont="tru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0" fontId="15" fillId="0" borderId="18" xfId="0" applyFont="true" applyBorder="true" applyAlignment="false" applyProtection="false">
      <alignment horizontal="general" vertical="bottom" textRotation="0" wrapText="false" indent="0" shrinkToFit="false"/>
      <protection locked="true" hidden="false"/>
    </xf>
    <xf numFmtId="170" fontId="15" fillId="0" borderId="18" xfId="0" applyFont="true" applyBorder="true" applyAlignment="false" applyProtection="false">
      <alignment horizontal="general" vertical="bottom" textRotation="0" wrapText="false" indent="0" shrinkToFit="false"/>
      <protection locked="true" hidden="false"/>
    </xf>
    <xf numFmtId="170" fontId="15" fillId="0" borderId="23" xfId="0" applyFont="true" applyBorder="true" applyAlignment="false" applyProtection="false">
      <alignment horizontal="general" vertical="bottom" textRotation="0" wrapText="false" indent="0" shrinkToFit="false"/>
      <protection locked="true" hidden="false"/>
    </xf>
    <xf numFmtId="164" fontId="16" fillId="0" borderId="9" xfId="0" applyFont="true" applyBorder="true" applyAlignment="false" applyProtection="false">
      <alignment horizontal="general" vertical="bottom" textRotation="0" wrapText="false" indent="0" shrinkToFit="false"/>
      <protection locked="true" hidden="false"/>
    </xf>
    <xf numFmtId="170" fontId="16" fillId="0" borderId="0" xfId="0" applyFont="true" applyBorder="true" applyAlignment="false" applyProtection="false">
      <alignment horizontal="general" vertical="bottom" textRotation="0" wrapText="false" indent="0" shrinkToFit="false"/>
      <protection locked="true" hidden="false"/>
    </xf>
    <xf numFmtId="170" fontId="16" fillId="0" borderId="0" xfId="0" applyFont="true" applyBorder="true" applyAlignment="false" applyProtection="false">
      <alignment horizontal="general" vertical="bottom" textRotation="0" wrapText="false" indent="0" shrinkToFit="false"/>
      <protection locked="true" hidden="false"/>
    </xf>
    <xf numFmtId="170" fontId="16" fillId="0" borderId="0" xfId="0" applyFont="true" applyBorder="false" applyAlignment="false" applyProtection="false">
      <alignment horizontal="general" vertical="bottom" textRotation="0" wrapText="false" indent="0" shrinkToFit="false"/>
      <protection locked="true" hidden="false"/>
    </xf>
    <xf numFmtId="170" fontId="16" fillId="0" borderId="25" xfId="0" applyFont="true" applyBorder="true" applyAlignment="false" applyProtection="false">
      <alignment horizontal="general" vertical="bottom" textRotation="0" wrapText="false" indent="0" shrinkToFit="false"/>
      <protection locked="true" hidden="false"/>
    </xf>
    <xf numFmtId="170" fontId="16" fillId="0" borderId="9" xfId="0" applyFont="true" applyBorder="true" applyAlignment="false" applyProtection="false">
      <alignment horizontal="general" vertical="bottom" textRotation="0" wrapText="false" indent="0" shrinkToFit="false"/>
      <protection locked="true" hidden="false"/>
    </xf>
    <xf numFmtId="170" fontId="0" fillId="0" borderId="18" xfId="0" applyFont="false" applyBorder="true" applyAlignment="false" applyProtection="false">
      <alignment horizontal="general" vertical="bottom" textRotation="0" wrapText="false" indent="0" shrinkToFit="false"/>
      <protection locked="true" hidden="false"/>
    </xf>
    <xf numFmtId="170" fontId="0" fillId="0" borderId="18" xfId="0" applyFont="false" applyBorder="true" applyAlignment="false" applyProtection="false">
      <alignment horizontal="general" vertical="bottom" textRotation="0" wrapText="false" indent="0" shrinkToFit="false"/>
      <protection locked="true" hidden="false"/>
    </xf>
    <xf numFmtId="170" fontId="0" fillId="0" borderId="23" xfId="0" applyFont="false" applyBorder="true" applyAlignment="false" applyProtection="false">
      <alignment horizontal="general" vertical="bottom" textRotation="0" wrapText="false" indent="0" shrinkToFit="false"/>
      <protection locked="true" hidden="false"/>
    </xf>
    <xf numFmtId="170" fontId="13" fillId="0" borderId="17" xfId="0" applyFont="true" applyBorder="tru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13" fillId="4" borderId="12" xfId="0" applyFont="true" applyBorder="true" applyAlignment="true" applyProtection="false">
      <alignment horizontal="center" vertical="bottom" textRotation="0" wrapText="false" indent="0" shrinkToFit="false"/>
      <protection locked="true" hidden="false"/>
    </xf>
    <xf numFmtId="169" fontId="13" fillId="4" borderId="21" xfId="0" applyFont="true" applyBorder="true" applyAlignment="true" applyProtection="false">
      <alignment horizontal="center" vertical="bottom" textRotation="0" wrapText="false" indent="0" shrinkToFit="false"/>
      <protection locked="true" hidden="false"/>
    </xf>
    <xf numFmtId="171" fontId="15" fillId="2" borderId="0"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Greg Pos"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externalLink" Target="externalLinks/externalLink5.xml"/><Relationship Id="rId11" Type="http://schemas.openxmlformats.org/officeDocument/2006/relationships/externalLink" Target="externalLinks/externalLink6.xml"/><Relationship Id="rId12" Type="http://schemas.openxmlformats.org/officeDocument/2006/relationships/externalLink" Target="externalLinks/externalLink7.xml"/><Relationship Id="rId13" Type="http://schemas.openxmlformats.org/officeDocument/2006/relationships/externalLink" Target="externalLinks/externalLink8.xml"/><Relationship Id="rId14" Type="http://schemas.openxmlformats.org/officeDocument/2006/relationships/externalLink" Target="externalLinks/externalLink9.xml"/><Relationship Id="rId15" Type="http://schemas.openxmlformats.org/officeDocument/2006/relationships/externalLink" Target="externalLinks/externalLink10.xml"/><Relationship Id="rId16" Type="http://schemas.openxmlformats.org/officeDocument/2006/relationships/externalLink" Target="externalLinks/externalLink11.xml"/><Relationship Id="rId17" Type="http://schemas.openxmlformats.org/officeDocument/2006/relationships/externalLink" Target="externalLinks/externalLink12.xml"/><Relationship Id="rId18" Type="http://schemas.openxmlformats.org/officeDocument/2006/relationships/externalLink" Target="externalLinks/externalLink13.xml"/><Relationship Id="rId19" Type="http://schemas.openxmlformats.org/officeDocument/2006/relationships/externalLink" Target="externalLinks/externalLink14.xml"/><Relationship Id="rId20"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Risk%20Management/GASBOOK/01_rolls/CAN$0101.xls" TargetMode="External"/>
</Relationships>
</file>

<file path=xl/externalLinks/_rels/externalLink10.xml.rels><?xml version="1.0" encoding="UTF-8"?>
<Relationships xmlns="http://schemas.openxmlformats.org/package/2006/relationships"><Relationship Id="rId1" Type="http://schemas.openxmlformats.org/officeDocument/2006/relationships/externalLinkPath" Target="../../../../../../../../Risk%20Management/GASBOOK/00_rolls/CAN$0900.xls" TargetMode="External"/>
</Relationships>
</file>

<file path=xl/externalLinks/_rels/externalLink11.xml.rels><?xml version="1.0" encoding="UTF-8"?>
<Relationships xmlns="http://schemas.openxmlformats.org/package/2006/relationships"><Relationship Id="rId1" Type="http://schemas.openxmlformats.org/officeDocument/2006/relationships/externalLinkPath" Target="../../../../../../../../Risk%20Management/GASBOOK/00_rolls/CAN$1000.xls" TargetMode="External"/>
</Relationships>
</file>

<file path=xl/externalLinks/_rels/externalLink12.xml.rels><?xml version="1.0" encoding="UTF-8"?>
<Relationships xmlns="http://schemas.openxmlformats.org/package/2006/relationships"><Relationship Id="rId1" Type="http://schemas.openxmlformats.org/officeDocument/2006/relationships/externalLinkPath" Target="../../../../../../../../Risk%20Management/GASBOOK/00_rolls/CAN$1100.xls" TargetMode="External"/>
</Relationships>
</file>

<file path=xl/externalLinks/_rels/externalLink13.xml.rels><?xml version="1.0" encoding="UTF-8"?>
<Relationships xmlns="http://schemas.openxmlformats.org/package/2006/relationships"><Relationship Id="rId1" Type="http://schemas.openxmlformats.org/officeDocument/2006/relationships/externalLinkPath" Target="../../../../../../../../Risk%20Management/GASBOOK/CAN$1200.xls" TargetMode="External"/>
</Relationships>
</file>

<file path=xl/externalLinks/_rels/externalLink14.xml.rels><?xml version="1.0" encoding="UTF-8"?>
<Relationships xmlns="http://schemas.openxmlformats.org/package/2006/relationships"><Relationship Id="rId1" Type="http://schemas.openxmlformats.org/officeDocument/2006/relationships/externalLinkPath" Target="../../../../../../../../Risk%20Management/Intra%20Month/2001/Feb%2001/0228_CAN.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Risk%20Management/Intra%20Month/2001/Jan%2001/0131_CAN.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Risk%20Management/GASBOOK/01_rolls/CAN$0201.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Risk%20Management/GASBOOK/00_rolls/CAN$0300.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Risk%20Management/GASBOOK/00_rolls/CAN$0400.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Risk%20Management/GASBOOK/00_rolls/CAN$0500.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Risk%20Management/GASBOOK/00_rolls/CAN$0600.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Risk%20Management/GASBOOK/00_rolls/CAN$0700.xls" TargetMode="External"/>
</Relationships>
</file>

<file path=xl/externalLinks/_rels/externalLink9.xml.rels><?xml version="1.0" encoding="UTF-8"?>
<Relationships xmlns="http://schemas.openxmlformats.org/package/2006/relationships"><Relationship Id="rId1" Type="http://schemas.openxmlformats.org/officeDocument/2006/relationships/externalLinkPath" Target="../../../../../../../../Risk%20Management/GASBOOK/00_rolls/CAN$08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ipeBook"/>
      <sheetName val="PipeBookIndex"/>
      <sheetName val="PriceBC"/>
      <sheetName val="BC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810557.720000001</v>
          </cell>
        </row>
        <row r="56">
          <cell r="M56">
            <v>3582468</v>
          </cell>
        </row>
        <row r="56">
          <cell r="S56">
            <v>5706304</v>
          </cell>
        </row>
        <row r="56">
          <cell r="AA56">
            <v>-440421</v>
          </cell>
        </row>
        <row r="56">
          <cell r="AC56">
            <v>9658908.72</v>
          </cell>
        </row>
        <row r="56">
          <cell r="AE56">
            <v>6425091.53825339</v>
          </cell>
        </row>
      </sheetData>
      <sheetData sheetId="3"/>
      <sheetData sheetId="4"/>
      <sheetData sheetId="5"/>
      <sheetData sheetId="6"/>
      <sheetData sheetId="7"/>
      <sheetData sheetId="8"/>
      <sheetData sheetId="9"/>
      <sheetData sheetId="10"/>
      <sheetData sheetId="11"/>
      <sheetData sheetId="12"/>
      <sheetData sheetId="13"/>
      <sheetData sheetId="14">
        <row r="36">
          <cell r="F36">
            <v>1.5033106785317</v>
          </cell>
        </row>
      </sheetData>
      <sheetData sheetId="15"/>
      <sheetData sheetId="16"/>
      <sheetData sheetId="17"/>
      <sheetData sheetId="18"/>
      <sheetData sheetId="19">
        <row r="181">
          <cell r="O181">
            <v>5334.66817371649</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PriceEOL"/>
      <sheetName val="EOLIndex"/>
      <sheetName val="Options"/>
      <sheetName val="OptionsIndex"/>
      <sheetName val="OptionsProp"/>
      <sheetName val="Straddle"/>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1.48332068965517</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PriceBC"/>
      <sheetName val="BCIndex"/>
      <sheetName val="PriceEOL"/>
      <sheetName val="EOLIndex"/>
      <sheetName val="Options"/>
      <sheetName val="OptionsIndex"/>
      <sheetName val="OptionsProp"/>
      <sheetName val="Straddle"/>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6">
          <cell r="F36">
            <v>1.51079421579533</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riceBC"/>
      <sheetName val="BCIndex"/>
      <sheetName val="PriceEOL"/>
      <sheetName val="EOLIndex"/>
      <sheetName val="Options"/>
      <sheetName val="OptionsIndex"/>
      <sheetName val="Straddle"/>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6">
          <cell r="F36">
            <v>1.54291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riceBC"/>
      <sheetName val="BCIndex"/>
      <sheetName val="PriceEOL"/>
      <sheetName val="EOLIndex"/>
      <sheetName val="Options"/>
      <sheetName val="OptionsIndex"/>
      <sheetName val="Straddle"/>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6">
          <cell r="F36">
            <v>1.52373103448276</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AB P &amp; L Summary"/>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8">
          <cell r="I18">
            <v>-841902.25807877</v>
          </cell>
        </row>
        <row r="38">
          <cell r="I38">
            <v>1313859.540744</v>
          </cell>
        </row>
        <row r="50">
          <cell r="I50">
            <v>53498.9849999994</v>
          </cell>
        </row>
        <row r="54">
          <cell r="I54">
            <v>329145</v>
          </cell>
        </row>
        <row r="56">
          <cell r="I56">
            <v>127218</v>
          </cell>
        </row>
        <row r="63">
          <cell r="I63">
            <v>981819.267665228</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row r="22">
          <cell r="Q22">
            <v>32520.41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18">
          <cell r="I18">
            <v>2562489.78792051</v>
          </cell>
        </row>
        <row r="31">
          <cell r="P31">
            <v>4248324.06842098</v>
          </cell>
        </row>
        <row r="38">
          <cell r="I38">
            <v>4976317.1</v>
          </cell>
        </row>
        <row r="50">
          <cell r="I50">
            <v>-1226698.6</v>
          </cell>
        </row>
        <row r="54">
          <cell r="I54">
            <v>367</v>
          </cell>
        </row>
        <row r="56">
          <cell r="I56">
            <v>72660</v>
          </cell>
        </row>
        <row r="63">
          <cell r="I63">
            <v>6385135.28792051</v>
          </cell>
        </row>
      </sheetData>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JArnold PL"/>
      <sheetName val="PriceAlberta"/>
      <sheetName val="AlbertaIndex"/>
      <sheetName val="PipeBook"/>
      <sheetName val="PipeBookIndex"/>
      <sheetName val="PriceBC"/>
      <sheetName val="BC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-881957</v>
          </cell>
        </row>
        <row r="56">
          <cell r="M56">
            <v>3643562</v>
          </cell>
        </row>
        <row r="56">
          <cell r="S56">
            <v>182876</v>
          </cell>
        </row>
        <row r="56">
          <cell r="AA56">
            <v>3583108</v>
          </cell>
        </row>
        <row r="56">
          <cell r="AC56">
            <v>6527589</v>
          </cell>
        </row>
      </sheetData>
      <sheetData sheetId="3"/>
      <sheetData sheetId="4"/>
      <sheetData sheetId="5"/>
      <sheetData sheetId="6"/>
      <sheetData sheetId="7"/>
      <sheetData sheetId="8"/>
      <sheetData sheetId="9"/>
      <sheetData sheetId="10"/>
      <sheetData sheetId="11"/>
      <sheetData sheetId="12"/>
      <sheetData sheetId="13"/>
      <sheetData sheetId="14"/>
      <sheetData sheetId="15">
        <row r="36">
          <cell r="F36">
            <v>1.52223214285714</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ewDeals"/>
      <sheetName val="Report"/>
      <sheetName val="Price - Alberta"/>
      <sheetName val="Price - BC"/>
      <sheetName val="Options"/>
      <sheetName val="Straddle"/>
      <sheetName val="Options-Prop"/>
      <sheetName val="Alberta Index"/>
      <sheetName val="BC Index"/>
      <sheetName val="Options Index"/>
      <sheetName val="Spot 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row r="36">
          <cell r="F36">
            <v>1.46068064516129</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ront"/>
      <sheetName val="NewDeals"/>
      <sheetName val="Report"/>
      <sheetName val="Price Alberta"/>
      <sheetName val="Alberta Index"/>
      <sheetName val="Straddle"/>
      <sheetName val="PriceEOL"/>
      <sheetName val="EOLIndex"/>
      <sheetName val="Options"/>
      <sheetName val="Options 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1.46774861751152</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1.49431935483871</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Exotic"/>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1.47608666666667</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1.47781612903226</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1.48224677419355</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0.85"/>
    <col collapsed="false" customWidth="true" hidden="false" outlineLevel="0" max="2" min="2" style="0" width="11.13"/>
    <col collapsed="false" customWidth="true" hidden="false" outlineLevel="0" max="3" min="3" style="0" width="11.56"/>
    <col collapsed="false" customWidth="true" hidden="false" outlineLevel="0" max="6" min="6" style="0" width="10.41"/>
    <col collapsed="false" customWidth="true" hidden="false" outlineLevel="0" max="7" min="7" style="0" width="10.13"/>
    <col collapsed="false" customWidth="true" hidden="false" outlineLevel="0" max="8" min="8" style="0" width="10.28"/>
    <col collapsed="false" customWidth="true" hidden="false" outlineLevel="0" max="10" min="10" style="0" width="9.99"/>
    <col collapsed="false" customWidth="true" hidden="false" outlineLevel="0" max="11" min="11" style="0" width="10.13"/>
    <col collapsed="false" customWidth="true" hidden="false" outlineLevel="0" max="12" min="12" style="0" width="10.56"/>
    <col collapsed="false" customWidth="true" hidden="false" outlineLevel="0" max="13" min="13" style="0" width="2.13"/>
    <col collapsed="false" customWidth="true" hidden="false" outlineLevel="0" max="14" min="14" style="0" width="11.28"/>
    <col collapsed="false" customWidth="true" hidden="false" outlineLevel="0" max="15" min="15" style="0" width="11.7"/>
  </cols>
  <sheetData>
    <row r="1" customFormat="false" ht="18" hidden="false" customHeight="false" outlineLevel="0" collapsed="false">
      <c r="A1" s="1" t="s">
        <v>0</v>
      </c>
      <c r="M1" s="2"/>
    </row>
    <row r="2" customFormat="false" ht="16.5" hidden="false" customHeight="false" outlineLevel="0" collapsed="false">
      <c r="A2" s="3"/>
      <c r="M2" s="2"/>
    </row>
    <row r="3" customFormat="false" ht="20.25" hidden="false" customHeight="false" outlineLevel="0" collapsed="false">
      <c r="A3" s="3"/>
      <c r="B3" s="4"/>
      <c r="C3" s="5" t="s">
        <v>1</v>
      </c>
      <c r="D3" s="6"/>
      <c r="M3" s="2"/>
    </row>
    <row r="4" customFormat="false" ht="20.25" hidden="false" customHeight="false" outlineLevel="0" collapsed="false">
      <c r="A4" s="7" t="s">
        <v>2</v>
      </c>
      <c r="B4" s="8" t="s">
        <v>3</v>
      </c>
      <c r="C4" s="8" t="s">
        <v>4</v>
      </c>
      <c r="D4" s="8" t="s">
        <v>5</v>
      </c>
      <c r="M4" s="2"/>
    </row>
    <row r="5" customFormat="false" ht="19.5" hidden="false" customHeight="false" outlineLevel="0" collapsed="false">
      <c r="A5" s="9" t="s">
        <v>6</v>
      </c>
      <c r="B5" s="10" t="n">
        <v>4334.54060446654</v>
      </c>
      <c r="C5" s="10" t="n">
        <f aca="false">+('SUM-USD'!B9+'SUM-USD'!B11)/1000</f>
        <v>4335.00660446654</v>
      </c>
      <c r="D5" s="11" t="n">
        <f aca="false">+B5-C5</f>
        <v>-0.466000000002168</v>
      </c>
    </row>
    <row r="6" customFormat="false" ht="19.5" hidden="false" customHeight="false" outlineLevel="0" collapsed="false">
      <c r="A6" s="12" t="s">
        <v>7</v>
      </c>
      <c r="B6" s="13" t="n">
        <v>-815.998061823207</v>
      </c>
      <c r="C6" s="13" t="n">
        <f aca="false">+('SUM-USD'!B16+'SUM-USD'!B17)/1000</f>
        <v>-815.753933975756</v>
      </c>
      <c r="D6" s="14" t="n">
        <f aca="false">+B6-C6</f>
        <v>-0.244127847451068</v>
      </c>
    </row>
    <row r="7" customFormat="false" ht="19.5" hidden="false" customHeight="false" outlineLevel="0" collapsed="false">
      <c r="A7" s="12" t="s">
        <v>8</v>
      </c>
      <c r="B7" s="13" t="n">
        <v>2383.0523198964</v>
      </c>
      <c r="C7" s="13" t="n">
        <f aca="false">+'SUM-USD'!B10/1000</f>
        <v>2383.0523198964</v>
      </c>
      <c r="D7" s="14" t="n">
        <f aca="false">+B7-C7</f>
        <v>0</v>
      </c>
    </row>
    <row r="8" customFormat="false" ht="20.25" hidden="false" customHeight="false" outlineLevel="0" collapsed="false">
      <c r="A8" s="15" t="s">
        <v>9</v>
      </c>
      <c r="B8" s="16" t="n">
        <v>0.244127847450969</v>
      </c>
      <c r="C8" s="16" t="n">
        <v>0</v>
      </c>
      <c r="D8" s="17" t="n">
        <f aca="false">+B8-C8</f>
        <v>0.244127847450969</v>
      </c>
    </row>
    <row r="9" customFormat="false" ht="19.5" hidden="false" customHeight="false" outlineLevel="0" collapsed="false">
      <c r="A9" s="9" t="s">
        <v>10</v>
      </c>
      <c r="B9" s="10" t="n">
        <v>3518.54254264333</v>
      </c>
      <c r="C9" s="10" t="n">
        <f aca="false">+C5+C6</f>
        <v>3519.25267049078</v>
      </c>
      <c r="D9" s="11" t="n">
        <f aca="false">+B9-C9</f>
        <v>-0.71012784745335</v>
      </c>
    </row>
    <row r="10" customFormat="false" ht="19.5" hidden="false" customHeight="false" outlineLevel="0" collapsed="false">
      <c r="A10" s="12" t="s">
        <v>11</v>
      </c>
      <c r="B10" s="13" t="n">
        <v>3310.23864266062</v>
      </c>
      <c r="C10" s="13" t="n">
        <f aca="false">+'SUM-USD'!B15/1000</f>
        <v>3310.23864266062</v>
      </c>
      <c r="D10" s="14" t="n">
        <f aca="false">+B10-C10</f>
        <v>0</v>
      </c>
    </row>
    <row r="11" customFormat="false" ht="19.5" hidden="false" customHeight="false" outlineLevel="0" collapsed="false">
      <c r="A11" s="12" t="s">
        <v>12</v>
      </c>
      <c r="B11" s="13" t="n">
        <v>1705.50603713179</v>
      </c>
      <c r="C11" s="13" t="n">
        <f aca="false">+'SUM-USD'!B14/1000</f>
        <v>1704.56434888317</v>
      </c>
      <c r="D11" s="14" t="n">
        <f aca="false">+B11-C11</f>
        <v>0.941688248620494</v>
      </c>
    </row>
    <row r="12" customFormat="false" ht="19.5" hidden="false" customHeight="false" outlineLevel="0" collapsed="false">
      <c r="A12" s="12" t="s">
        <v>13</v>
      </c>
      <c r="B12" s="13" t="n">
        <v>0</v>
      </c>
      <c r="C12" s="13" t="n">
        <v>0</v>
      </c>
      <c r="D12" s="14" t="n">
        <f aca="false">+B12-C12</f>
        <v>0</v>
      </c>
    </row>
    <row r="13" customFormat="false" ht="19.5" hidden="false" customHeight="false" outlineLevel="0" collapsed="false">
      <c r="A13" s="12" t="s">
        <v>14</v>
      </c>
      <c r="B13" s="13" t="n">
        <v>2383.29644774385</v>
      </c>
      <c r="C13" s="13" t="n">
        <f aca="false">+C8+C7</f>
        <v>2383.0523198964</v>
      </c>
      <c r="D13" s="14" t="n">
        <f aca="false">+B13-C13</f>
        <v>0.244127847451637</v>
      </c>
    </row>
    <row r="14" customFormat="false" ht="19.5" hidden="false" customHeight="false" outlineLevel="0" collapsed="false">
      <c r="A14" s="12" t="s">
        <v>15</v>
      </c>
      <c r="B14" s="13" t="n">
        <v>5334.66817371649</v>
      </c>
      <c r="C14" s="13" t="n">
        <f aca="false">+C20</f>
        <v>5356.30070148631</v>
      </c>
      <c r="D14" s="14" t="n">
        <f aca="false">+B14-C14</f>
        <v>-21.632527769817</v>
      </c>
    </row>
    <row r="15" customFormat="false" ht="19.5" hidden="false" customHeight="false" outlineLevel="0" collapsed="false">
      <c r="A15" s="12" t="s">
        <v>16</v>
      </c>
      <c r="B15" s="18" t="n">
        <v>-244.63406350522</v>
      </c>
      <c r="C15" s="18" t="n">
        <f aca="false">+'SUM-USD'!B33/1000</f>
        <v>-244.63406350522</v>
      </c>
      <c r="D15" s="19" t="n">
        <f aca="false">+B15-C15</f>
        <v>0</v>
      </c>
    </row>
    <row r="16" customFormat="false" ht="20.25" hidden="false" customHeight="false" outlineLevel="0" collapsed="false">
      <c r="A16" s="15" t="s">
        <v>17</v>
      </c>
      <c r="B16" s="16" t="n">
        <f aca="false">+SUM(B9:B15)</f>
        <v>16007.6177803909</v>
      </c>
      <c r="C16" s="16" t="n">
        <f aca="false">+SUM(C9:C15)</f>
        <v>16028.7746199121</v>
      </c>
      <c r="D16" s="17" t="n">
        <f aca="false">SUM(D5:D15)</f>
        <v>-21.6228395212005</v>
      </c>
    </row>
    <row r="17" customFormat="false" ht="13.5" hidden="false" customHeight="false" outlineLevel="0" collapsed="false"/>
    <row r="18" customFormat="false" ht="15" hidden="false" customHeight="false" outlineLevel="0" collapsed="false">
      <c r="A18" s="20" t="s">
        <v>18</v>
      </c>
      <c r="B18" s="21"/>
      <c r="C18" s="22" t="n">
        <f aca="false">+'[1]Orig Sched'!$O$181</f>
        <v>5334.66817371649</v>
      </c>
    </row>
    <row r="19" customFormat="false" ht="15" hidden="false" customHeight="false" outlineLevel="0" collapsed="false">
      <c r="A19" s="23" t="s">
        <v>19</v>
      </c>
      <c r="B19" s="2"/>
      <c r="C19" s="24" t="n">
        <f aca="false">+[2]Input!$Q$22/'SUM-USD'!B3/1000</f>
        <v>21.6325277698173</v>
      </c>
    </row>
    <row r="20" customFormat="false" ht="15.75" hidden="false" customHeight="false" outlineLevel="0" collapsed="false">
      <c r="A20" s="25" t="s">
        <v>20</v>
      </c>
      <c r="B20" s="26"/>
      <c r="C20" s="27" t="n">
        <f aca="false">+C19+C18</f>
        <v>5356.30070148631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47"/>
  <sheetViews>
    <sheetView showFormulas="false" showGridLines="true" showRowColHeaders="true" showZeros="true" rightToLeft="false" tabSelected="true" showOutlineSymbols="true" defaultGridColor="true" view="normal" topLeftCell="A24" colorId="64" zoomScale="100" zoomScaleNormal="100" zoomScalePageLayoutView="100" workbookViewId="0">
      <selection pane="topLeft" activeCell="B43" activeCellId="0" sqref="B43"/>
    </sheetView>
  </sheetViews>
  <sheetFormatPr defaultColWidth="9.0546875" defaultRowHeight="12.75" customHeight="true" zeroHeight="false" outlineLevelRow="0" outlineLevelCol="0"/>
  <cols>
    <col collapsed="false" customWidth="true" hidden="false" outlineLevel="0" max="1" min="1" style="0" width="22.28"/>
    <col collapsed="false" customWidth="true" hidden="false" outlineLevel="0" max="2" min="2" style="0" width="10.28"/>
    <col collapsed="false" customWidth="true" hidden="false" outlineLevel="0" max="3" min="3" style="0" width="9.85"/>
    <col collapsed="false" customWidth="true" hidden="false" outlineLevel="0" max="5" min="4" style="0" width="9.56"/>
    <col collapsed="false" customWidth="true" hidden="false" outlineLevel="0" max="6" min="6" style="0" width="9.85"/>
    <col collapsed="false" customWidth="true" hidden="false" outlineLevel="0" max="7" min="7" style="0" width="9.56"/>
    <col collapsed="false" customWidth="true" hidden="false" outlineLevel="0" max="8" min="8" style="0" width="10.41"/>
    <col collapsed="false" customWidth="true" hidden="false" outlineLevel="0" max="9" min="9" style="0" width="9.56"/>
    <col collapsed="false" customWidth="true" hidden="false" outlineLevel="0" max="13" min="10" style="0" width="10.13"/>
    <col collapsed="false" customWidth="true" hidden="false" outlineLevel="0" max="14" min="14" style="2" width="0.99"/>
    <col collapsed="false" customWidth="true" hidden="false" outlineLevel="0" max="15" min="15" style="0" width="10.71"/>
    <col collapsed="false" customWidth="true" hidden="false" outlineLevel="0" max="16" min="16" style="0" width="1.7"/>
    <col collapsed="false" customWidth="true" hidden="false" outlineLevel="0" max="17" min="17" style="0" width="9.85"/>
    <col collapsed="false" customWidth="true" hidden="false" outlineLevel="0" max="18" min="18" style="0" width="10.28"/>
    <col collapsed="false" customWidth="true" hidden="false" outlineLevel="0" max="19" min="19" style="0" width="11.13"/>
    <col collapsed="false" customWidth="true" hidden="false" outlineLevel="0" max="20" min="20" style="0" width="10.99"/>
    <col collapsed="false" customWidth="true" hidden="false" outlineLevel="0" max="21" min="21" style="0" width="1.99"/>
    <col collapsed="false" customWidth="true" hidden="false" outlineLevel="0" max="22" min="22" style="0" width="9.85"/>
  </cols>
  <sheetData>
    <row r="1" customFormat="false" ht="15.75" hidden="false" customHeight="false" outlineLevel="0" collapsed="false">
      <c r="A1" s="3" t="s">
        <v>21</v>
      </c>
    </row>
    <row r="2" customFormat="false" ht="16.5" hidden="false" customHeight="false" outlineLevel="0" collapsed="false">
      <c r="A2" s="3"/>
    </row>
    <row r="3" customFormat="false" ht="16.5" hidden="false" customHeight="false" outlineLevel="0" collapsed="false">
      <c r="A3" s="28" t="s">
        <v>22</v>
      </c>
      <c r="B3" s="29" t="n">
        <f aca="false">+[1]SpotRates!$F$36</f>
        <v>1.5033106785317</v>
      </c>
      <c r="C3" s="29" t="n">
        <f aca="false">+[3]SpotRates!$F$36</f>
        <v>1.52223214285714</v>
      </c>
      <c r="D3" s="30" t="n">
        <f aca="false">+'[4]Spot Rates'!$F$36</f>
        <v>1.46068064516129</v>
      </c>
      <c r="E3" s="30" t="n">
        <f aca="false">+[5]SpotRates!$F$36</f>
        <v>1.46774861751152</v>
      </c>
      <c r="F3" s="30" t="n">
        <f aca="false">+[6]SpotRates!$F$36</f>
        <v>1.49431935483871</v>
      </c>
      <c r="G3" s="30" t="n">
        <f aca="false">+[7]SpotRates!$F$36</f>
        <v>1.47608666666667</v>
      </c>
      <c r="H3" s="30" t="n">
        <f aca="false">+[8]SpotRates!$F$36</f>
        <v>1.47781612903226</v>
      </c>
      <c r="I3" s="30" t="n">
        <f aca="false">+[9]SpotRates!$F$36</f>
        <v>1.48224677419355</v>
      </c>
      <c r="J3" s="30" t="n">
        <f aca="false">+[10]SpotRates!$F$36</f>
        <v>1.48332068965517</v>
      </c>
      <c r="K3" s="30" t="n">
        <f aca="false">+[11]SpotRates!$F$36</f>
        <v>1.51079421579533</v>
      </c>
      <c r="L3" s="30" t="n">
        <f aca="false">+[12]SpotRates!$F$36</f>
        <v>1.54291</v>
      </c>
      <c r="M3" s="31" t="n">
        <f aca="false">+[13]SpotRates!$F$36</f>
        <v>1.52373103448276</v>
      </c>
    </row>
    <row r="4" customFormat="false" ht="13.5" hidden="false" customHeight="false" outlineLevel="0" collapsed="false">
      <c r="L4" s="32"/>
      <c r="M4" s="32"/>
      <c r="O4" s="33" t="n">
        <f aca="false">+'SUM - C$'!O17/'SUM-USD'!O19</f>
        <v>0</v>
      </c>
    </row>
    <row r="5" customFormat="false" ht="12.75" hidden="false" customHeight="false" outlineLevel="0" collapsed="false">
      <c r="B5" s="34"/>
      <c r="C5" s="35"/>
      <c r="D5" s="35"/>
      <c r="E5" s="35"/>
      <c r="F5" s="35"/>
      <c r="G5" s="35"/>
      <c r="H5" s="35"/>
      <c r="I5" s="35"/>
      <c r="J5" s="35"/>
      <c r="K5" s="36"/>
      <c r="L5" s="36"/>
      <c r="M5" s="36"/>
      <c r="N5" s="35"/>
      <c r="O5" s="37"/>
      <c r="Q5" s="38"/>
      <c r="R5" s="39"/>
      <c r="S5" s="39"/>
      <c r="T5" s="40" t="s">
        <v>23</v>
      </c>
      <c r="U5" s="39"/>
      <c r="V5" s="41"/>
    </row>
    <row r="6" customFormat="false" ht="13.5" hidden="false" customHeight="false" outlineLevel="0" collapsed="false">
      <c r="B6" s="42" t="n">
        <f aca="false">+'SUM - C$'!B4</f>
        <v>36892</v>
      </c>
      <c r="C6" s="43" t="n">
        <f aca="false">+'SUM - C$'!C4</f>
        <v>36923</v>
      </c>
      <c r="D6" s="43" t="n">
        <f aca="false">+'SUM - C$'!D4</f>
        <v>36951</v>
      </c>
      <c r="E6" s="43" t="n">
        <f aca="false">+'SUM - C$'!E4</f>
        <v>36982</v>
      </c>
      <c r="F6" s="43" t="n">
        <f aca="false">+'SUM - C$'!F4</f>
        <v>37012</v>
      </c>
      <c r="G6" s="43" t="n">
        <f aca="false">+'SUM - C$'!G4</f>
        <v>37043</v>
      </c>
      <c r="H6" s="43" t="n">
        <f aca="false">+'SUM - C$'!H4</f>
        <v>37073</v>
      </c>
      <c r="I6" s="43" t="n">
        <f aca="false">+'SUM - C$'!I4</f>
        <v>37104</v>
      </c>
      <c r="J6" s="43" t="n">
        <f aca="false">+'SUM - C$'!J4</f>
        <v>37135</v>
      </c>
      <c r="K6" s="43" t="n">
        <f aca="false">+'SUM - C$'!K4</f>
        <v>37165</v>
      </c>
      <c r="L6" s="43" t="n">
        <f aca="false">+'SUM - C$'!L4</f>
        <v>37196</v>
      </c>
      <c r="M6" s="43" t="n">
        <f aca="false">+'SUM - C$'!M4</f>
        <v>37226</v>
      </c>
      <c r="N6" s="44"/>
      <c r="O6" s="45" t="s">
        <v>17</v>
      </c>
      <c r="Q6" s="46" t="s">
        <v>24</v>
      </c>
      <c r="R6" s="47" t="s">
        <v>25</v>
      </c>
      <c r="S6" s="47" t="s">
        <v>26</v>
      </c>
      <c r="T6" s="47" t="s">
        <v>27</v>
      </c>
      <c r="U6" s="48"/>
      <c r="V6" s="49" t="s">
        <v>17</v>
      </c>
    </row>
    <row r="7" customFormat="false" ht="12.75" hidden="false" customHeight="false" outlineLevel="0" collapsed="false">
      <c r="A7" s="50" t="s">
        <v>28</v>
      </c>
      <c r="B7" s="51"/>
      <c r="C7" s="51"/>
      <c r="D7" s="51"/>
      <c r="E7" s="51"/>
      <c r="F7" s="51"/>
      <c r="G7" s="51"/>
      <c r="H7" s="51"/>
      <c r="I7" s="51"/>
      <c r="J7" s="51"/>
      <c r="K7" s="51"/>
      <c r="L7" s="51"/>
      <c r="M7" s="51"/>
      <c r="N7" s="52"/>
      <c r="O7" s="53"/>
      <c r="Q7" s="54" t="str">
        <f aca="false">+A7</f>
        <v>BY BOOK:</v>
      </c>
      <c r="R7" s="55"/>
      <c r="S7" s="55"/>
      <c r="T7" s="55"/>
      <c r="U7" s="52"/>
      <c r="V7" s="53"/>
    </row>
    <row r="8" customFormat="false" ht="12.75" hidden="false" customHeight="false" outlineLevel="0" collapsed="false">
      <c r="A8" s="56" t="s">
        <v>29</v>
      </c>
      <c r="B8" s="57"/>
      <c r="C8" s="58"/>
      <c r="D8" s="58"/>
      <c r="E8" s="58"/>
      <c r="F8" s="58"/>
      <c r="G8" s="58"/>
      <c r="H8" s="58"/>
      <c r="I8" s="58"/>
      <c r="J8" s="58"/>
      <c r="K8" s="58"/>
      <c r="L8" s="58"/>
      <c r="M8" s="58"/>
      <c r="N8" s="59"/>
      <c r="O8" s="60"/>
      <c r="Q8" s="61"/>
      <c r="R8" s="58"/>
      <c r="S8" s="58"/>
      <c r="T8" s="58"/>
      <c r="U8" s="59"/>
      <c r="V8" s="60"/>
    </row>
    <row r="9" customFormat="false" ht="12.75" hidden="false" customHeight="false" outlineLevel="0" collapsed="false">
      <c r="A9" s="62" t="str">
        <f aca="false">+'SUM - C$'!A7</f>
        <v>Alberta Term</v>
      </c>
      <c r="B9" s="63" t="n">
        <f aca="false">+'SUM - C$'!B7/'SUM-USD'!B$3</f>
        <v>539181.774981922</v>
      </c>
      <c r="C9" s="63" t="n">
        <f aca="false">+'SUM - C$'!C7/'SUM-USD'!C$3</f>
        <v>-579384.034254208</v>
      </c>
      <c r="D9" s="64" t="n">
        <f aca="false">+'SUM - C$'!D7/'SUM-USD'!D$3</f>
        <v>0</v>
      </c>
      <c r="E9" s="64" t="n">
        <f aca="false">+'SUM - C$'!E7/'SUM-USD'!E$3</f>
        <v>0</v>
      </c>
      <c r="F9" s="64" t="n">
        <f aca="false">+'SUM - C$'!F7/'SUM-USD'!F$3</f>
        <v>0</v>
      </c>
      <c r="G9" s="64" t="n">
        <f aca="false">+'SUM - C$'!G7/'SUM-USD'!G$3</f>
        <v>0</v>
      </c>
      <c r="H9" s="64" t="n">
        <f aca="false">+'SUM - C$'!H7/'SUM-USD'!H$3</f>
        <v>0</v>
      </c>
      <c r="I9" s="64" t="n">
        <f aca="false">+'SUM - C$'!I7/'SUM-USD'!I$3</f>
        <v>0</v>
      </c>
      <c r="J9" s="64" t="n">
        <f aca="false">+'SUM - C$'!J7/'SUM-USD'!J$3</f>
        <v>0</v>
      </c>
      <c r="K9" s="64" t="n">
        <f aca="false">+'SUM - C$'!K7/'SUM-USD'!K$3</f>
        <v>0</v>
      </c>
      <c r="L9" s="64" t="n">
        <f aca="false">+'SUM - C$'!L7/'SUM-USD'!L$3</f>
        <v>0</v>
      </c>
      <c r="M9" s="64" t="n">
        <f aca="false">+'SUM - C$'!M7/'SUM-USD'!M$3</f>
        <v>0</v>
      </c>
      <c r="N9" s="65"/>
      <c r="O9" s="66" t="n">
        <f aca="false">SUM(B9:N9)</f>
        <v>-40202.2592722862</v>
      </c>
      <c r="P9" s="67"/>
      <c r="Q9" s="68" t="n">
        <f aca="false">+SUM(B9:D9)</f>
        <v>-40202.2592722862</v>
      </c>
      <c r="R9" s="65" t="n">
        <f aca="false">+SUM(E9:G9)</f>
        <v>0</v>
      </c>
      <c r="S9" s="65" t="n">
        <f aca="false">+SUM(H9:J9)</f>
        <v>0</v>
      </c>
      <c r="T9" s="65" t="n">
        <f aca="false">+SUM(K9:M9)</f>
        <v>0</v>
      </c>
      <c r="U9" s="65"/>
      <c r="V9" s="66" t="n">
        <f aca="false">SUM(Q9:U9)</f>
        <v>-40202.2592722862</v>
      </c>
    </row>
    <row r="10" customFormat="false" ht="12.75" hidden="false" customHeight="false" outlineLevel="0" collapsed="false">
      <c r="A10" s="62" t="str">
        <f aca="false">+'SUM - C$'!A8</f>
        <v>BC Term</v>
      </c>
      <c r="B10" s="69" t="n">
        <f aca="false">+'SUM - C$'!B8/'SUM-USD'!B$3</f>
        <v>2383052.3198964</v>
      </c>
      <c r="C10" s="69" t="n">
        <f aca="false">+'SUM - C$'!C8/'SUM-USD'!C$3</f>
        <v>2393565.27655581</v>
      </c>
      <c r="D10" s="64" t="n">
        <f aca="false">+'SUM - C$'!D8/'SUM-USD'!D$3</f>
        <v>0</v>
      </c>
      <c r="E10" s="64" t="n">
        <f aca="false">+'SUM - C$'!E8/'SUM-USD'!E$3</f>
        <v>0</v>
      </c>
      <c r="F10" s="64" t="n">
        <f aca="false">+'SUM - C$'!F8/'SUM-USD'!F$3</f>
        <v>0</v>
      </c>
      <c r="G10" s="64" t="n">
        <f aca="false">+'SUM - C$'!G8/'SUM-USD'!G$3</f>
        <v>0</v>
      </c>
      <c r="H10" s="64" t="n">
        <f aca="false">+'SUM - C$'!H8/'SUM-USD'!H$3</f>
        <v>0</v>
      </c>
      <c r="I10" s="64" t="n">
        <f aca="false">+'SUM - C$'!I8/'SUM-USD'!I$3</f>
        <v>0</v>
      </c>
      <c r="J10" s="64" t="n">
        <f aca="false">+'SUM - C$'!J8/'SUM-USD'!J$3</f>
        <v>0</v>
      </c>
      <c r="K10" s="64" t="n">
        <f aca="false">+'SUM - C$'!K8/'SUM-USD'!K$3</f>
        <v>0</v>
      </c>
      <c r="L10" s="70" t="n">
        <f aca="false">+'SUM - C$'!L8/'SUM-USD'!L$3</f>
        <v>0</v>
      </c>
      <c r="M10" s="70" t="n">
        <f aca="false">+'SUM - C$'!M8/'SUM-USD'!M$3</f>
        <v>0</v>
      </c>
      <c r="N10" s="65"/>
      <c r="O10" s="66" t="n">
        <f aca="false">SUM(B10:N10)</f>
        <v>4776617.59645221</v>
      </c>
      <c r="P10" s="67"/>
      <c r="Q10" s="68" t="n">
        <f aca="false">+SUM(B10:D10)</f>
        <v>4776617.59645221</v>
      </c>
      <c r="R10" s="65" t="n">
        <f aca="false">+SUM(E10:G10)</f>
        <v>0</v>
      </c>
      <c r="S10" s="65" t="n">
        <f aca="false">+SUM(H10:J10)</f>
        <v>0</v>
      </c>
      <c r="T10" s="65" t="n">
        <f aca="false">+SUM(K10:M10)</f>
        <v>0</v>
      </c>
      <c r="U10" s="65"/>
      <c r="V10" s="66" t="n">
        <f aca="false">SUM(Q10:U10)</f>
        <v>4776617.59645221</v>
      </c>
    </row>
    <row r="11" customFormat="false" ht="12.75" hidden="false" customHeight="false" outlineLevel="0" collapsed="false">
      <c r="A11" s="62" t="str">
        <f aca="false">+'SUM - C$'!A9</f>
        <v>Pipe Book - Term</v>
      </c>
      <c r="B11" s="63" t="n">
        <f aca="false">+'SUM - C$'!B9/'SUM-USD'!B$3</f>
        <v>3795824.82948462</v>
      </c>
      <c r="C11" s="63" t="n">
        <f aca="false">+'SUM - C$'!C9/'SUM-USD'!C$3</f>
        <v>120136.735292392</v>
      </c>
      <c r="D11" s="64" t="n">
        <f aca="false">+'SUM - C$'!D9/'SUM-USD'!D$3</f>
        <v>0</v>
      </c>
      <c r="E11" s="64" t="n">
        <f aca="false">+'SUM - C$'!E9/'SUM-USD'!E$3</f>
        <v>0</v>
      </c>
      <c r="F11" s="64" t="n">
        <f aca="false">+'SUM - C$'!F9/'SUM-USD'!F$3</f>
        <v>0</v>
      </c>
      <c r="G11" s="64" t="n">
        <f aca="false">+'SUM - C$'!G9/'SUM-USD'!G$3</f>
        <v>0</v>
      </c>
      <c r="H11" s="64" t="n">
        <f aca="false">+'SUM - C$'!H9/'SUM-USD'!H$3</f>
        <v>0</v>
      </c>
      <c r="I11" s="64" t="n">
        <f aca="false">+'SUM - C$'!I9/'SUM-USD'!I$3</f>
        <v>0</v>
      </c>
      <c r="J11" s="64" t="n">
        <f aca="false">+'SUM - C$'!J9/'SUM-USD'!J$3</f>
        <v>0</v>
      </c>
      <c r="K11" s="64" t="n">
        <f aca="false">+'SUM - C$'!K9/'SUM-USD'!K$3</f>
        <v>0</v>
      </c>
      <c r="L11" s="64" t="n">
        <f aca="false">+'SUM - C$'!L9/'SUM-USD'!L$3</f>
        <v>0</v>
      </c>
      <c r="M11" s="64" t="n">
        <f aca="false">+'SUM - C$'!M9/'SUM-USD'!M$3</f>
        <v>0</v>
      </c>
      <c r="N11" s="65"/>
      <c r="O11" s="66" t="n">
        <f aca="false">SUM(B11:N11)</f>
        <v>3915961.56477701</v>
      </c>
      <c r="P11" s="67"/>
      <c r="Q11" s="68" t="n">
        <f aca="false">+SUM(B11:D11)</f>
        <v>3915961.56477701</v>
      </c>
      <c r="R11" s="65" t="n">
        <f aca="false">+SUM(E11:G11)</f>
        <v>0</v>
      </c>
      <c r="S11" s="65" t="n">
        <f aca="false">+SUM(H11:J11)</f>
        <v>0</v>
      </c>
      <c r="T11" s="65" t="n">
        <f aca="false">+SUM(K11:M11)</f>
        <v>0</v>
      </c>
      <c r="U11" s="65"/>
      <c r="V11" s="66" t="n">
        <f aca="false">SUM(Q11:U11)</f>
        <v>3915961.56477701</v>
      </c>
    </row>
    <row r="12" customFormat="false" ht="12.75" hidden="false" customHeight="false" outlineLevel="0" collapsed="false">
      <c r="A12" s="62" t="str">
        <f aca="false">+'SUM - C$'!A10</f>
        <v>Options</v>
      </c>
      <c r="B12" s="71" t="n">
        <f aca="false">+'SUM - C$'!B10/'SUM-USD'!B$3</f>
        <v>-292967.386109546</v>
      </c>
      <c r="C12" s="71" t="n">
        <f aca="false">+'SUM - C$'!C10/'SUM-USD'!C$3</f>
        <v>2353851.22881107</v>
      </c>
      <c r="D12" s="64" t="n">
        <f aca="false">+'SUM - C$'!D10/'SUM-USD'!D$3</f>
        <v>0</v>
      </c>
      <c r="E12" s="64" t="n">
        <f aca="false">+'SUM - C$'!E10/'SUM-USD'!E$3</f>
        <v>0</v>
      </c>
      <c r="F12" s="64" t="n">
        <f aca="false">+'SUM - C$'!F10/'SUM-USD'!F$3</f>
        <v>0</v>
      </c>
      <c r="G12" s="64" t="n">
        <f aca="false">+'SUM - C$'!G10/'SUM-USD'!G$3</f>
        <v>0</v>
      </c>
      <c r="H12" s="64" t="n">
        <f aca="false">+'SUM - C$'!H10/'SUM-USD'!H$3</f>
        <v>0</v>
      </c>
      <c r="I12" s="64" t="n">
        <f aca="false">+'SUM - C$'!I10/'SUM-USD'!I$3</f>
        <v>0</v>
      </c>
      <c r="J12" s="64" t="n">
        <f aca="false">+'SUM - C$'!J10/'SUM-USD'!J$3</f>
        <v>0</v>
      </c>
      <c r="K12" s="70" t="n">
        <f aca="false">+'SUM - C$'!K10/'SUM-USD'!K$3</f>
        <v>0</v>
      </c>
      <c r="L12" s="64" t="n">
        <f aca="false">+'SUM - C$'!L10/'SUM-USD'!L$3</f>
        <v>0</v>
      </c>
      <c r="M12" s="64" t="n">
        <f aca="false">+'SUM - C$'!M10/'SUM-USD'!M$3</f>
        <v>0</v>
      </c>
      <c r="N12" s="65"/>
      <c r="O12" s="66" t="n">
        <f aca="false">SUM(B12:N12)</f>
        <v>2060883.84270153</v>
      </c>
      <c r="P12" s="67"/>
      <c r="Q12" s="68" t="n">
        <f aca="false">+SUM(B12:D12)</f>
        <v>2060883.84270153</v>
      </c>
      <c r="R12" s="65" t="n">
        <f aca="false">+SUM(E12:G12)</f>
        <v>0</v>
      </c>
      <c r="S12" s="65" t="n">
        <f aca="false">+SUM(H12:J12)</f>
        <v>0</v>
      </c>
      <c r="T12" s="72" t="n">
        <f aca="false">+SUM(K12:M12)</f>
        <v>0</v>
      </c>
      <c r="U12" s="65"/>
      <c r="V12" s="66" t="n">
        <f aca="false">SUM(Q12:U12)</f>
        <v>2060883.84270153</v>
      </c>
    </row>
    <row r="13" customFormat="false" ht="12.75" hidden="false" customHeight="false" outlineLevel="0" collapsed="false">
      <c r="A13" s="56" t="s">
        <v>30</v>
      </c>
      <c r="B13" s="65"/>
      <c r="C13" s="65"/>
      <c r="D13" s="64"/>
      <c r="E13" s="64"/>
      <c r="F13" s="64"/>
      <c r="G13" s="64"/>
      <c r="H13" s="64"/>
      <c r="I13" s="64"/>
      <c r="J13" s="64"/>
      <c r="K13" s="64"/>
      <c r="L13" s="64"/>
      <c r="M13" s="64"/>
      <c r="N13" s="65"/>
      <c r="O13" s="66"/>
      <c r="P13" s="67"/>
      <c r="Q13" s="68" t="n">
        <f aca="false">+SUM(B13:D13)</f>
        <v>0</v>
      </c>
      <c r="R13" s="65" t="n">
        <f aca="false">+SUM(E13:G13)</f>
        <v>0</v>
      </c>
      <c r="S13" s="65" t="n">
        <f aca="false">+SUM(H13:J13)</f>
        <v>0</v>
      </c>
      <c r="T13" s="65" t="n">
        <f aca="false">+SUM(K13:M13)</f>
        <v>0</v>
      </c>
      <c r="U13" s="65"/>
      <c r="V13" s="66"/>
    </row>
    <row r="14" customFormat="false" ht="12.75" hidden="false" customHeight="false" outlineLevel="0" collapsed="false">
      <c r="A14" s="62" t="s">
        <v>31</v>
      </c>
      <c r="B14" s="73" t="n">
        <f aca="false">+'SUM - C$'!B12/'SUM-USD'!B$3</f>
        <v>1704564.34888317</v>
      </c>
      <c r="C14" s="73" t="n">
        <f aca="false">+'SUM - C$'!C12/'SUM-USD'!C$3</f>
        <v>-553070.871633657</v>
      </c>
      <c r="D14" s="64" t="n">
        <f aca="false">+'SUM - C$'!D12/'SUM-USD'!D$3</f>
        <v>0</v>
      </c>
      <c r="E14" s="64" t="n">
        <f aca="false">+'SUM - C$'!E12/'SUM-USD'!E$3</f>
        <v>0</v>
      </c>
      <c r="F14" s="64" t="n">
        <f aca="false">+'SUM - C$'!F12/'SUM-USD'!F$3</f>
        <v>0</v>
      </c>
      <c r="G14" s="64" t="n">
        <f aca="false">+'SUM - C$'!G12/'SUM-USD'!G$3</f>
        <v>0</v>
      </c>
      <c r="H14" s="64" t="n">
        <f aca="false">+'SUM - C$'!H12/'SUM-USD'!H$3</f>
        <v>0</v>
      </c>
      <c r="I14" s="64" t="n">
        <f aca="false">+'SUM - C$'!I12/'SUM-USD'!I$3</f>
        <v>0</v>
      </c>
      <c r="J14" s="64" t="n">
        <f aca="false">+'SUM - C$'!J12/'SUM-USD'!J$3</f>
        <v>0</v>
      </c>
      <c r="K14" s="64" t="n">
        <f aca="false">+'SUM - C$'!K12/'SUM-USD'!K$3</f>
        <v>0</v>
      </c>
      <c r="L14" s="64" t="n">
        <f aca="false">+'SUM - C$'!L12/'SUM-USD'!L$3</f>
        <v>0</v>
      </c>
      <c r="M14" s="64" t="n">
        <f aca="false">+'SUM - C$'!M12/'SUM-USD'!M$3</f>
        <v>0</v>
      </c>
      <c r="N14" s="65"/>
      <c r="O14" s="66" t="n">
        <f aca="false">SUM(B14:N14)</f>
        <v>1151493.47724951</v>
      </c>
      <c r="P14" s="67"/>
      <c r="Q14" s="68" t="n">
        <f aca="false">+SUM(B14:D14)</f>
        <v>1151493.47724951</v>
      </c>
      <c r="R14" s="65" t="n">
        <f aca="false">+SUM(E14:G14)</f>
        <v>0</v>
      </c>
      <c r="S14" s="65" t="n">
        <f aca="false">+SUM(H14:J14)</f>
        <v>0</v>
      </c>
      <c r="T14" s="65" t="n">
        <f aca="false">+SUM(K14:M14)</f>
        <v>0</v>
      </c>
      <c r="U14" s="65"/>
      <c r="V14" s="66" t="n">
        <f aca="false">SUM(Q14:U14)</f>
        <v>1151493.47724951</v>
      </c>
    </row>
    <row r="15" customFormat="false" ht="12.75" hidden="false" customHeight="false" outlineLevel="0" collapsed="false">
      <c r="A15" s="62" t="s">
        <v>32</v>
      </c>
      <c r="B15" s="74" t="n">
        <f aca="false">+'SUM - C$'!B13/'SUM-USD'!B$3</f>
        <v>3310238.64266062</v>
      </c>
      <c r="C15" s="74" t="n">
        <f aca="false">+'SUM - C$'!C13/'SUM-USD'!C$3</f>
        <v>863113.781238359</v>
      </c>
      <c r="D15" s="70" t="n">
        <f aca="false">+'SUM - C$'!D13/'SUM-USD'!D$3</f>
        <v>0</v>
      </c>
      <c r="E15" s="64" t="n">
        <f aca="false">+'SUM - C$'!E13/'SUM-USD'!E$3</f>
        <v>0</v>
      </c>
      <c r="F15" s="64" t="n">
        <f aca="false">+'SUM - C$'!F13/'SUM-USD'!F$3</f>
        <v>0</v>
      </c>
      <c r="G15" s="64" t="n">
        <f aca="false">+'SUM - C$'!G13/'SUM-USD'!G$3</f>
        <v>0</v>
      </c>
      <c r="H15" s="64" t="n">
        <f aca="false">+'SUM - C$'!H13/'SUM-USD'!H$3</f>
        <v>0</v>
      </c>
      <c r="I15" s="64" t="n">
        <f aca="false">+'SUM - C$'!I13/'SUM-USD'!I$3</f>
        <v>0</v>
      </c>
      <c r="J15" s="64" t="n">
        <f aca="false">+'SUM - C$'!J13/'SUM-USD'!J$3</f>
        <v>0</v>
      </c>
      <c r="K15" s="64" t="n">
        <f aca="false">+'SUM - C$'!K13/'SUM-USD'!K$3</f>
        <v>0</v>
      </c>
      <c r="L15" s="64" t="n">
        <f aca="false">+'SUM - C$'!L13/'SUM-USD'!L$3</f>
        <v>0</v>
      </c>
      <c r="M15" s="64" t="n">
        <f aca="false">+'SUM - C$'!M13/'SUM-USD'!M$3</f>
        <v>0</v>
      </c>
      <c r="N15" s="65"/>
      <c r="O15" s="66" t="n">
        <f aca="false">SUM(B15:N15)</f>
        <v>4173352.42389898</v>
      </c>
      <c r="P15" s="67"/>
      <c r="Q15" s="68" t="n">
        <f aca="false">+SUM(B15:D15)</f>
        <v>4173352.42389898</v>
      </c>
      <c r="R15" s="65" t="n">
        <f aca="false">+SUM(E15:G15)</f>
        <v>0</v>
      </c>
      <c r="S15" s="65" t="n">
        <f aca="false">+SUM(H15:J15)</f>
        <v>0</v>
      </c>
      <c r="T15" s="65" t="n">
        <f aca="false">+SUM(K15:M15)</f>
        <v>0</v>
      </c>
      <c r="U15" s="65"/>
      <c r="V15" s="66" t="n">
        <f aca="false">SUM(Q15:U15)</f>
        <v>4173352.42389898</v>
      </c>
    </row>
    <row r="16" customFormat="false" ht="12.75" hidden="false" customHeight="false" outlineLevel="0" collapsed="false">
      <c r="A16" s="62" t="s">
        <v>33</v>
      </c>
      <c r="B16" s="63" t="n">
        <f aca="false">+'SUM - C$'!B14/'SUM-USD'!B$3</f>
        <v>-815998.061823207</v>
      </c>
      <c r="C16" s="63" t="n">
        <f aca="false">+'SUM - C$'!C14/'SUM-USD'!C$3</f>
        <v>35145.08956537</v>
      </c>
      <c r="D16" s="64" t="n">
        <f aca="false">+'SUM - C$'!D14/'SUM-USD'!D$3</f>
        <v>0</v>
      </c>
      <c r="E16" s="64" t="n">
        <f aca="false">+'SUM - C$'!E14/'SUM-USD'!E$3</f>
        <v>0</v>
      </c>
      <c r="F16" s="64" t="n">
        <f aca="false">+'SUM - C$'!F14/'SUM-USD'!F$3</f>
        <v>0</v>
      </c>
      <c r="G16" s="64" t="n">
        <f aca="false">+'SUM - C$'!G14/'SUM-USD'!G$3</f>
        <v>0</v>
      </c>
      <c r="H16" s="64" t="n">
        <f aca="false">+'SUM - C$'!H14/'SUM-USD'!H$3</f>
        <v>0</v>
      </c>
      <c r="I16" s="64" t="n">
        <f aca="false">+'SUM - C$'!I14/'SUM-USD'!I$3</f>
        <v>0</v>
      </c>
      <c r="J16" s="64" t="n">
        <f aca="false">+'SUM - C$'!J14/'SUM-USD'!J$3</f>
        <v>0</v>
      </c>
      <c r="K16" s="64" t="n">
        <f aca="false">+'SUM - C$'!K14/'SUM-USD'!K$3</f>
        <v>0</v>
      </c>
      <c r="L16" s="64" t="n">
        <f aca="false">+'SUM - C$'!L14/'SUM-USD'!L$3</f>
        <v>0</v>
      </c>
      <c r="M16" s="64" t="n">
        <f aca="false">+'SUM - C$'!M14/'SUM-USD'!M$3</f>
        <v>0</v>
      </c>
      <c r="N16" s="65"/>
      <c r="O16" s="66" t="n">
        <f aca="false">SUM(B16:N16)</f>
        <v>-780852.972257837</v>
      </c>
      <c r="P16" s="67"/>
      <c r="Q16" s="68" t="n">
        <f aca="false">+SUM(B16:D16)</f>
        <v>-780852.972257837</v>
      </c>
      <c r="R16" s="65" t="n">
        <f aca="false">+SUM(E16:G16)</f>
        <v>0</v>
      </c>
      <c r="S16" s="65" t="n">
        <f aca="false">+SUM(H16:J16)</f>
        <v>0</v>
      </c>
      <c r="T16" s="65" t="n">
        <f aca="false">+SUM(K16:M16)</f>
        <v>0</v>
      </c>
      <c r="U16" s="65"/>
      <c r="V16" s="66" t="n">
        <f aca="false">SUM(Q16:U16)</f>
        <v>-780852.972257837</v>
      </c>
    </row>
    <row r="17" customFormat="false" ht="12.75" hidden="false" customHeight="false" outlineLevel="0" collapsed="false">
      <c r="A17" s="62" t="s">
        <v>34</v>
      </c>
      <c r="B17" s="63" t="n">
        <f aca="false">+'SUM - C$'!B15/'SUM-USD'!B$3</f>
        <v>244.127847450969</v>
      </c>
      <c r="C17" s="63" t="n">
        <f aca="false">+'SUM - C$'!C15/'SUM-USD'!C$3</f>
        <v>216225.233151504</v>
      </c>
      <c r="D17" s="64" t="n">
        <f aca="false">+'SUM - C$'!D15/'SUM-USD'!D$3</f>
        <v>0</v>
      </c>
      <c r="E17" s="64" t="n">
        <f aca="false">+'SUM - C$'!E15/'SUM-USD'!E$3</f>
        <v>0</v>
      </c>
      <c r="F17" s="64" t="n">
        <f aca="false">+'SUM - C$'!F15/'SUM-USD'!F$3</f>
        <v>0</v>
      </c>
      <c r="G17" s="64" t="n">
        <f aca="false">+'SUM - C$'!G15/'SUM-USD'!G$3</f>
        <v>0</v>
      </c>
      <c r="H17" s="64" t="n">
        <f aca="false">+'SUM - C$'!H15/'SUM-USD'!H$3</f>
        <v>0</v>
      </c>
      <c r="I17" s="64" t="n">
        <f aca="false">+'SUM - C$'!I15/'SUM-USD'!I$3</f>
        <v>0</v>
      </c>
      <c r="J17" s="64" t="n">
        <f aca="false">+'SUM - C$'!J15/'SUM-USD'!J$3</f>
        <v>0</v>
      </c>
      <c r="K17" s="64" t="n">
        <f aca="false">+'SUM - C$'!K15/'SUM-USD'!K$3</f>
        <v>0</v>
      </c>
      <c r="L17" s="64" t="n">
        <f aca="false">+'SUM - C$'!L15/'SUM-USD'!L$3</f>
        <v>0</v>
      </c>
      <c r="M17" s="64" t="n">
        <f aca="false">+'SUM - C$'!M15/'SUM-USD'!M$3</f>
        <v>0</v>
      </c>
      <c r="N17" s="65"/>
      <c r="O17" s="66" t="n">
        <f aca="false">SUM(B17:N17)</f>
        <v>216469.360998955</v>
      </c>
      <c r="P17" s="67"/>
      <c r="Q17" s="68" t="n">
        <f aca="false">+SUM(B17:D17)</f>
        <v>216469.360998955</v>
      </c>
      <c r="R17" s="65" t="n">
        <f aca="false">+SUM(E17:G17)</f>
        <v>0</v>
      </c>
      <c r="S17" s="65" t="n">
        <f aca="false">+SUM(H17:J17)</f>
        <v>0</v>
      </c>
      <c r="T17" s="65" t="n">
        <f aca="false">+SUM(K17:M17)</f>
        <v>0</v>
      </c>
      <c r="U17" s="65"/>
      <c r="V17" s="66" t="n">
        <f aca="false">SUM(Q17:U17)</f>
        <v>216469.360998955</v>
      </c>
    </row>
    <row r="18" customFormat="false" ht="12.75" hidden="false" customHeight="false" outlineLevel="0" collapsed="false">
      <c r="A18" s="62" t="s">
        <v>35</v>
      </c>
      <c r="B18" s="71" t="n">
        <f aca="false">+'SUM - C$'!B16/'SUM-USD'!B$3</f>
        <v>48333.3226043254</v>
      </c>
      <c r="C18" s="71" t="n">
        <f aca="false">+'SUM - C$'!C16/'SUM-USD'!C$3</f>
        <v>83573.3239486187</v>
      </c>
      <c r="D18" s="64" t="n">
        <f aca="false">+'SUM - C$'!D16/'SUM-USD'!D$3</f>
        <v>0</v>
      </c>
      <c r="E18" s="64" t="n">
        <f aca="false">+'SUM - C$'!E16/'SUM-USD'!E$3</f>
        <v>0</v>
      </c>
      <c r="F18" s="64" t="n">
        <f aca="false">+'SUM - C$'!F16/'SUM-USD'!F$3</f>
        <v>0</v>
      </c>
      <c r="G18" s="64" t="n">
        <f aca="false">+'SUM - C$'!G16/'SUM-USD'!G$3</f>
        <v>0</v>
      </c>
      <c r="H18" s="64" t="n">
        <f aca="false">+'SUM - C$'!H16/'SUM-USD'!H$3</f>
        <v>0</v>
      </c>
      <c r="I18" s="64" t="n">
        <f aca="false">+'SUM - C$'!I16/'SUM-USD'!I$3</f>
        <v>0</v>
      </c>
      <c r="J18" s="64" t="n">
        <f aca="false">+'SUM - C$'!J16/'SUM-USD'!J$3</f>
        <v>0</v>
      </c>
      <c r="K18" s="64" t="n">
        <f aca="false">+'SUM - C$'!K16/'SUM-USD'!K$3</f>
        <v>0</v>
      </c>
      <c r="L18" s="64" t="n">
        <f aca="false">+'SUM - C$'!L16/'SUM-USD'!L$3</f>
        <v>0</v>
      </c>
      <c r="M18" s="64" t="n">
        <f aca="false">+'SUM - C$'!M16/'SUM-USD'!M$3</f>
        <v>0</v>
      </c>
      <c r="N18" s="65"/>
      <c r="O18" s="66" t="n">
        <f aca="false">SUM(B18:N18)</f>
        <v>131906.646552944</v>
      </c>
      <c r="P18" s="67"/>
      <c r="Q18" s="68" t="n">
        <f aca="false">+SUM(B18:D18)</f>
        <v>131906.646552944</v>
      </c>
      <c r="R18" s="65" t="n">
        <f aca="false">+SUM(E18:G18)</f>
        <v>0</v>
      </c>
      <c r="S18" s="65" t="n">
        <f aca="false">+SUM(H18:J18)</f>
        <v>0</v>
      </c>
      <c r="T18" s="65" t="n">
        <f aca="false">+SUM(K18:M18)</f>
        <v>0</v>
      </c>
      <c r="U18" s="65"/>
      <c r="V18" s="66" t="n">
        <f aca="false">SUM(Q18:U18)</f>
        <v>131906.646552944</v>
      </c>
    </row>
    <row r="19" customFormat="false" ht="13.5" hidden="false" customHeight="false" outlineLevel="0" collapsed="false">
      <c r="A19" s="75" t="s">
        <v>36</v>
      </c>
      <c r="B19" s="76" t="n">
        <f aca="false">SUM(B9:B18)</f>
        <v>10672473.9184257</v>
      </c>
      <c r="C19" s="77" t="n">
        <f aca="false">SUM(C9:C18)</f>
        <v>4933155.76267526</v>
      </c>
      <c r="D19" s="77" t="n">
        <f aca="false">SUM(D9:D18)</f>
        <v>0</v>
      </c>
      <c r="E19" s="77" t="n">
        <f aca="false">SUM(E9:E18)</f>
        <v>0</v>
      </c>
      <c r="F19" s="77" t="n">
        <f aca="false">SUM(F9:F18)</f>
        <v>0</v>
      </c>
      <c r="G19" s="77" t="n">
        <f aca="false">SUM(G9:G18)</f>
        <v>0</v>
      </c>
      <c r="H19" s="77" t="n">
        <f aca="false">SUM(H9:H18)</f>
        <v>0</v>
      </c>
      <c r="I19" s="77" t="n">
        <f aca="false">SUM(I9:I18)</f>
        <v>0</v>
      </c>
      <c r="J19" s="77" t="n">
        <f aca="false">SUM(J9:J18)</f>
        <v>0</v>
      </c>
      <c r="K19" s="77" t="n">
        <f aca="false">SUM(K9:K18)</f>
        <v>0</v>
      </c>
      <c r="L19" s="77" t="n">
        <f aca="false">SUM(L9:L18)</f>
        <v>0</v>
      </c>
      <c r="M19" s="77" t="n">
        <f aca="false">SUM(M9:M18)</f>
        <v>0</v>
      </c>
      <c r="N19" s="78"/>
      <c r="O19" s="79" t="n">
        <f aca="false">SUM(O9:O18)</f>
        <v>15605629.681101</v>
      </c>
      <c r="P19" s="67"/>
      <c r="Q19" s="80" t="n">
        <f aca="false">SUM(Q9:Q18)</f>
        <v>15605629.681101</v>
      </c>
      <c r="R19" s="76" t="n">
        <f aca="false">SUM(R9:R18)</f>
        <v>0</v>
      </c>
      <c r="S19" s="76" t="n">
        <f aca="false">SUM(S9:S18)</f>
        <v>0</v>
      </c>
      <c r="T19" s="76" t="n">
        <f aca="false">SUM(T9:T18)</f>
        <v>0</v>
      </c>
      <c r="U19" s="78"/>
      <c r="V19" s="79" t="n">
        <f aca="false">SUM(V9:V18)</f>
        <v>15605629.681101</v>
      </c>
    </row>
    <row r="20" customFormat="false" ht="12.75" hidden="false" customHeight="false" outlineLevel="0" collapsed="false">
      <c r="B20" s="81"/>
      <c r="C20" s="82"/>
      <c r="D20" s="82"/>
      <c r="E20" s="82"/>
      <c r="F20" s="82"/>
      <c r="G20" s="82"/>
      <c r="H20" s="82"/>
      <c r="I20" s="82"/>
      <c r="J20" s="82"/>
      <c r="K20" s="82"/>
      <c r="L20" s="82"/>
      <c r="M20" s="82"/>
      <c r="N20" s="65"/>
      <c r="O20" s="81"/>
      <c r="P20" s="67"/>
      <c r="Q20" s="81"/>
      <c r="R20" s="81"/>
      <c r="S20" s="81"/>
      <c r="T20" s="81"/>
      <c r="U20" s="65"/>
      <c r="V20" s="81"/>
    </row>
    <row r="21" customFormat="false" ht="13.5" hidden="false" customHeight="false" outlineLevel="0" collapsed="false">
      <c r="B21" s="81"/>
      <c r="C21" s="82"/>
      <c r="D21" s="82"/>
      <c r="E21" s="82"/>
      <c r="F21" s="82"/>
      <c r="G21" s="82"/>
      <c r="H21" s="82"/>
      <c r="I21" s="82"/>
      <c r="J21" s="82"/>
      <c r="K21" s="82"/>
      <c r="L21" s="82"/>
      <c r="M21" s="82"/>
      <c r="N21" s="65"/>
      <c r="O21" s="81"/>
      <c r="P21" s="67"/>
      <c r="Q21" s="81"/>
      <c r="R21" s="81"/>
      <c r="S21" s="81"/>
      <c r="T21" s="81"/>
      <c r="U21" s="65"/>
      <c r="V21" s="81"/>
    </row>
    <row r="22" customFormat="false" ht="12.75" hidden="false" customHeight="false" outlineLevel="0" collapsed="false">
      <c r="A22" s="50" t="s">
        <v>37</v>
      </c>
      <c r="B22" s="83"/>
      <c r="C22" s="84"/>
      <c r="D22" s="84"/>
      <c r="E22" s="84"/>
      <c r="F22" s="84"/>
      <c r="G22" s="84"/>
      <c r="H22" s="84"/>
      <c r="I22" s="84"/>
      <c r="J22" s="84"/>
      <c r="K22" s="84"/>
      <c r="L22" s="84"/>
      <c r="M22" s="84"/>
      <c r="N22" s="83"/>
      <c r="O22" s="85"/>
      <c r="P22" s="67"/>
      <c r="Q22" s="50" t="s">
        <v>37</v>
      </c>
      <c r="R22" s="83"/>
      <c r="S22" s="83"/>
      <c r="T22" s="83"/>
      <c r="U22" s="83"/>
      <c r="V22" s="85"/>
    </row>
    <row r="23" customFormat="false" ht="12.75" hidden="false" customHeight="false" outlineLevel="0" collapsed="false">
      <c r="A23" s="62" t="s">
        <v>38</v>
      </c>
      <c r="B23" s="64" t="n">
        <f aca="false">+'SUM - C$'!B21/'SUM-USD'!B$3</f>
        <v>6425091.53825339</v>
      </c>
      <c r="C23" s="64" t="n">
        <f aca="false">+'SUM - C$'!C21/'SUM-USD'!C$3</f>
        <v>4288169.20640507</v>
      </c>
      <c r="D23" s="64" t="n">
        <f aca="false">+'SUM - C$'!D21/'SUM-USD'!D$3</f>
        <v>0</v>
      </c>
      <c r="E23" s="64" t="n">
        <f aca="false">+'SUM - C$'!E21/'SUM-USD'!E$3</f>
        <v>0</v>
      </c>
      <c r="F23" s="64" t="n">
        <f aca="false">+'SUM - C$'!F21/'SUM-USD'!F$3</f>
        <v>0</v>
      </c>
      <c r="G23" s="64" t="n">
        <f aca="false">+'SUM - C$'!G21/'SUM-USD'!G$3</f>
        <v>0</v>
      </c>
      <c r="H23" s="64" t="n">
        <f aca="false">+'SUM - C$'!H21/'SUM-USD'!H$3</f>
        <v>0</v>
      </c>
      <c r="I23" s="64" t="n">
        <f aca="false">+'SUM - C$'!I21/'SUM-USD'!I$3</f>
        <v>0</v>
      </c>
      <c r="J23" s="64" t="n">
        <f aca="false">+'SUM - C$'!J21/'SUM-USD'!J$3</f>
        <v>0</v>
      </c>
      <c r="K23" s="64" t="n">
        <f aca="false">+'SUM - C$'!K21/'SUM-USD'!K$3</f>
        <v>0</v>
      </c>
      <c r="L23" s="64" t="n">
        <f aca="false">+'SUM - C$'!L21/'SUM-USD'!L$3</f>
        <v>0</v>
      </c>
      <c r="M23" s="64" t="n">
        <f aca="false">+'SUM - C$'!M21/'SUM-USD'!M$3</f>
        <v>0</v>
      </c>
      <c r="N23" s="65"/>
      <c r="O23" s="66" t="n">
        <f aca="false">SUM(B23:N23)</f>
        <v>10713260.7446585</v>
      </c>
      <c r="P23" s="67"/>
      <c r="Q23" s="68" t="n">
        <f aca="false">+SUM(B23:D23)</f>
        <v>10713260.7446585</v>
      </c>
      <c r="R23" s="65" t="n">
        <f aca="false">+SUM(E23:G23)</f>
        <v>0</v>
      </c>
      <c r="S23" s="65" t="n">
        <f aca="false">+SUM(H23:J23)</f>
        <v>0</v>
      </c>
      <c r="T23" s="65" t="n">
        <f aca="false">+SUM(K23:M23)</f>
        <v>0</v>
      </c>
      <c r="U23" s="65"/>
      <c r="V23" s="66" t="n">
        <f aca="false">SUM(Q23:U23)</f>
        <v>10713260.7446585</v>
      </c>
    </row>
    <row r="24" customFormat="false" ht="11.25" hidden="false" customHeight="false" outlineLevel="0" collapsed="false">
      <c r="A24" s="86" t="s">
        <v>39</v>
      </c>
      <c r="B24" s="87" t="n">
        <f aca="false">+B23-[1]Report!$AE$56</f>
        <v>0</v>
      </c>
      <c r="C24" s="88" t="n">
        <f aca="false">+C23-SUM(C9:C12)</f>
        <v>0</v>
      </c>
      <c r="D24" s="88" t="n">
        <f aca="false">+D23-SUM(D9:D12)</f>
        <v>0</v>
      </c>
      <c r="E24" s="88" t="n">
        <f aca="false">+E23-SUM(E9:E12)</f>
        <v>0</v>
      </c>
      <c r="F24" s="88" t="n">
        <f aca="false">+F23-SUM(F9:F12)</f>
        <v>0</v>
      </c>
      <c r="G24" s="88" t="n">
        <f aca="false">+G23-SUM(G9:G12)</f>
        <v>0</v>
      </c>
      <c r="H24" s="88" t="n">
        <f aca="false">+H23-SUM(H9:H12)</f>
        <v>0</v>
      </c>
      <c r="I24" s="88" t="n">
        <f aca="false">+I23-SUM(I9:I12)</f>
        <v>0</v>
      </c>
      <c r="J24" s="88" t="n">
        <f aca="false">+J23-SUM(J9:J12)</f>
        <v>0</v>
      </c>
      <c r="K24" s="88" t="n">
        <f aca="false">+K23-SUM(K9:K12)</f>
        <v>0</v>
      </c>
      <c r="L24" s="88" t="n">
        <f aca="false">+L23-SUM(L9:L12)</f>
        <v>0</v>
      </c>
      <c r="M24" s="88" t="n">
        <f aca="false">+M23-SUM(M9:M12)</f>
        <v>0</v>
      </c>
      <c r="N24" s="87"/>
      <c r="O24" s="66" t="n">
        <f aca="false">SUM(B24:N24)</f>
        <v>0</v>
      </c>
      <c r="P24" s="89"/>
      <c r="Q24" s="68" t="n">
        <f aca="false">+SUM(B24:D24)</f>
        <v>0</v>
      </c>
      <c r="R24" s="65" t="n">
        <f aca="false">+SUM(E24:G24)</f>
        <v>0</v>
      </c>
      <c r="S24" s="65" t="n">
        <f aca="false">+SUM(H24:J24)</f>
        <v>0</v>
      </c>
      <c r="T24" s="65" t="n">
        <f aca="false">+SUM(K24:M24)</f>
        <v>0</v>
      </c>
      <c r="U24" s="87"/>
      <c r="V24" s="66" t="n">
        <f aca="false">SUM(I24:U24)</f>
        <v>0</v>
      </c>
    </row>
    <row r="25" customFormat="false" ht="12.75" hidden="false" customHeight="false" outlineLevel="0" collapsed="false">
      <c r="A25" s="62" t="s">
        <v>40</v>
      </c>
      <c r="B25" s="64" t="n">
        <f aca="false">+'SUM - C$'!B23/'SUM-USD'!B$3</f>
        <v>4247382.38017236</v>
      </c>
      <c r="C25" s="64" t="n">
        <f aca="false">+'SUM - C$'!C23/'SUM-USD'!C$3</f>
        <v>644986.556270195</v>
      </c>
      <c r="D25" s="64" t="n">
        <f aca="false">+'SUM - C$'!D23/'SUM-USD'!D$3</f>
        <v>0</v>
      </c>
      <c r="E25" s="64" t="n">
        <f aca="false">+'SUM - C$'!E23/'SUM-USD'!E$3</f>
        <v>0</v>
      </c>
      <c r="F25" s="64" t="n">
        <f aca="false">+'SUM - C$'!F23/'SUM-USD'!F$3</f>
        <v>0</v>
      </c>
      <c r="G25" s="64" t="n">
        <f aca="false">+'SUM - C$'!G23/'SUM-USD'!G$3</f>
        <v>0</v>
      </c>
      <c r="H25" s="64" t="n">
        <f aca="false">+'SUM - C$'!H23/'SUM-USD'!H$3</f>
        <v>0</v>
      </c>
      <c r="I25" s="64" t="n">
        <f aca="false">+'SUM - C$'!I23/'SUM-USD'!I$3</f>
        <v>0</v>
      </c>
      <c r="J25" s="64" t="n">
        <f aca="false">+'SUM - C$'!J23/'SUM-USD'!J$3</f>
        <v>0</v>
      </c>
      <c r="K25" s="64" t="n">
        <f aca="false">+'SUM - C$'!K23/'SUM-USD'!K$3</f>
        <v>0</v>
      </c>
      <c r="L25" s="64" t="n">
        <f aca="false">+'SUM - C$'!L23/'SUM-USD'!L$3</f>
        <v>0</v>
      </c>
      <c r="M25" s="64" t="n">
        <f aca="false">+'SUM - C$'!M23/'SUM-USD'!M$3</f>
        <v>0</v>
      </c>
      <c r="N25" s="65"/>
      <c r="O25" s="66" t="n">
        <f aca="false">SUM(B25:N25)</f>
        <v>4892368.93644255</v>
      </c>
      <c r="P25" s="67"/>
      <c r="Q25" s="68" t="n">
        <f aca="false">+SUM(B25:D25)</f>
        <v>4892368.93644255</v>
      </c>
      <c r="R25" s="65" t="n">
        <f aca="false">+SUM(E25:G25)</f>
        <v>0</v>
      </c>
      <c r="S25" s="65" t="n">
        <f aca="false">+SUM(H25:J25)</f>
        <v>0</v>
      </c>
      <c r="T25" s="65" t="n">
        <f aca="false">+SUM(K25:M25)</f>
        <v>0</v>
      </c>
      <c r="U25" s="65"/>
      <c r="V25" s="66" t="n">
        <f aca="false">SUM(Q25:T25)</f>
        <v>4892368.93644255</v>
      </c>
    </row>
    <row r="26" customFormat="false" ht="9" hidden="false" customHeight="false" outlineLevel="0" collapsed="false">
      <c r="A26" s="86" t="s">
        <v>39</v>
      </c>
      <c r="B26" s="87" t="n">
        <f aca="false">+B25-[2]Lavo!$P$31</f>
        <v>-941.6882486213</v>
      </c>
      <c r="C26" s="88" t="n">
        <f aca="false">+C25-SUM(C14:C18)</f>
        <v>0</v>
      </c>
      <c r="D26" s="88" t="n">
        <f aca="false">+D25-SUM(D14:D18)</f>
        <v>0</v>
      </c>
      <c r="E26" s="88" t="n">
        <f aca="false">+E25-SUM(E14:E18)</f>
        <v>0</v>
      </c>
      <c r="F26" s="88" t="n">
        <f aca="false">+F25-SUM(F14:F18)</f>
        <v>0</v>
      </c>
      <c r="G26" s="88" t="n">
        <f aca="false">+G25-SUM(G14:G18)</f>
        <v>0</v>
      </c>
      <c r="H26" s="88" t="n">
        <f aca="false">+H25-SUM(H14:H18)</f>
        <v>0</v>
      </c>
      <c r="I26" s="88" t="n">
        <f aca="false">+I25-SUM(I14:I18)</f>
        <v>0</v>
      </c>
      <c r="J26" s="88" t="n">
        <f aca="false">+J25-SUM(J14:J18)</f>
        <v>0</v>
      </c>
      <c r="K26" s="88" t="n">
        <f aca="false">+K25-SUM(K14:K18)</f>
        <v>0</v>
      </c>
      <c r="L26" s="88" t="n">
        <f aca="false">+L25-SUM(L14:L18)</f>
        <v>0</v>
      </c>
      <c r="M26" s="88" t="n">
        <f aca="false">+M25-SUM(M14:M18)</f>
        <v>0</v>
      </c>
      <c r="N26" s="87"/>
      <c r="O26" s="90" t="n">
        <f aca="false">+O25+O23-O19</f>
        <v>0</v>
      </c>
      <c r="P26" s="89"/>
      <c r="Q26" s="91" t="n">
        <f aca="false">+Q25-SUM(Q14:Q18)</f>
        <v>0</v>
      </c>
      <c r="R26" s="87" t="n">
        <f aca="false">+R25-SUM(R14:R18)</f>
        <v>0</v>
      </c>
      <c r="S26" s="87" t="n">
        <f aca="false">+S25-SUM(S14:S18)</f>
        <v>0</v>
      </c>
      <c r="T26" s="87" t="n">
        <f aca="false">+T25-SUM(T14:T18)</f>
        <v>0</v>
      </c>
      <c r="U26" s="87" t="n">
        <f aca="false">+U25-SUM(U14:U18)</f>
        <v>0</v>
      </c>
      <c r="V26" s="90" t="n">
        <f aca="false">+V25-SUM(V14:V18)</f>
        <v>0</v>
      </c>
    </row>
    <row r="27" customFormat="false" ht="13.5" hidden="false" customHeight="false" outlineLevel="0" collapsed="false">
      <c r="A27" s="75" t="s">
        <v>36</v>
      </c>
      <c r="B27" s="76" t="n">
        <f aca="false">+B25+B23</f>
        <v>10672473.9184257</v>
      </c>
      <c r="C27" s="77" t="n">
        <f aca="false">+C25+C23</f>
        <v>4933155.76267526</v>
      </c>
      <c r="D27" s="77" t="n">
        <f aca="false">+D25+D23</f>
        <v>0</v>
      </c>
      <c r="E27" s="77" t="n">
        <f aca="false">+E25+E23</f>
        <v>0</v>
      </c>
      <c r="F27" s="77" t="n">
        <f aca="false">+F25+F23</f>
        <v>0</v>
      </c>
      <c r="G27" s="77" t="n">
        <f aca="false">+G25+G23</f>
        <v>0</v>
      </c>
      <c r="H27" s="77" t="n">
        <f aca="false">+H25+H23</f>
        <v>0</v>
      </c>
      <c r="I27" s="77" t="n">
        <f aca="false">+I25+I23</f>
        <v>0</v>
      </c>
      <c r="J27" s="77" t="n">
        <f aca="false">+J25+J23</f>
        <v>0</v>
      </c>
      <c r="K27" s="77" t="n">
        <f aca="false">+K25+K23</f>
        <v>0</v>
      </c>
      <c r="L27" s="77" t="n">
        <f aca="false">+L25+L23</f>
        <v>0</v>
      </c>
      <c r="M27" s="77" t="n">
        <f aca="false">+M25+M23</f>
        <v>0</v>
      </c>
      <c r="N27" s="78"/>
      <c r="O27" s="79" t="n">
        <f aca="false">+O25+O23</f>
        <v>15605629.681101</v>
      </c>
      <c r="P27" s="67"/>
      <c r="Q27" s="80" t="n">
        <f aca="false">+Q25+Q23</f>
        <v>15605629.681101</v>
      </c>
      <c r="R27" s="76" t="n">
        <f aca="false">+R25+R23</f>
        <v>0</v>
      </c>
      <c r="S27" s="76" t="n">
        <f aca="false">+S25+S23</f>
        <v>0</v>
      </c>
      <c r="T27" s="76" t="n">
        <f aca="false">+T25+T23</f>
        <v>0</v>
      </c>
      <c r="U27" s="78"/>
      <c r="V27" s="79" t="n">
        <f aca="false">+V25+V23</f>
        <v>15605629.681101</v>
      </c>
    </row>
    <row r="28" customFormat="false" ht="12.75" hidden="false" customHeight="false" outlineLevel="0" collapsed="false">
      <c r="A28" s="2"/>
      <c r="B28" s="65"/>
      <c r="C28" s="64"/>
      <c r="D28" s="64"/>
      <c r="E28" s="64"/>
      <c r="F28" s="64"/>
      <c r="G28" s="64"/>
      <c r="H28" s="64"/>
      <c r="I28" s="64"/>
      <c r="J28" s="64"/>
      <c r="K28" s="64"/>
      <c r="L28" s="64"/>
      <c r="M28" s="64"/>
      <c r="N28" s="65"/>
      <c r="O28" s="65"/>
      <c r="P28" s="67"/>
      <c r="Q28" s="65"/>
      <c r="R28" s="65"/>
      <c r="S28" s="65"/>
      <c r="T28" s="65"/>
      <c r="U28" s="65"/>
      <c r="V28" s="65"/>
    </row>
    <row r="29" customFormat="false" ht="13.5" hidden="false" customHeight="false" outlineLevel="0" collapsed="false">
      <c r="A29" s="2"/>
      <c r="B29" s="65"/>
      <c r="C29" s="64"/>
      <c r="D29" s="64"/>
      <c r="E29" s="64"/>
      <c r="F29" s="64"/>
      <c r="G29" s="64"/>
      <c r="H29" s="64"/>
      <c r="I29" s="64"/>
      <c r="J29" s="64"/>
      <c r="K29" s="64"/>
      <c r="L29" s="64"/>
      <c r="M29" s="64"/>
      <c r="N29" s="65"/>
      <c r="O29" s="65"/>
      <c r="P29" s="67"/>
      <c r="Q29" s="65"/>
      <c r="R29" s="65"/>
      <c r="S29" s="65"/>
      <c r="T29" s="65"/>
      <c r="U29" s="65"/>
      <c r="V29" s="65"/>
    </row>
    <row r="30" customFormat="false" ht="15" hidden="false" customHeight="false" outlineLevel="0" collapsed="false">
      <c r="A30" s="50" t="s">
        <v>41</v>
      </c>
      <c r="B30" s="92"/>
      <c r="C30" s="93"/>
      <c r="D30" s="93"/>
      <c r="E30" s="93"/>
      <c r="F30" s="93"/>
      <c r="G30" s="93"/>
      <c r="H30" s="93"/>
      <c r="I30" s="93"/>
      <c r="J30" s="93"/>
      <c r="K30" s="93"/>
      <c r="L30" s="93"/>
      <c r="M30" s="93"/>
      <c r="N30" s="92"/>
      <c r="O30" s="94"/>
      <c r="P30" s="67"/>
      <c r="Q30" s="95" t="str">
        <f aca="false">+A30</f>
        <v>BY AREA - TRADER:</v>
      </c>
      <c r="R30" s="92"/>
      <c r="S30" s="92"/>
      <c r="T30" s="92"/>
      <c r="U30" s="92"/>
      <c r="V30" s="94"/>
    </row>
    <row r="31" customFormat="false" ht="12.75" hidden="false" customHeight="false" outlineLevel="0" collapsed="false">
      <c r="A31" s="62" t="s">
        <v>42</v>
      </c>
      <c r="B31" s="63" t="n">
        <f aca="false">+'SUM - C$'!B29/'SUM-USD'!B$3</f>
        <v>3519252.67049078</v>
      </c>
      <c r="C31" s="63" t="n">
        <f aca="false">+'SUM - C$'!C29/'SUM-USD'!C$3</f>
        <v>-207876.976244941</v>
      </c>
      <c r="D31" s="64" t="n">
        <f aca="false">+'SUM - C$'!D29/'SUM-USD'!D$3</f>
        <v>0</v>
      </c>
      <c r="E31" s="64" t="n">
        <f aca="false">+'SUM - C$'!E29/'SUM-USD'!E$3</f>
        <v>0</v>
      </c>
      <c r="F31" s="64" t="n">
        <f aca="false">+'SUM - C$'!F29/'SUM-USD'!F$3</f>
        <v>0</v>
      </c>
      <c r="G31" s="64" t="n">
        <f aca="false">+'SUM - C$'!G29/'SUM-USD'!G$3</f>
        <v>0</v>
      </c>
      <c r="H31" s="64" t="n">
        <f aca="false">+'SUM - C$'!H29/'SUM-USD'!H$3</f>
        <v>0</v>
      </c>
      <c r="I31" s="64" t="n">
        <f aca="false">+'SUM - C$'!I29/'SUM-USD'!I$3</f>
        <v>0</v>
      </c>
      <c r="J31" s="64" t="n">
        <f aca="false">+'SUM - C$'!J29/'SUM-USD'!J$3</f>
        <v>0</v>
      </c>
      <c r="K31" s="64" t="n">
        <f aca="false">+'SUM - C$'!K29/'SUM-USD'!K$3</f>
        <v>0</v>
      </c>
      <c r="L31" s="64" t="n">
        <f aca="false">+'SUM - C$'!L29/'SUM-USD'!L$3</f>
        <v>0</v>
      </c>
      <c r="M31" s="64" t="n">
        <f aca="false">+'SUM - C$'!M29/'SUM-USD'!M$3</f>
        <v>0</v>
      </c>
      <c r="N31" s="65"/>
      <c r="O31" s="66" t="n">
        <f aca="false">SUM(B31:N31)</f>
        <v>3311375.69424584</v>
      </c>
      <c r="P31" s="81"/>
      <c r="Q31" s="68" t="n">
        <f aca="false">+SUM(B31:D31)</f>
        <v>3311375.69424584</v>
      </c>
      <c r="R31" s="65" t="n">
        <f aca="false">+SUM(E31:G31)</f>
        <v>0</v>
      </c>
      <c r="S31" s="65" t="n">
        <f aca="false">+SUM(H31:J31)</f>
        <v>0</v>
      </c>
      <c r="T31" s="65" t="n">
        <f aca="false">+SUM(K31:M31)</f>
        <v>0</v>
      </c>
      <c r="U31" s="65"/>
      <c r="V31" s="66" t="n">
        <f aca="false">SUM(Q31:U31)</f>
        <v>3311375.69424584</v>
      </c>
    </row>
    <row r="32" customFormat="false" ht="12.75" hidden="false" customHeight="false" outlineLevel="0" collapsed="false">
      <c r="A32" s="62" t="s">
        <v>43</v>
      </c>
      <c r="B32" s="69" t="n">
        <f aca="false">+'SUM - C$'!B30/'SUM-USD'!B$3</f>
        <v>2383052.3198964</v>
      </c>
      <c r="C32" s="69" t="n">
        <f aca="false">+'SUM - C$'!C30/'SUM-USD'!C$3</f>
        <v>2393565.27655581</v>
      </c>
      <c r="D32" s="64" t="n">
        <f aca="false">+'SUM - C$'!D30/'SUM-USD'!D$3</f>
        <v>0</v>
      </c>
      <c r="E32" s="64" t="n">
        <f aca="false">+'SUM - C$'!E30/'SUM-USD'!E$3</f>
        <v>0</v>
      </c>
      <c r="F32" s="64" t="n">
        <f aca="false">+'SUM - C$'!F30/'SUM-USD'!F$3</f>
        <v>0</v>
      </c>
      <c r="G32" s="64" t="n">
        <f aca="false">+'SUM - C$'!G30/'SUM-USD'!G$3</f>
        <v>0</v>
      </c>
      <c r="H32" s="64" t="n">
        <f aca="false">+'SUM - C$'!H30/'SUM-USD'!H$3</f>
        <v>0</v>
      </c>
      <c r="I32" s="64" t="n">
        <f aca="false">+'SUM - C$'!I30/'SUM-USD'!I$3</f>
        <v>0</v>
      </c>
      <c r="J32" s="64" t="n">
        <f aca="false">+'SUM - C$'!J30/'SUM-USD'!J$3</f>
        <v>0</v>
      </c>
      <c r="K32" s="64" t="n">
        <f aca="false">+'SUM - C$'!K30/'SUM-USD'!K$3</f>
        <v>0</v>
      </c>
      <c r="L32" s="64" t="n">
        <f aca="false">+'SUM - C$'!L30/'SUM-USD'!L$3</f>
        <v>0</v>
      </c>
      <c r="M32" s="64" t="n">
        <f aca="false">+'SUM - C$'!M30/'SUM-USD'!M$3</f>
        <v>0</v>
      </c>
      <c r="N32" s="65"/>
      <c r="O32" s="66" t="n">
        <f aca="false">SUM(B32:N32)</f>
        <v>4776617.59645221</v>
      </c>
      <c r="P32" s="81"/>
      <c r="Q32" s="68" t="n">
        <f aca="false">+SUM(B32:D32)</f>
        <v>4776617.59645221</v>
      </c>
      <c r="R32" s="65" t="n">
        <f aca="false">+SUM(E32:G32)</f>
        <v>0</v>
      </c>
      <c r="S32" s="65" t="n">
        <f aca="false">+SUM(H32:J32)</f>
        <v>0</v>
      </c>
      <c r="T32" s="65" t="n">
        <f aca="false">+SUM(K32:M32)</f>
        <v>0</v>
      </c>
      <c r="U32" s="65"/>
      <c r="V32" s="66" t="n">
        <f aca="false">SUM(Q32:U32)</f>
        <v>4776617.59645221</v>
      </c>
    </row>
    <row r="33" customFormat="false" ht="12.75" hidden="false" customHeight="false" outlineLevel="0" collapsed="false">
      <c r="A33" s="62" t="s">
        <v>44</v>
      </c>
      <c r="B33" s="71" t="n">
        <f aca="false">+'SUM - C$'!B31/'SUM-USD'!B$3</f>
        <v>-244634.06350522</v>
      </c>
      <c r="C33" s="71" t="n">
        <f aca="false">+'SUM - C$'!C31/'SUM-USD'!C$3</f>
        <v>2437424.55275969</v>
      </c>
      <c r="D33" s="64" t="n">
        <f aca="false">+'SUM - C$'!D31/'SUM-USD'!D$3</f>
        <v>0</v>
      </c>
      <c r="E33" s="64" t="n">
        <f aca="false">+'SUM - C$'!E31/'SUM-USD'!E$3</f>
        <v>0</v>
      </c>
      <c r="F33" s="64" t="n">
        <f aca="false">+'SUM - C$'!F31/'SUM-USD'!F$3</f>
        <v>0</v>
      </c>
      <c r="G33" s="64" t="n">
        <f aca="false">+'SUM - C$'!G31/'SUM-USD'!G$3</f>
        <v>0</v>
      </c>
      <c r="H33" s="64" t="n">
        <f aca="false">+'SUM - C$'!H31/'SUM-USD'!H$3</f>
        <v>0</v>
      </c>
      <c r="I33" s="64" t="n">
        <f aca="false">+'SUM - C$'!I31/'SUM-USD'!I$3</f>
        <v>0</v>
      </c>
      <c r="J33" s="64" t="n">
        <f aca="false">+'SUM - C$'!J31/'SUM-USD'!J$3</f>
        <v>0</v>
      </c>
      <c r="K33" s="64" t="n">
        <f aca="false">+'SUM - C$'!K31/'SUM-USD'!K$3</f>
        <v>0</v>
      </c>
      <c r="L33" s="64" t="n">
        <f aca="false">+'SUM - C$'!L31/'SUM-USD'!L$3</f>
        <v>0</v>
      </c>
      <c r="M33" s="64" t="n">
        <f aca="false">+'SUM - C$'!M31/'SUM-USD'!M$3</f>
        <v>0</v>
      </c>
      <c r="N33" s="65"/>
      <c r="O33" s="66" t="n">
        <f aca="false">SUM(B33:N33)</f>
        <v>2192790.48925447</v>
      </c>
      <c r="P33" s="81"/>
      <c r="Q33" s="68" t="n">
        <f aca="false">+SUM(B33:D33)</f>
        <v>2192790.48925447</v>
      </c>
      <c r="R33" s="65" t="n">
        <f aca="false">+SUM(E33:G33)</f>
        <v>0</v>
      </c>
      <c r="S33" s="65" t="n">
        <f aca="false">+SUM(H33:J33)</f>
        <v>0</v>
      </c>
      <c r="T33" s="65" t="n">
        <f aca="false">+SUM(K33:M33)</f>
        <v>0</v>
      </c>
      <c r="U33" s="65"/>
      <c r="V33" s="66" t="n">
        <f aca="false">SUM(Q33:U33)</f>
        <v>2192790.48925447</v>
      </c>
    </row>
    <row r="34" customFormat="false" ht="12.75" hidden="false" customHeight="false" outlineLevel="0" collapsed="false">
      <c r="A34" s="62" t="s">
        <v>45</v>
      </c>
      <c r="B34" s="73" t="n">
        <f aca="false">+'SUM - C$'!B32/'SUM-USD'!B$3</f>
        <v>1704564.34888317</v>
      </c>
      <c r="C34" s="73" t="n">
        <f aca="false">+'SUM - C$'!C32/'SUM-USD'!C$3</f>
        <v>-553070.871633657</v>
      </c>
      <c r="D34" s="64" t="n">
        <f aca="false">+'SUM - C$'!D32/'SUM-USD'!D$3</f>
        <v>0</v>
      </c>
      <c r="E34" s="64" t="n">
        <f aca="false">+'SUM - C$'!E32/'SUM-USD'!E$3</f>
        <v>0</v>
      </c>
      <c r="F34" s="64" t="n">
        <f aca="false">+'SUM - C$'!F32/'SUM-USD'!F$3</f>
        <v>0</v>
      </c>
      <c r="G34" s="64" t="n">
        <f aca="false">+'SUM - C$'!G32/'SUM-USD'!G$3</f>
        <v>0</v>
      </c>
      <c r="H34" s="64" t="n">
        <f aca="false">+'SUM - C$'!H32/'SUM-USD'!H$3</f>
        <v>0</v>
      </c>
      <c r="I34" s="64" t="n">
        <f aca="false">+'SUM - C$'!I32/'SUM-USD'!I$3</f>
        <v>0</v>
      </c>
      <c r="J34" s="64" t="n">
        <f aca="false">+'SUM - C$'!J32/'SUM-USD'!J$3</f>
        <v>0</v>
      </c>
      <c r="K34" s="64" t="n">
        <f aca="false">+'SUM - C$'!K32/'SUM-USD'!K$3</f>
        <v>0</v>
      </c>
      <c r="L34" s="64" t="n">
        <f aca="false">+'SUM - C$'!L32/'SUM-USD'!L$3</f>
        <v>0</v>
      </c>
      <c r="M34" s="64" t="n">
        <f aca="false">+'SUM - C$'!M32/'SUM-USD'!M$3</f>
        <v>0</v>
      </c>
      <c r="N34" s="65"/>
      <c r="O34" s="66" t="n">
        <f aca="false">SUM(B34:N34)</f>
        <v>1151493.47724951</v>
      </c>
      <c r="P34" s="81"/>
      <c r="Q34" s="68" t="n">
        <f aca="false">+SUM(B34:D34)</f>
        <v>1151493.47724951</v>
      </c>
      <c r="R34" s="65" t="n">
        <f aca="false">+SUM(E34:G34)</f>
        <v>0</v>
      </c>
      <c r="S34" s="65" t="n">
        <f aca="false">+SUM(H34:J34)</f>
        <v>0</v>
      </c>
      <c r="T34" s="65" t="n">
        <f aca="false">+SUM(K34:M34)</f>
        <v>0</v>
      </c>
      <c r="U34" s="65"/>
      <c r="V34" s="66" t="n">
        <f aca="false">SUM(Q34:U34)</f>
        <v>1151493.47724951</v>
      </c>
    </row>
    <row r="35" customFormat="false" ht="12.75" hidden="false" customHeight="false" outlineLevel="0" collapsed="false">
      <c r="A35" s="62" t="s">
        <v>46</v>
      </c>
      <c r="B35" s="74" t="n">
        <f aca="false">+'SUM - C$'!B33/'SUM-USD'!B$3</f>
        <v>3310238.64266062</v>
      </c>
      <c r="C35" s="74" t="n">
        <f aca="false">+'SUM - C$'!C33/'SUM-USD'!C$3</f>
        <v>863113.781238359</v>
      </c>
      <c r="D35" s="64" t="n">
        <f aca="false">+'SUM - C$'!D33/'SUM-USD'!D$3</f>
        <v>0</v>
      </c>
      <c r="E35" s="64" t="n">
        <f aca="false">+'SUM - C$'!E33/'SUM-USD'!E$3</f>
        <v>0</v>
      </c>
      <c r="F35" s="64" t="n">
        <f aca="false">+'SUM - C$'!F33/'SUM-USD'!F$3</f>
        <v>0</v>
      </c>
      <c r="G35" s="64" t="n">
        <f aca="false">+'SUM - C$'!G33/'SUM-USD'!G$3</f>
        <v>0</v>
      </c>
      <c r="H35" s="64" t="n">
        <f aca="false">+'SUM - C$'!H33/'SUM-USD'!H$3</f>
        <v>0</v>
      </c>
      <c r="I35" s="64" t="n">
        <f aca="false">+'SUM - C$'!I33/'SUM-USD'!I$3</f>
        <v>0</v>
      </c>
      <c r="J35" s="64" t="n">
        <f aca="false">+'SUM - C$'!J33/'SUM-USD'!J$3</f>
        <v>0</v>
      </c>
      <c r="K35" s="64" t="n">
        <f aca="false">+'SUM - C$'!K33/'SUM-USD'!K$3</f>
        <v>0</v>
      </c>
      <c r="L35" s="64" t="n">
        <f aca="false">+'SUM - C$'!L33/'SUM-USD'!L$3</f>
        <v>0</v>
      </c>
      <c r="M35" s="64" t="n">
        <f aca="false">+'SUM - C$'!M33/'SUM-USD'!M$3</f>
        <v>0</v>
      </c>
      <c r="N35" s="65"/>
      <c r="O35" s="66" t="n">
        <f aca="false">SUM(B35:N35)</f>
        <v>4173352.42389898</v>
      </c>
      <c r="P35" s="81"/>
      <c r="Q35" s="68" t="n">
        <f aca="false">+SUM(B35:D35)</f>
        <v>4173352.42389898</v>
      </c>
      <c r="R35" s="65" t="n">
        <f aca="false">+SUM(E35:G35)</f>
        <v>0</v>
      </c>
      <c r="S35" s="65" t="n">
        <f aca="false">+SUM(H35:J35)</f>
        <v>0</v>
      </c>
      <c r="T35" s="65" t="n">
        <f aca="false">+SUM(K35:M35)</f>
        <v>0</v>
      </c>
      <c r="U35" s="65"/>
      <c r="V35" s="66" t="n">
        <f aca="false">SUM(Q35:U35)</f>
        <v>4173352.42389898</v>
      </c>
    </row>
    <row r="36" customFormat="false" ht="13.5" hidden="false" customHeight="false" outlineLevel="0" collapsed="false">
      <c r="A36" s="75" t="s">
        <v>36</v>
      </c>
      <c r="B36" s="76" t="n">
        <f aca="false">SUM(B31:B35)</f>
        <v>10672473.9184258</v>
      </c>
      <c r="C36" s="76" t="n">
        <f aca="false">SUM(C31:C35)</f>
        <v>4933155.76267526</v>
      </c>
      <c r="D36" s="76" t="n">
        <f aca="false">SUM(D31:D35)</f>
        <v>0</v>
      </c>
      <c r="E36" s="76" t="n">
        <f aca="false">SUM(E31:E35)</f>
        <v>0</v>
      </c>
      <c r="F36" s="76" t="n">
        <f aca="false">SUM(F31:F35)</f>
        <v>0</v>
      </c>
      <c r="G36" s="76" t="n">
        <f aca="false">SUM(G31:G35)</f>
        <v>0</v>
      </c>
      <c r="H36" s="76" t="n">
        <f aca="false">SUM(H31:H35)</f>
        <v>0</v>
      </c>
      <c r="I36" s="76" t="n">
        <f aca="false">SUM(I31:I35)</f>
        <v>0</v>
      </c>
      <c r="J36" s="76" t="n">
        <f aca="false">SUM(J31:J35)</f>
        <v>0</v>
      </c>
      <c r="K36" s="76" t="n">
        <f aca="false">SUM(K31:K35)</f>
        <v>0</v>
      </c>
      <c r="L36" s="76" t="n">
        <f aca="false">SUM(L31:L35)</f>
        <v>0</v>
      </c>
      <c r="M36" s="76" t="n">
        <f aca="false">SUM(M31:M35)</f>
        <v>0</v>
      </c>
      <c r="N36" s="78"/>
      <c r="O36" s="79" t="n">
        <f aca="false">SUM(O31:O35)</f>
        <v>15605629.681101</v>
      </c>
      <c r="P36" s="81"/>
      <c r="Q36" s="80" t="n">
        <f aca="false">SUM(Q31:Q35)</f>
        <v>15605629.681101</v>
      </c>
      <c r="R36" s="76" t="n">
        <f aca="false">SUM(R31:R35)</f>
        <v>0</v>
      </c>
      <c r="S36" s="76" t="n">
        <f aca="false">SUM(S31:S35)</f>
        <v>0</v>
      </c>
      <c r="T36" s="76" t="n">
        <f aca="false">SUM(T31:T35)</f>
        <v>0</v>
      </c>
      <c r="U36" s="78"/>
      <c r="V36" s="79" t="n">
        <f aca="false">SUM(V31:V35)</f>
        <v>15605629.681101</v>
      </c>
    </row>
    <row r="37" customFormat="false" ht="12.75" hidden="true" customHeight="false" outlineLevel="0" collapsed="false">
      <c r="A37" s="0" t="s">
        <v>39</v>
      </c>
      <c r="B37" s="81" t="n">
        <f aca="false">+B36-B19</f>
        <v>0</v>
      </c>
      <c r="C37" s="81" t="n">
        <f aca="false">+C36-C19</f>
        <v>0</v>
      </c>
      <c r="D37" s="81" t="n">
        <f aca="false">+D36-D19</f>
        <v>0</v>
      </c>
      <c r="E37" s="81" t="n">
        <f aca="false">+E36-E19</f>
        <v>0</v>
      </c>
      <c r="F37" s="81" t="n">
        <f aca="false">+F36-F19</f>
        <v>0</v>
      </c>
      <c r="G37" s="81" t="n">
        <f aca="false">+G36-G19</f>
        <v>0</v>
      </c>
      <c r="H37" s="81" t="n">
        <f aca="false">+H36-H19</f>
        <v>0</v>
      </c>
      <c r="I37" s="81" t="n">
        <f aca="false">+I36-I19</f>
        <v>0</v>
      </c>
      <c r="J37" s="81" t="n">
        <f aca="false">+J36-J19</f>
        <v>0</v>
      </c>
      <c r="K37" s="81" t="n">
        <f aca="false">+K36-K19</f>
        <v>0</v>
      </c>
      <c r="L37" s="81" t="n">
        <f aca="false">+L36-L19</f>
        <v>0</v>
      </c>
      <c r="M37" s="81" t="n">
        <f aca="false">+M36-M19</f>
        <v>0</v>
      </c>
      <c r="N37" s="81"/>
      <c r="O37" s="81"/>
      <c r="P37" s="81"/>
      <c r="Q37" s="81" t="n">
        <f aca="false">+Q36-Q19</f>
        <v>0</v>
      </c>
      <c r="R37" s="81" t="n">
        <f aca="false">+R36-R19</f>
        <v>0</v>
      </c>
      <c r="S37" s="81" t="n">
        <f aca="false">+S36-S19</f>
        <v>0</v>
      </c>
      <c r="T37" s="81" t="n">
        <f aca="false">+T36-T19</f>
        <v>0</v>
      </c>
      <c r="U37" s="81"/>
      <c r="V37" s="81"/>
    </row>
    <row r="38" customFormat="false" ht="12.75" hidden="false" customHeight="false" outlineLevel="0" collapsed="false">
      <c r="U38" s="2"/>
    </row>
    <row r="39" customFormat="false" ht="12.75" hidden="false" customHeight="false" outlineLevel="0" collapsed="false">
      <c r="B39" s="96"/>
      <c r="U39" s="2"/>
    </row>
    <row r="40" customFormat="false" ht="12.75" hidden="false" customHeight="false" outlineLevel="0" collapsed="false">
      <c r="U40" s="2"/>
    </row>
    <row r="41" customFormat="false" ht="12.75" hidden="false" customHeight="false" outlineLevel="0" collapsed="false">
      <c r="U41" s="2"/>
    </row>
    <row r="42" customFormat="false" ht="12.75" hidden="false" customHeight="false" outlineLevel="0" collapsed="false">
      <c r="U42" s="2"/>
    </row>
    <row r="43" customFormat="false" ht="12.75" hidden="false" customHeight="false" outlineLevel="0" collapsed="false">
      <c r="U43" s="2"/>
    </row>
    <row r="44" customFormat="false" ht="12.75" hidden="false" customHeight="false" outlineLevel="0" collapsed="false">
      <c r="U44" s="2"/>
    </row>
    <row r="45" customFormat="false" ht="12.75" hidden="false" customHeight="false" outlineLevel="0" collapsed="false">
      <c r="U45" s="2"/>
    </row>
    <row r="46" customFormat="false" ht="12.75" hidden="false" customHeight="false" outlineLevel="0" collapsed="false">
      <c r="U46" s="2"/>
    </row>
    <row r="47" customFormat="false" ht="12.75" hidden="false" customHeight="false" outlineLevel="0" collapsed="false">
      <c r="U47"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45"/>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0.28"/>
    <col collapsed="false" customWidth="true" hidden="false" outlineLevel="0" max="3" min="3" style="0" width="9.85"/>
    <col collapsed="false" customWidth="true" hidden="false" outlineLevel="0" max="5" min="4" style="0" width="9.56"/>
    <col collapsed="false" customWidth="true" hidden="false" outlineLevel="0" max="6" min="6" style="0" width="9.85"/>
    <col collapsed="false" customWidth="true" hidden="false" outlineLevel="0" max="7" min="7" style="0" width="9.56"/>
    <col collapsed="false" customWidth="true" hidden="false" outlineLevel="0" max="8" min="8" style="0" width="10.41"/>
    <col collapsed="false" customWidth="true" hidden="false" outlineLevel="0" max="9" min="9" style="0" width="9.56"/>
    <col collapsed="false" customWidth="true" hidden="false" outlineLevel="0" max="11" min="10" style="0" width="10.13"/>
    <col collapsed="false" customWidth="true" hidden="false" outlineLevel="0" max="13" min="12" style="0" width="10.56"/>
    <col collapsed="false" customWidth="true" hidden="false" outlineLevel="0" max="14" min="14" style="2" width="0.99"/>
    <col collapsed="false" customWidth="true" hidden="false" outlineLevel="0" max="15" min="15" style="0" width="10.71"/>
    <col collapsed="false" customWidth="true" hidden="false" outlineLevel="0" max="16" min="16" style="0" width="1.7"/>
    <col collapsed="false" customWidth="true" hidden="false" outlineLevel="0" max="17" min="17" style="0" width="9.85"/>
    <col collapsed="false" customWidth="true" hidden="false" outlineLevel="0" max="18" min="18" style="0" width="10.28"/>
    <col collapsed="false" customWidth="true" hidden="false" outlineLevel="0" max="19" min="19" style="0" width="11.13"/>
    <col collapsed="false" customWidth="true" hidden="false" outlineLevel="0" max="20" min="20" style="0" width="10.99"/>
    <col collapsed="false" customWidth="true" hidden="false" outlineLevel="0" max="21" min="21" style="0" width="1.99"/>
    <col collapsed="false" customWidth="true" hidden="false" outlineLevel="0" max="22" min="22" style="0" width="10.99"/>
  </cols>
  <sheetData>
    <row r="1" customFormat="false" ht="15.75" hidden="false" customHeight="false" outlineLevel="0" collapsed="false">
      <c r="A1" s="3" t="s">
        <v>47</v>
      </c>
    </row>
    <row r="2" customFormat="false" ht="13.5" hidden="false" customHeight="false" outlineLevel="0" collapsed="false">
      <c r="L2" s="32"/>
      <c r="M2" s="32"/>
    </row>
    <row r="3" customFormat="false" ht="12.75" hidden="false" customHeight="false" outlineLevel="0" collapsed="false">
      <c r="B3" s="34"/>
      <c r="C3" s="35"/>
      <c r="D3" s="35"/>
      <c r="E3" s="35"/>
      <c r="F3" s="35"/>
      <c r="G3" s="35"/>
      <c r="H3" s="35"/>
      <c r="I3" s="35"/>
      <c r="J3" s="35"/>
      <c r="K3" s="36"/>
      <c r="L3" s="36"/>
      <c r="M3" s="36"/>
      <c r="N3" s="35"/>
      <c r="O3" s="37"/>
      <c r="Q3" s="38"/>
      <c r="R3" s="39"/>
      <c r="S3" s="39"/>
      <c r="T3" s="40" t="s">
        <v>23</v>
      </c>
      <c r="U3" s="39"/>
      <c r="V3" s="41"/>
    </row>
    <row r="4" customFormat="false" ht="13.5" hidden="false" customHeight="false" outlineLevel="0" collapsed="false">
      <c r="B4" s="97" t="n">
        <v>36892</v>
      </c>
      <c r="C4" s="98" t="n">
        <v>36923</v>
      </c>
      <c r="D4" s="98" t="n">
        <v>36951</v>
      </c>
      <c r="E4" s="98" t="n">
        <v>36982</v>
      </c>
      <c r="F4" s="98" t="n">
        <v>37012</v>
      </c>
      <c r="G4" s="98" t="n">
        <v>37043</v>
      </c>
      <c r="H4" s="98" t="n">
        <v>37073</v>
      </c>
      <c r="I4" s="98" t="n">
        <v>37104</v>
      </c>
      <c r="J4" s="98" t="n">
        <v>37135</v>
      </c>
      <c r="K4" s="98" t="n">
        <v>37165</v>
      </c>
      <c r="L4" s="43" t="n">
        <v>37196</v>
      </c>
      <c r="M4" s="43" t="n">
        <v>37226</v>
      </c>
      <c r="N4" s="44"/>
      <c r="O4" s="45" t="s">
        <v>17</v>
      </c>
      <c r="Q4" s="46" t="s">
        <v>24</v>
      </c>
      <c r="R4" s="47" t="s">
        <v>25</v>
      </c>
      <c r="S4" s="47" t="s">
        <v>26</v>
      </c>
      <c r="T4" s="47" t="s">
        <v>27</v>
      </c>
      <c r="U4" s="48"/>
      <c r="V4" s="49" t="s">
        <v>17</v>
      </c>
    </row>
    <row r="5" customFormat="false" ht="12.75" hidden="false" customHeight="false" outlineLevel="0" collapsed="false">
      <c r="A5" s="50" t="s">
        <v>28</v>
      </c>
      <c r="B5" s="51"/>
      <c r="C5" s="51"/>
      <c r="D5" s="51"/>
      <c r="E5" s="51"/>
      <c r="F5" s="51"/>
      <c r="G5" s="51"/>
      <c r="H5" s="51"/>
      <c r="I5" s="51"/>
      <c r="J5" s="51"/>
      <c r="K5" s="51"/>
      <c r="L5" s="51"/>
      <c r="M5" s="51"/>
      <c r="N5" s="52"/>
      <c r="O5" s="53"/>
      <c r="Q5" s="54" t="str">
        <f aca="false">+A5</f>
        <v>BY BOOK:</v>
      </c>
      <c r="R5" s="55"/>
      <c r="S5" s="55"/>
      <c r="T5" s="55"/>
      <c r="U5" s="52"/>
      <c r="V5" s="53"/>
    </row>
    <row r="6" customFormat="false" ht="12.75" hidden="false" customHeight="false" outlineLevel="0" collapsed="false">
      <c r="A6" s="56" t="s">
        <v>29</v>
      </c>
      <c r="B6" s="57"/>
      <c r="C6" s="58"/>
      <c r="D6" s="58"/>
      <c r="E6" s="58"/>
      <c r="F6" s="58"/>
      <c r="G6" s="58"/>
      <c r="H6" s="58"/>
      <c r="I6" s="58"/>
      <c r="J6" s="58"/>
      <c r="K6" s="58"/>
      <c r="L6" s="58"/>
      <c r="M6" s="58"/>
      <c r="N6" s="59"/>
      <c r="O6" s="60"/>
      <c r="Q6" s="61"/>
      <c r="R6" s="58"/>
      <c r="S6" s="58"/>
      <c r="T6" s="58"/>
      <c r="U6" s="59"/>
      <c r="V6" s="60"/>
    </row>
    <row r="7" customFormat="false" ht="12.75" hidden="false" customHeight="false" outlineLevel="0" collapsed="false">
      <c r="A7" s="62" t="s">
        <v>48</v>
      </c>
      <c r="B7" s="63" t="n">
        <f aca="false">+[1]Report!$G$56</f>
        <v>810557.720000001</v>
      </c>
      <c r="C7" s="63" t="n">
        <f aca="false">+[3]Report!$G$56</f>
        <v>-881957</v>
      </c>
      <c r="D7" s="64"/>
      <c r="E7" s="64"/>
      <c r="F7" s="64"/>
      <c r="G7" s="64"/>
      <c r="H7" s="64"/>
      <c r="I7" s="64"/>
      <c r="J7" s="64"/>
      <c r="K7" s="64"/>
      <c r="L7" s="64"/>
      <c r="M7" s="64"/>
      <c r="N7" s="65"/>
      <c r="O7" s="66"/>
      <c r="P7" s="67"/>
      <c r="Q7" s="68" t="n">
        <f aca="false">+SUM(B7:D7)</f>
        <v>-71399.2799999993</v>
      </c>
      <c r="R7" s="65" t="n">
        <f aca="false">+SUM(E7:G7)</f>
        <v>0</v>
      </c>
      <c r="S7" s="65" t="n">
        <f aca="false">+SUM(H7:J7)</f>
        <v>0</v>
      </c>
      <c r="T7" s="65" t="n">
        <f aca="false">+SUM(K7:M7)</f>
        <v>0</v>
      </c>
      <c r="U7" s="65"/>
      <c r="V7" s="66" t="n">
        <f aca="false">SUM(Q7:U7)</f>
        <v>-71399.2799999993</v>
      </c>
    </row>
    <row r="8" customFormat="false" ht="12.75" hidden="false" customHeight="false" outlineLevel="0" collapsed="false">
      <c r="A8" s="62" t="s">
        <v>49</v>
      </c>
      <c r="B8" s="69" t="n">
        <f aca="false">+[1]Report!$M$56</f>
        <v>3582468</v>
      </c>
      <c r="C8" s="69" t="n">
        <f aca="false">+[3]Report!$M$56</f>
        <v>3643562</v>
      </c>
      <c r="D8" s="64"/>
      <c r="E8" s="64"/>
      <c r="F8" s="64"/>
      <c r="G8" s="64"/>
      <c r="H8" s="64"/>
      <c r="I8" s="64"/>
      <c r="J8" s="64"/>
      <c r="K8" s="64"/>
      <c r="L8" s="70"/>
      <c r="M8" s="70"/>
      <c r="N8" s="65"/>
      <c r="O8" s="66"/>
      <c r="P8" s="67"/>
      <c r="Q8" s="68" t="n">
        <f aca="false">+SUM(B8:D8)</f>
        <v>7226030</v>
      </c>
      <c r="R8" s="65" t="n">
        <f aca="false">+SUM(E8:G8)</f>
        <v>0</v>
      </c>
      <c r="S8" s="65" t="n">
        <f aca="false">+SUM(H8:J8)</f>
        <v>0</v>
      </c>
      <c r="T8" s="65" t="n">
        <f aca="false">+SUM(K8:M8)</f>
        <v>0</v>
      </c>
      <c r="U8" s="65"/>
      <c r="V8" s="66" t="n">
        <f aca="false">SUM(Q8:U8)</f>
        <v>7226030</v>
      </c>
    </row>
    <row r="9" customFormat="false" ht="12.75" hidden="false" customHeight="false" outlineLevel="0" collapsed="false">
      <c r="A9" s="62" t="s">
        <v>50</v>
      </c>
      <c r="B9" s="99" t="n">
        <f aca="false">+[1]Report!$S$56</f>
        <v>5706304</v>
      </c>
      <c r="C9" s="99" t="n">
        <f aca="false">+[3]Report!$S$56</f>
        <v>182876</v>
      </c>
      <c r="D9" s="64"/>
      <c r="E9" s="64"/>
      <c r="F9" s="64"/>
      <c r="G9" s="64"/>
      <c r="H9" s="64"/>
      <c r="I9" s="64"/>
      <c r="J9" s="64"/>
      <c r="K9" s="64"/>
      <c r="L9" s="64"/>
      <c r="M9" s="64"/>
      <c r="N9" s="65"/>
      <c r="O9" s="66"/>
      <c r="P9" s="67"/>
      <c r="Q9" s="68" t="n">
        <f aca="false">+SUM(B9:D9)</f>
        <v>5889180</v>
      </c>
      <c r="R9" s="65" t="n">
        <f aca="false">+SUM(E9:G9)</f>
        <v>0</v>
      </c>
      <c r="S9" s="65" t="n">
        <f aca="false">+SUM(H9:J9)</f>
        <v>0</v>
      </c>
      <c r="T9" s="65" t="n">
        <f aca="false">+SUM(K9:M9)</f>
        <v>0</v>
      </c>
      <c r="U9" s="65"/>
      <c r="V9" s="66" t="n">
        <f aca="false">SUM(Q9:U9)</f>
        <v>5889180</v>
      </c>
    </row>
    <row r="10" customFormat="false" ht="12.75" hidden="false" customHeight="false" outlineLevel="0" collapsed="false">
      <c r="A10" s="62" t="s">
        <v>51</v>
      </c>
      <c r="B10" s="71" t="n">
        <f aca="false">+[1]Report!$AA$56</f>
        <v>-440421</v>
      </c>
      <c r="C10" s="71" t="n">
        <f aca="false">+[3]Report!$AA$56</f>
        <v>3583108</v>
      </c>
      <c r="D10" s="64"/>
      <c r="E10" s="64"/>
      <c r="F10" s="64"/>
      <c r="G10" s="64"/>
      <c r="H10" s="64"/>
      <c r="I10" s="64"/>
      <c r="J10" s="64"/>
      <c r="K10" s="70"/>
      <c r="L10" s="64"/>
      <c r="M10" s="64"/>
      <c r="N10" s="65"/>
      <c r="O10" s="66"/>
      <c r="P10" s="67"/>
      <c r="Q10" s="68" t="n">
        <f aca="false">+SUM(B10:D10)</f>
        <v>3142687</v>
      </c>
      <c r="R10" s="65" t="n">
        <f aca="false">+SUM(E10:G10)</f>
        <v>0</v>
      </c>
      <c r="S10" s="65" t="n">
        <f aca="false">+SUM(H10:J10)</f>
        <v>0</v>
      </c>
      <c r="T10" s="65" t="n">
        <f aca="false">+SUM(K10:M10)</f>
        <v>0</v>
      </c>
      <c r="U10" s="65"/>
      <c r="V10" s="66" t="n">
        <f aca="false">SUM(Q10:U10)</f>
        <v>3142687</v>
      </c>
    </row>
    <row r="11" customFormat="false" ht="12.75" hidden="false" customHeight="false" outlineLevel="0" collapsed="false">
      <c r="A11" s="56" t="s">
        <v>30</v>
      </c>
      <c r="B11" s="65"/>
      <c r="C11" s="64"/>
      <c r="D11" s="64"/>
      <c r="E11" s="64"/>
      <c r="F11" s="64"/>
      <c r="G11" s="64"/>
      <c r="H11" s="64"/>
      <c r="I11" s="64"/>
      <c r="J11" s="64"/>
      <c r="K11" s="64"/>
      <c r="L11" s="64"/>
      <c r="M11" s="64"/>
      <c r="N11" s="65"/>
      <c r="O11" s="66"/>
      <c r="P11" s="67"/>
      <c r="Q11" s="68" t="n">
        <f aca="false">+SUM(B11:D11)</f>
        <v>0</v>
      </c>
      <c r="R11" s="65" t="n">
        <f aca="false">+SUM(E11:G11)</f>
        <v>0</v>
      </c>
      <c r="S11" s="65" t="n">
        <f aca="false">+SUM(H11:J11)</f>
        <v>0</v>
      </c>
      <c r="T11" s="65" t="n">
        <f aca="false">+SUM(K11:M11)</f>
        <v>0</v>
      </c>
      <c r="U11" s="65"/>
      <c r="V11" s="66"/>
    </row>
    <row r="12" customFormat="false" ht="12.75" hidden="false" customHeight="false" outlineLevel="0" collapsed="false">
      <c r="A12" s="62" t="s">
        <v>31</v>
      </c>
      <c r="B12" s="73" t="n">
        <f aca="false">+[2]Lavo!$I$18</f>
        <v>2562489.78792051</v>
      </c>
      <c r="C12" s="73" t="n">
        <f aca="false">+[14]Lavo!$I$18</f>
        <v>-841902.25807877</v>
      </c>
      <c r="D12" s="64"/>
      <c r="E12" s="64"/>
      <c r="F12" s="64"/>
      <c r="G12" s="64"/>
      <c r="H12" s="64"/>
      <c r="I12" s="64"/>
      <c r="J12" s="64"/>
      <c r="K12" s="64"/>
      <c r="L12" s="64"/>
      <c r="M12" s="64"/>
      <c r="N12" s="65"/>
      <c r="O12" s="66"/>
      <c r="P12" s="67"/>
      <c r="Q12" s="68" t="n">
        <f aca="false">+SUM(B12:D12)</f>
        <v>1720587.52984174</v>
      </c>
      <c r="R12" s="65" t="n">
        <f aca="false">+SUM(E12:G12)</f>
        <v>0</v>
      </c>
      <c r="S12" s="65" t="n">
        <f aca="false">+SUM(H12:J12)</f>
        <v>0</v>
      </c>
      <c r="T12" s="65" t="n">
        <f aca="false">+SUM(K12:M12)</f>
        <v>0</v>
      </c>
      <c r="U12" s="65"/>
      <c r="V12" s="66" t="n">
        <f aca="false">SUM(Q12:U12)</f>
        <v>1720587.52984174</v>
      </c>
    </row>
    <row r="13" customFormat="false" ht="12.75" hidden="false" customHeight="false" outlineLevel="0" collapsed="false">
      <c r="A13" s="62" t="s">
        <v>32</v>
      </c>
      <c r="B13" s="74" t="n">
        <f aca="false">+[2]Lavo!$I$38</f>
        <v>4976317.1</v>
      </c>
      <c r="C13" s="74" t="n">
        <f aca="false">+[14]Lavo!$I$38</f>
        <v>1313859.540744</v>
      </c>
      <c r="D13" s="70"/>
      <c r="E13" s="64"/>
      <c r="F13" s="64"/>
      <c r="G13" s="64"/>
      <c r="H13" s="64"/>
      <c r="I13" s="64"/>
      <c r="J13" s="64"/>
      <c r="K13" s="64"/>
      <c r="L13" s="64"/>
      <c r="M13" s="64"/>
      <c r="N13" s="65"/>
      <c r="O13" s="66"/>
      <c r="P13" s="67"/>
      <c r="Q13" s="68" t="n">
        <f aca="false">+SUM(B13:D13)</f>
        <v>6290176.640744</v>
      </c>
      <c r="R13" s="65" t="n">
        <f aca="false">+SUM(E13:G13)</f>
        <v>0</v>
      </c>
      <c r="S13" s="65" t="n">
        <f aca="false">+SUM(H13:J13)</f>
        <v>0</v>
      </c>
      <c r="T13" s="65" t="n">
        <f aca="false">+SUM(K13:M13)</f>
        <v>0</v>
      </c>
      <c r="U13" s="65"/>
      <c r="V13" s="66" t="n">
        <f aca="false">SUM(Q13:U13)</f>
        <v>6290176.640744</v>
      </c>
    </row>
    <row r="14" customFormat="false" ht="12.75" hidden="false" customHeight="false" outlineLevel="0" collapsed="false">
      <c r="A14" s="62" t="s">
        <v>33</v>
      </c>
      <c r="B14" s="63" t="n">
        <f aca="false">+[2]Lavo!$I$50</f>
        <v>-1226698.6</v>
      </c>
      <c r="C14" s="63" t="n">
        <f aca="false">+[14]Lavo!$I$50</f>
        <v>53498.9849999994</v>
      </c>
      <c r="D14" s="64"/>
      <c r="E14" s="64"/>
      <c r="F14" s="64"/>
      <c r="G14" s="64"/>
      <c r="H14" s="64"/>
      <c r="I14" s="64"/>
      <c r="J14" s="64"/>
      <c r="K14" s="64"/>
      <c r="L14" s="64"/>
      <c r="M14" s="64"/>
      <c r="N14" s="65"/>
      <c r="O14" s="66"/>
      <c r="P14" s="67"/>
      <c r="Q14" s="68" t="n">
        <f aca="false">+SUM(B14:D14)</f>
        <v>-1173199.615</v>
      </c>
      <c r="R14" s="65" t="n">
        <f aca="false">+SUM(E14:G14)</f>
        <v>0</v>
      </c>
      <c r="S14" s="65" t="n">
        <f aca="false">+SUM(H14:J14)</f>
        <v>0</v>
      </c>
      <c r="T14" s="65" t="n">
        <f aca="false">+SUM(K14:M14)</f>
        <v>0</v>
      </c>
      <c r="U14" s="65"/>
      <c r="V14" s="66" t="n">
        <f aca="false">SUM(Q14:U14)</f>
        <v>-1173199.615</v>
      </c>
    </row>
    <row r="15" customFormat="false" ht="12.75" hidden="false" customHeight="false" outlineLevel="0" collapsed="false">
      <c r="A15" s="62" t="s">
        <v>34</v>
      </c>
      <c r="B15" s="63" t="n">
        <f aca="false">+[2]Lavo!$I$54</f>
        <v>367</v>
      </c>
      <c r="C15" s="63" t="n">
        <f aca="false">+[14]Lavo!$I$54</f>
        <v>329145</v>
      </c>
      <c r="D15" s="64"/>
      <c r="E15" s="64"/>
      <c r="F15" s="64"/>
      <c r="G15" s="64"/>
      <c r="H15" s="64"/>
      <c r="I15" s="64"/>
      <c r="J15" s="64"/>
      <c r="K15" s="64"/>
      <c r="L15" s="64"/>
      <c r="M15" s="64"/>
      <c r="N15" s="65"/>
      <c r="O15" s="66"/>
      <c r="P15" s="67"/>
      <c r="Q15" s="68" t="n">
        <f aca="false">+SUM(B15:D15)</f>
        <v>329512</v>
      </c>
      <c r="R15" s="65" t="n">
        <f aca="false">+SUM(E15:G15)</f>
        <v>0</v>
      </c>
      <c r="S15" s="65" t="n">
        <f aca="false">+SUM(H15:J15)</f>
        <v>0</v>
      </c>
      <c r="T15" s="65" t="n">
        <f aca="false">+SUM(K15:M15)</f>
        <v>0</v>
      </c>
      <c r="U15" s="65"/>
      <c r="V15" s="66" t="n">
        <f aca="false">SUM(Q15:U15)</f>
        <v>329512</v>
      </c>
    </row>
    <row r="16" customFormat="false" ht="12.75" hidden="false" customHeight="false" outlineLevel="0" collapsed="false">
      <c r="A16" s="62" t="s">
        <v>35</v>
      </c>
      <c r="B16" s="71" t="n">
        <f aca="false">+[2]Lavo!$I$56</f>
        <v>72660</v>
      </c>
      <c r="C16" s="71" t="n">
        <f aca="false">+[14]Lavo!$I$56</f>
        <v>127218</v>
      </c>
      <c r="D16" s="64"/>
      <c r="E16" s="64"/>
      <c r="F16" s="64"/>
      <c r="G16" s="64"/>
      <c r="H16" s="64"/>
      <c r="I16" s="64"/>
      <c r="J16" s="64"/>
      <c r="K16" s="64"/>
      <c r="L16" s="64"/>
      <c r="M16" s="64"/>
      <c r="N16" s="65"/>
      <c r="O16" s="66"/>
      <c r="P16" s="67"/>
      <c r="Q16" s="68" t="n">
        <f aca="false">+SUM(B16:D16)</f>
        <v>199878</v>
      </c>
      <c r="R16" s="65" t="n">
        <f aca="false">+SUM(E16:G16)</f>
        <v>0</v>
      </c>
      <c r="S16" s="65" t="n">
        <f aca="false">+SUM(H16:J16)</f>
        <v>0</v>
      </c>
      <c r="T16" s="65" t="n">
        <f aca="false">+SUM(K16:M16)</f>
        <v>0</v>
      </c>
      <c r="U16" s="65"/>
      <c r="V16" s="66" t="n">
        <f aca="false">SUM(Q16:U16)</f>
        <v>199878</v>
      </c>
    </row>
    <row r="17" customFormat="false" ht="13.5" hidden="false" customHeight="false" outlineLevel="0" collapsed="false">
      <c r="A17" s="75" t="s">
        <v>36</v>
      </c>
      <c r="B17" s="76" t="n">
        <f aca="false">SUM(B7:B16)</f>
        <v>16044044.0079205</v>
      </c>
      <c r="C17" s="77" t="n">
        <f aca="false">SUM(C7:C16)</f>
        <v>7509408.26766523</v>
      </c>
      <c r="D17" s="77" t="n">
        <f aca="false">SUM(D7:D16)</f>
        <v>0</v>
      </c>
      <c r="E17" s="77" t="n">
        <f aca="false">SUM(E7:E16)</f>
        <v>0</v>
      </c>
      <c r="F17" s="77" t="n">
        <f aca="false">SUM(F7:F16)</f>
        <v>0</v>
      </c>
      <c r="G17" s="77" t="n">
        <f aca="false">SUM(G7:G16)</f>
        <v>0</v>
      </c>
      <c r="H17" s="77" t="n">
        <f aca="false">SUM(H7:H16)</f>
        <v>0</v>
      </c>
      <c r="I17" s="77" t="n">
        <f aca="false">SUM(I7:I16)</f>
        <v>0</v>
      </c>
      <c r="J17" s="77" t="n">
        <f aca="false">SUM(J7:J16)</f>
        <v>0</v>
      </c>
      <c r="K17" s="77" t="n">
        <f aca="false">SUM(K7:K16)</f>
        <v>0</v>
      </c>
      <c r="L17" s="77" t="n">
        <f aca="false">SUM(L7:L16)</f>
        <v>0</v>
      </c>
      <c r="M17" s="77" t="n">
        <f aca="false">SUM(M7:M16)</f>
        <v>0</v>
      </c>
      <c r="N17" s="78"/>
      <c r="O17" s="79" t="n">
        <f aca="false">SUM(O7:O16)</f>
        <v>0</v>
      </c>
      <c r="P17" s="67"/>
      <c r="Q17" s="80" t="n">
        <f aca="false">SUM(Q7:Q16)</f>
        <v>23553452.2755857</v>
      </c>
      <c r="R17" s="76" t="n">
        <f aca="false">SUM(R7:R16)</f>
        <v>0</v>
      </c>
      <c r="S17" s="76" t="n">
        <f aca="false">SUM(S7:S16)</f>
        <v>0</v>
      </c>
      <c r="T17" s="76" t="n">
        <f aca="false">SUM(T7:T16)</f>
        <v>0</v>
      </c>
      <c r="U17" s="78"/>
      <c r="V17" s="79" t="n">
        <f aca="false">SUM(V7:V16)</f>
        <v>23553452.2755857</v>
      </c>
    </row>
    <row r="18" customFormat="false" ht="12.75" hidden="false" customHeight="false" outlineLevel="0" collapsed="false">
      <c r="B18" s="81"/>
      <c r="C18" s="82"/>
      <c r="D18" s="82"/>
      <c r="E18" s="82"/>
      <c r="F18" s="82"/>
      <c r="G18" s="82"/>
      <c r="H18" s="82"/>
      <c r="I18" s="82"/>
      <c r="J18" s="82"/>
      <c r="K18" s="82"/>
      <c r="L18" s="82"/>
      <c r="M18" s="82"/>
      <c r="N18" s="65"/>
      <c r="O18" s="81"/>
      <c r="P18" s="67"/>
      <c r="Q18" s="81"/>
      <c r="R18" s="81"/>
      <c r="S18" s="81"/>
      <c r="T18" s="81"/>
      <c r="U18" s="65"/>
      <c r="V18" s="81"/>
    </row>
    <row r="19" customFormat="false" ht="13.5" hidden="false" customHeight="false" outlineLevel="0" collapsed="false">
      <c r="B19" s="81"/>
      <c r="C19" s="82"/>
      <c r="D19" s="82"/>
      <c r="E19" s="82"/>
      <c r="F19" s="82"/>
      <c r="G19" s="82"/>
      <c r="H19" s="82"/>
      <c r="I19" s="82"/>
      <c r="J19" s="82"/>
      <c r="K19" s="82"/>
      <c r="L19" s="82"/>
      <c r="M19" s="82"/>
      <c r="N19" s="65"/>
      <c r="O19" s="81"/>
      <c r="P19" s="67"/>
      <c r="Q19" s="81"/>
      <c r="R19" s="81"/>
      <c r="S19" s="81"/>
      <c r="T19" s="81"/>
      <c r="U19" s="65"/>
      <c r="V19" s="81"/>
    </row>
    <row r="20" customFormat="false" ht="12.75" hidden="false" customHeight="false" outlineLevel="0" collapsed="false">
      <c r="A20" s="50" t="s">
        <v>37</v>
      </c>
      <c r="B20" s="83"/>
      <c r="C20" s="84"/>
      <c r="D20" s="84"/>
      <c r="E20" s="84"/>
      <c r="F20" s="84"/>
      <c r="G20" s="84"/>
      <c r="H20" s="84"/>
      <c r="I20" s="84"/>
      <c r="J20" s="84"/>
      <c r="K20" s="84"/>
      <c r="L20" s="84"/>
      <c r="M20" s="84"/>
      <c r="N20" s="83"/>
      <c r="O20" s="85"/>
      <c r="P20" s="67"/>
      <c r="Q20" s="50" t="s">
        <v>37</v>
      </c>
      <c r="R20" s="83"/>
      <c r="S20" s="83"/>
      <c r="T20" s="83"/>
      <c r="U20" s="83"/>
      <c r="V20" s="85"/>
    </row>
    <row r="21" customFormat="false" ht="12.75" hidden="false" customHeight="false" outlineLevel="0" collapsed="false">
      <c r="A21" s="62" t="s">
        <v>38</v>
      </c>
      <c r="B21" s="65" t="n">
        <f aca="false">+[1]Report!$AC$56</f>
        <v>9658908.72</v>
      </c>
      <c r="C21" s="65" t="n">
        <f aca="false">+[3]Report!$AC$56</f>
        <v>6527589</v>
      </c>
      <c r="D21" s="64"/>
      <c r="E21" s="64"/>
      <c r="F21" s="64"/>
      <c r="G21" s="64"/>
      <c r="H21" s="64"/>
      <c r="I21" s="64"/>
      <c r="J21" s="64"/>
      <c r="K21" s="64"/>
      <c r="L21" s="64"/>
      <c r="M21" s="64"/>
      <c r="N21" s="65"/>
      <c r="O21" s="66"/>
      <c r="P21" s="67"/>
      <c r="Q21" s="68" t="n">
        <f aca="false">+SUM(B21:D21)</f>
        <v>16186497.72</v>
      </c>
      <c r="R21" s="65" t="n">
        <f aca="false">+SUM(E21:G21)</f>
        <v>0</v>
      </c>
      <c r="S21" s="65" t="n">
        <f aca="false">+SUM(H21:J21)</f>
        <v>0</v>
      </c>
      <c r="T21" s="65" t="n">
        <f aca="false">+SUM(K21:M21)</f>
        <v>0</v>
      </c>
      <c r="U21" s="65"/>
      <c r="V21" s="66" t="n">
        <f aca="false">SUM(Q21:U21)</f>
        <v>16186497.72</v>
      </c>
    </row>
    <row r="22" customFormat="false" ht="11.25" hidden="false" customHeight="false" outlineLevel="0" collapsed="false">
      <c r="A22" s="86" t="s">
        <v>39</v>
      </c>
      <c r="B22" s="87" t="n">
        <f aca="false">+B21-SUM(B7:B10)</f>
        <v>0</v>
      </c>
      <c r="C22" s="88" t="n">
        <f aca="false">+C21-SUM(C7:C10)</f>
        <v>0</v>
      </c>
      <c r="D22" s="88" t="n">
        <f aca="false">+D21-SUM(D7:D10)</f>
        <v>0</v>
      </c>
      <c r="E22" s="88" t="n">
        <f aca="false">+E21-SUM(E7:E10)</f>
        <v>0</v>
      </c>
      <c r="F22" s="88" t="n">
        <f aca="false">+F21-SUM(F7:F10)</f>
        <v>0</v>
      </c>
      <c r="G22" s="88" t="n">
        <f aca="false">+G21-SUM(G7:G10)</f>
        <v>0</v>
      </c>
      <c r="H22" s="88" t="n">
        <f aca="false">+H21-SUM(H7:H10)</f>
        <v>0</v>
      </c>
      <c r="I22" s="88" t="n">
        <f aca="false">+I21-SUM(I7:I10)</f>
        <v>0</v>
      </c>
      <c r="J22" s="88" t="n">
        <f aca="false">+J21-SUM(J7:J10)</f>
        <v>0</v>
      </c>
      <c r="K22" s="88" t="n">
        <f aca="false">+K21-SUM(K7:K10)</f>
        <v>0</v>
      </c>
      <c r="L22" s="88" t="n">
        <f aca="false">+L21-SUM(L7:L10)</f>
        <v>0</v>
      </c>
      <c r="M22" s="88" t="n">
        <f aca="false">+M21-SUM(M7:M10)</f>
        <v>0</v>
      </c>
      <c r="N22" s="87"/>
      <c r="O22" s="66" t="n">
        <f aca="false">SUM(B22:N22)</f>
        <v>0</v>
      </c>
      <c r="P22" s="89"/>
      <c r="Q22" s="68" t="n">
        <f aca="false">+SUM(B22:D22)</f>
        <v>0</v>
      </c>
      <c r="R22" s="65" t="n">
        <f aca="false">+SUM(E22:G22)</f>
        <v>0</v>
      </c>
      <c r="S22" s="65" t="n">
        <f aca="false">+SUM(H22:J22)</f>
        <v>0</v>
      </c>
      <c r="T22" s="65" t="n">
        <f aca="false">+SUM(K22:M22)</f>
        <v>0</v>
      </c>
      <c r="U22" s="87"/>
      <c r="V22" s="66" t="n">
        <f aca="false">SUM(I22:U22)</f>
        <v>0</v>
      </c>
    </row>
    <row r="23" customFormat="false" ht="12.75" hidden="false" customHeight="false" outlineLevel="0" collapsed="false">
      <c r="A23" s="62" t="s">
        <v>40</v>
      </c>
      <c r="B23" s="65" t="n">
        <f aca="false">+[2]Lavo!$I$63</f>
        <v>6385135.28792051</v>
      </c>
      <c r="C23" s="65" t="n">
        <f aca="false">+[14]Lavo!$I$63</f>
        <v>981819.267665228</v>
      </c>
      <c r="D23" s="64"/>
      <c r="E23" s="64"/>
      <c r="F23" s="70"/>
      <c r="G23" s="64"/>
      <c r="H23" s="64"/>
      <c r="I23" s="64"/>
      <c r="J23" s="64"/>
      <c r="K23" s="64"/>
      <c r="L23" s="64"/>
      <c r="M23" s="64"/>
      <c r="N23" s="65"/>
      <c r="O23" s="66"/>
      <c r="P23" s="67"/>
      <c r="Q23" s="68" t="n">
        <f aca="false">+SUM(B23:D23)</f>
        <v>7366954.55558573</v>
      </c>
      <c r="R23" s="65" t="n">
        <f aca="false">+SUM(E23:G23)</f>
        <v>0</v>
      </c>
      <c r="S23" s="65" t="n">
        <f aca="false">+SUM(H23:J23)</f>
        <v>0</v>
      </c>
      <c r="T23" s="65" t="n">
        <f aca="false">+SUM(K23:M23)</f>
        <v>0</v>
      </c>
      <c r="U23" s="65"/>
      <c r="V23" s="66" t="n">
        <f aca="false">SUM(Q23:T23)</f>
        <v>7366954.55558573</v>
      </c>
    </row>
    <row r="24" customFormat="false" ht="9" hidden="false" customHeight="false" outlineLevel="0" collapsed="false">
      <c r="A24" s="86" t="s">
        <v>39</v>
      </c>
      <c r="B24" s="87" t="n">
        <f aca="false">+B23-SUM(B12:B16)</f>
        <v>0</v>
      </c>
      <c r="C24" s="88" t="n">
        <f aca="false">+C23-SUM(C12:C16)</f>
        <v>0</v>
      </c>
      <c r="D24" s="88" t="n">
        <f aca="false">+D23-SUM(D12:D16)</f>
        <v>0</v>
      </c>
      <c r="E24" s="88" t="n">
        <f aca="false">+E23-SUM(E12:E16)</f>
        <v>0</v>
      </c>
      <c r="F24" s="88" t="n">
        <f aca="false">+F23-SUM(F12:F16)</f>
        <v>0</v>
      </c>
      <c r="G24" s="88" t="n">
        <f aca="false">+G23-SUM(G12:G16)</f>
        <v>0</v>
      </c>
      <c r="H24" s="88" t="n">
        <f aca="false">+H23-SUM(H12:H16)</f>
        <v>0</v>
      </c>
      <c r="I24" s="88" t="n">
        <f aca="false">+I23-SUM(I12:I16)</f>
        <v>0</v>
      </c>
      <c r="J24" s="88" t="n">
        <f aca="false">+J23-SUM(J12:J16)</f>
        <v>0</v>
      </c>
      <c r="K24" s="88" t="n">
        <f aca="false">+K23-SUM(K12:K16)</f>
        <v>0</v>
      </c>
      <c r="L24" s="88" t="n">
        <f aca="false">+L23-SUM(L12:L16)</f>
        <v>0</v>
      </c>
      <c r="M24" s="88" t="n">
        <f aca="false">+M23-SUM(M12:M16)</f>
        <v>0</v>
      </c>
      <c r="N24" s="87"/>
      <c r="O24" s="90" t="n">
        <f aca="false">+O23+O21-O17</f>
        <v>0</v>
      </c>
      <c r="P24" s="89"/>
      <c r="Q24" s="91" t="n">
        <f aca="false">+Q23-SUM(Q12:Q16)</f>
        <v>0</v>
      </c>
      <c r="R24" s="87" t="n">
        <f aca="false">+R23-SUM(R12:R16)</f>
        <v>0</v>
      </c>
      <c r="S24" s="87" t="n">
        <f aca="false">+S23-SUM(S12:S16)</f>
        <v>0</v>
      </c>
      <c r="T24" s="87" t="n">
        <f aca="false">+T23-SUM(T12:T16)</f>
        <v>0</v>
      </c>
      <c r="U24" s="87" t="n">
        <f aca="false">+U23-SUM(U12:U16)</f>
        <v>0</v>
      </c>
      <c r="V24" s="90" t="n">
        <f aca="false">+V23-SUM(V12:V16)</f>
        <v>0</v>
      </c>
    </row>
    <row r="25" customFormat="false" ht="13.5" hidden="false" customHeight="false" outlineLevel="0" collapsed="false">
      <c r="A25" s="75" t="s">
        <v>36</v>
      </c>
      <c r="B25" s="76" t="n">
        <f aca="false">+B23+B21</f>
        <v>16044044.0079205</v>
      </c>
      <c r="C25" s="77" t="n">
        <f aca="false">+C23+C21</f>
        <v>7509408.26766523</v>
      </c>
      <c r="D25" s="77" t="n">
        <f aca="false">+D23+D21</f>
        <v>0</v>
      </c>
      <c r="E25" s="77" t="n">
        <f aca="false">+E23+E21</f>
        <v>0</v>
      </c>
      <c r="F25" s="77" t="n">
        <f aca="false">+F23+F21</f>
        <v>0</v>
      </c>
      <c r="G25" s="77" t="n">
        <f aca="false">+G23+G21</f>
        <v>0</v>
      </c>
      <c r="H25" s="77" t="n">
        <f aca="false">+H23+H21</f>
        <v>0</v>
      </c>
      <c r="I25" s="77" t="n">
        <f aca="false">+I23+I21</f>
        <v>0</v>
      </c>
      <c r="J25" s="77" t="n">
        <f aca="false">+J23+J21</f>
        <v>0</v>
      </c>
      <c r="K25" s="77" t="n">
        <f aca="false">+K23+K21</f>
        <v>0</v>
      </c>
      <c r="L25" s="77" t="n">
        <f aca="false">+L23+L21</f>
        <v>0</v>
      </c>
      <c r="M25" s="77" t="n">
        <f aca="false">+M23+M21</f>
        <v>0</v>
      </c>
      <c r="N25" s="78"/>
      <c r="O25" s="79" t="n">
        <f aca="false">+O23+O21</f>
        <v>0</v>
      </c>
      <c r="P25" s="67"/>
      <c r="Q25" s="80" t="n">
        <f aca="false">+Q23+Q21</f>
        <v>23553452.2755857</v>
      </c>
      <c r="R25" s="76" t="n">
        <f aca="false">+R23+R21</f>
        <v>0</v>
      </c>
      <c r="S25" s="76" t="n">
        <f aca="false">+S23+S21</f>
        <v>0</v>
      </c>
      <c r="T25" s="76" t="n">
        <f aca="false">+T23+T21</f>
        <v>0</v>
      </c>
      <c r="U25" s="78"/>
      <c r="V25" s="79" t="n">
        <f aca="false">+V23+V21</f>
        <v>23553452.2755857</v>
      </c>
    </row>
    <row r="26" customFormat="false" ht="12.75" hidden="false" customHeight="false" outlineLevel="0" collapsed="false">
      <c r="A26" s="2"/>
      <c r="B26" s="65"/>
      <c r="C26" s="64"/>
      <c r="D26" s="64"/>
      <c r="E26" s="64"/>
      <c r="F26" s="64"/>
      <c r="G26" s="64"/>
      <c r="H26" s="64"/>
      <c r="I26" s="64"/>
      <c r="J26" s="64"/>
      <c r="K26" s="64"/>
      <c r="L26" s="64"/>
      <c r="M26" s="64"/>
      <c r="N26" s="65"/>
      <c r="O26" s="65"/>
      <c r="P26" s="67"/>
      <c r="Q26" s="65"/>
      <c r="R26" s="65"/>
      <c r="S26" s="65"/>
      <c r="T26" s="65"/>
      <c r="U26" s="65"/>
      <c r="V26" s="65"/>
    </row>
    <row r="27" customFormat="false" ht="13.5" hidden="false" customHeight="false" outlineLevel="0" collapsed="false">
      <c r="A27" s="2"/>
      <c r="B27" s="65"/>
      <c r="C27" s="64"/>
      <c r="D27" s="64"/>
      <c r="E27" s="64"/>
      <c r="F27" s="64"/>
      <c r="G27" s="64"/>
      <c r="H27" s="64"/>
      <c r="I27" s="64"/>
      <c r="J27" s="64"/>
      <c r="K27" s="64"/>
      <c r="L27" s="64"/>
      <c r="M27" s="64"/>
      <c r="N27" s="65"/>
      <c r="O27" s="65"/>
      <c r="P27" s="67"/>
      <c r="Q27" s="65"/>
      <c r="R27" s="65"/>
      <c r="S27" s="65"/>
      <c r="T27" s="65"/>
      <c r="U27" s="65"/>
      <c r="V27" s="65"/>
    </row>
    <row r="28" customFormat="false" ht="15" hidden="false" customHeight="false" outlineLevel="0" collapsed="false">
      <c r="A28" s="50" t="s">
        <v>52</v>
      </c>
      <c r="B28" s="92"/>
      <c r="C28" s="93"/>
      <c r="D28" s="93"/>
      <c r="E28" s="93"/>
      <c r="F28" s="93"/>
      <c r="G28" s="93"/>
      <c r="H28" s="93"/>
      <c r="I28" s="93"/>
      <c r="J28" s="93"/>
      <c r="K28" s="93"/>
      <c r="L28" s="93"/>
      <c r="M28" s="93"/>
      <c r="N28" s="92"/>
      <c r="O28" s="94"/>
      <c r="P28" s="67"/>
      <c r="Q28" s="95" t="str">
        <f aca="false">+A28</f>
        <v>BY AREA/TRADER:</v>
      </c>
      <c r="R28" s="92"/>
      <c r="S28" s="92"/>
      <c r="T28" s="92"/>
      <c r="U28" s="92"/>
      <c r="V28" s="94"/>
    </row>
    <row r="29" customFormat="false" ht="12.75" hidden="false" customHeight="false" outlineLevel="0" collapsed="false">
      <c r="A29" s="62" t="s">
        <v>42</v>
      </c>
      <c r="B29" s="63" t="n">
        <f aca="false">+B7+B9+B15+B14</f>
        <v>5290530.12</v>
      </c>
      <c r="C29" s="63" t="n">
        <f aca="false">+C7+C9+C15+C14</f>
        <v>-316437.015000001</v>
      </c>
      <c r="D29" s="64"/>
      <c r="E29" s="64"/>
      <c r="F29" s="64"/>
      <c r="G29" s="64"/>
      <c r="H29" s="64"/>
      <c r="I29" s="64"/>
      <c r="J29" s="64"/>
      <c r="K29" s="64"/>
      <c r="L29" s="64"/>
      <c r="M29" s="64"/>
      <c r="N29" s="65"/>
      <c r="O29" s="66" t="n">
        <f aca="false">SUM(B29:N29)</f>
        <v>4974093.105</v>
      </c>
      <c r="P29" s="81"/>
      <c r="Q29" s="68" t="n">
        <f aca="false">+SUM(B29:D29)</f>
        <v>4974093.105</v>
      </c>
      <c r="R29" s="65" t="n">
        <f aca="false">+SUM(E29:G29)</f>
        <v>0</v>
      </c>
      <c r="S29" s="65" t="n">
        <f aca="false">+SUM(H29:J29)</f>
        <v>0</v>
      </c>
      <c r="T29" s="65" t="n">
        <f aca="false">+SUM(K29:M29)</f>
        <v>0</v>
      </c>
      <c r="U29" s="65"/>
      <c r="V29" s="66" t="n">
        <f aca="false">SUM(Q29:U29)</f>
        <v>4974093.105</v>
      </c>
    </row>
    <row r="30" customFormat="false" ht="12.75" hidden="false" customHeight="false" outlineLevel="0" collapsed="false">
      <c r="A30" s="62" t="s">
        <v>43</v>
      </c>
      <c r="B30" s="69" t="n">
        <f aca="false">+B8</f>
        <v>3582468</v>
      </c>
      <c r="C30" s="69" t="n">
        <f aca="false">+C8</f>
        <v>3643562</v>
      </c>
      <c r="D30" s="64"/>
      <c r="E30" s="64"/>
      <c r="F30" s="64"/>
      <c r="G30" s="64"/>
      <c r="H30" s="64"/>
      <c r="I30" s="64"/>
      <c r="J30" s="64"/>
      <c r="K30" s="64"/>
      <c r="L30" s="64"/>
      <c r="M30" s="64"/>
      <c r="N30" s="65"/>
      <c r="O30" s="66" t="n">
        <f aca="false">SUM(B30:N30)</f>
        <v>7226030</v>
      </c>
      <c r="P30" s="81"/>
      <c r="Q30" s="68" t="n">
        <f aca="false">+SUM(B30:D30)</f>
        <v>7226030</v>
      </c>
      <c r="R30" s="65" t="n">
        <f aca="false">+SUM(E30:G30)</f>
        <v>0</v>
      </c>
      <c r="S30" s="65" t="n">
        <f aca="false">+SUM(H30:J30)</f>
        <v>0</v>
      </c>
      <c r="T30" s="65" t="n">
        <f aca="false">+SUM(K30:M30)</f>
        <v>0</v>
      </c>
      <c r="U30" s="65"/>
      <c r="V30" s="66" t="n">
        <f aca="false">SUM(Q30:U30)</f>
        <v>7226030</v>
      </c>
    </row>
    <row r="31" customFormat="false" ht="12.75" hidden="false" customHeight="false" outlineLevel="0" collapsed="false">
      <c r="A31" s="62" t="s">
        <v>44</v>
      </c>
      <c r="B31" s="71" t="n">
        <f aca="false">+B10+B16</f>
        <v>-367761</v>
      </c>
      <c r="C31" s="71" t="n">
        <f aca="false">+C10+C16</f>
        <v>3710326</v>
      </c>
      <c r="D31" s="64"/>
      <c r="E31" s="64"/>
      <c r="F31" s="64"/>
      <c r="G31" s="64"/>
      <c r="H31" s="64"/>
      <c r="I31" s="64"/>
      <c r="J31" s="64"/>
      <c r="K31" s="64"/>
      <c r="L31" s="64"/>
      <c r="M31" s="64"/>
      <c r="N31" s="65"/>
      <c r="O31" s="66" t="n">
        <f aca="false">SUM(B31:N31)</f>
        <v>3342565</v>
      </c>
      <c r="P31" s="81"/>
      <c r="Q31" s="68" t="n">
        <f aca="false">+SUM(B31:D31)</f>
        <v>3342565</v>
      </c>
      <c r="R31" s="65" t="n">
        <f aca="false">+SUM(E31:G31)</f>
        <v>0</v>
      </c>
      <c r="S31" s="65" t="n">
        <f aca="false">+SUM(H31:J31)</f>
        <v>0</v>
      </c>
      <c r="T31" s="65" t="n">
        <f aca="false">+SUM(K31:M31)</f>
        <v>0</v>
      </c>
      <c r="U31" s="65"/>
      <c r="V31" s="66" t="n">
        <f aca="false">SUM(Q31:U31)</f>
        <v>3342565</v>
      </c>
    </row>
    <row r="32" customFormat="false" ht="12.75" hidden="false" customHeight="false" outlineLevel="0" collapsed="false">
      <c r="A32" s="62" t="s">
        <v>45</v>
      </c>
      <c r="B32" s="73" t="n">
        <f aca="false">+B12</f>
        <v>2562489.78792051</v>
      </c>
      <c r="C32" s="73" t="n">
        <f aca="false">+C12</f>
        <v>-841902.25807877</v>
      </c>
      <c r="D32" s="64"/>
      <c r="E32" s="64"/>
      <c r="F32" s="64"/>
      <c r="G32" s="64"/>
      <c r="H32" s="64"/>
      <c r="I32" s="64"/>
      <c r="J32" s="64"/>
      <c r="K32" s="64"/>
      <c r="L32" s="64"/>
      <c r="M32" s="64"/>
      <c r="N32" s="65"/>
      <c r="O32" s="66" t="n">
        <f aca="false">SUM(B32:N32)</f>
        <v>1720587.52984174</v>
      </c>
      <c r="P32" s="81"/>
      <c r="Q32" s="68" t="n">
        <f aca="false">+SUM(B32:D32)</f>
        <v>1720587.52984174</v>
      </c>
      <c r="R32" s="65" t="n">
        <f aca="false">+SUM(E32:G32)</f>
        <v>0</v>
      </c>
      <c r="S32" s="65" t="n">
        <f aca="false">+SUM(H32:J32)</f>
        <v>0</v>
      </c>
      <c r="T32" s="65" t="n">
        <f aca="false">+SUM(K32:M32)</f>
        <v>0</v>
      </c>
      <c r="U32" s="65"/>
      <c r="V32" s="66" t="n">
        <f aca="false">SUM(Q32:U32)</f>
        <v>1720587.52984174</v>
      </c>
    </row>
    <row r="33" customFormat="false" ht="12.75" hidden="false" customHeight="false" outlineLevel="0" collapsed="false">
      <c r="A33" s="62" t="s">
        <v>46</v>
      </c>
      <c r="B33" s="74" t="n">
        <f aca="false">+B13</f>
        <v>4976317.1</v>
      </c>
      <c r="C33" s="74" t="n">
        <f aca="false">+C13</f>
        <v>1313859.540744</v>
      </c>
      <c r="D33" s="64"/>
      <c r="E33" s="64"/>
      <c r="F33" s="64"/>
      <c r="G33" s="64"/>
      <c r="H33" s="64"/>
      <c r="I33" s="64"/>
      <c r="J33" s="64"/>
      <c r="K33" s="64"/>
      <c r="L33" s="64"/>
      <c r="M33" s="64"/>
      <c r="N33" s="65"/>
      <c r="O33" s="66" t="n">
        <f aca="false">SUM(B33:N33)</f>
        <v>6290176.640744</v>
      </c>
      <c r="P33" s="81"/>
      <c r="Q33" s="68" t="n">
        <f aca="false">+SUM(B33:D33)</f>
        <v>6290176.640744</v>
      </c>
      <c r="R33" s="65" t="n">
        <f aca="false">+SUM(E33:G33)</f>
        <v>0</v>
      </c>
      <c r="S33" s="65" t="n">
        <f aca="false">+SUM(H33:J33)</f>
        <v>0</v>
      </c>
      <c r="T33" s="65" t="n">
        <f aca="false">+SUM(K33:M33)</f>
        <v>0</v>
      </c>
      <c r="U33" s="65"/>
      <c r="V33" s="66" t="n">
        <f aca="false">SUM(Q33:U33)</f>
        <v>6290176.640744</v>
      </c>
    </row>
    <row r="34" customFormat="false" ht="13.5" hidden="false" customHeight="false" outlineLevel="0" collapsed="false">
      <c r="A34" s="75" t="s">
        <v>36</v>
      </c>
      <c r="B34" s="76" t="n">
        <f aca="false">SUM(B29:B33)</f>
        <v>16044044.0079205</v>
      </c>
      <c r="C34" s="76" t="n">
        <f aca="false">SUM(C29:C33)</f>
        <v>7509408.26766523</v>
      </c>
      <c r="D34" s="76" t="n">
        <f aca="false">SUM(D29:D33)</f>
        <v>0</v>
      </c>
      <c r="E34" s="76" t="n">
        <f aca="false">SUM(E29:E33)</f>
        <v>0</v>
      </c>
      <c r="F34" s="76" t="n">
        <f aca="false">SUM(F29:F33)</f>
        <v>0</v>
      </c>
      <c r="G34" s="76" t="n">
        <f aca="false">SUM(G29:G33)</f>
        <v>0</v>
      </c>
      <c r="H34" s="76" t="n">
        <f aca="false">SUM(H29:H33)</f>
        <v>0</v>
      </c>
      <c r="I34" s="76" t="n">
        <f aca="false">SUM(I29:I33)</f>
        <v>0</v>
      </c>
      <c r="J34" s="76" t="n">
        <f aca="false">SUM(J29:J33)</f>
        <v>0</v>
      </c>
      <c r="K34" s="76" t="n">
        <f aca="false">SUM(K29:K33)</f>
        <v>0</v>
      </c>
      <c r="L34" s="76" t="n">
        <f aca="false">SUM(L29:L33)</f>
        <v>0</v>
      </c>
      <c r="M34" s="76" t="n">
        <f aca="false">SUM(M29:M33)</f>
        <v>0</v>
      </c>
      <c r="N34" s="78"/>
      <c r="O34" s="79" t="n">
        <f aca="false">SUM(O29:O33)</f>
        <v>23553452.2755857</v>
      </c>
      <c r="P34" s="81"/>
      <c r="Q34" s="80" t="n">
        <f aca="false">SUM(Q29:Q33)</f>
        <v>23553452.2755857</v>
      </c>
      <c r="R34" s="76" t="n">
        <f aca="false">SUM(R29:R33)</f>
        <v>0</v>
      </c>
      <c r="S34" s="76" t="n">
        <f aca="false">SUM(S29:S33)</f>
        <v>0</v>
      </c>
      <c r="T34" s="76" t="n">
        <f aca="false">SUM(T29:T33)</f>
        <v>0</v>
      </c>
      <c r="U34" s="78"/>
      <c r="V34" s="79" t="n">
        <f aca="false">SUM(V29:V33)</f>
        <v>23553452.2755857</v>
      </c>
    </row>
    <row r="35" customFormat="false" ht="12.75" hidden="true" customHeight="false" outlineLevel="0" collapsed="false">
      <c r="A35" s="0" t="s">
        <v>39</v>
      </c>
      <c r="B35" s="81" t="n">
        <f aca="false">+B34-B17</f>
        <v>0</v>
      </c>
      <c r="C35" s="81" t="n">
        <f aca="false">+C34-C17</f>
        <v>0</v>
      </c>
      <c r="D35" s="81" t="n">
        <f aca="false">+D34-D17</f>
        <v>0</v>
      </c>
      <c r="E35" s="81" t="n">
        <f aca="false">+E34-E17</f>
        <v>0</v>
      </c>
      <c r="F35" s="81" t="n">
        <f aca="false">+F34-F17</f>
        <v>0</v>
      </c>
      <c r="G35" s="81" t="n">
        <f aca="false">+G34-G17</f>
        <v>0</v>
      </c>
      <c r="H35" s="81" t="n">
        <f aca="false">+H34-H17</f>
        <v>0</v>
      </c>
      <c r="I35" s="81" t="n">
        <f aca="false">+I34-I17</f>
        <v>0</v>
      </c>
      <c r="J35" s="81" t="n">
        <f aca="false">+J34-J17</f>
        <v>0</v>
      </c>
      <c r="K35" s="81" t="n">
        <f aca="false">+K34-K17</f>
        <v>0</v>
      </c>
      <c r="L35" s="81" t="n">
        <f aca="false">+L34-L17</f>
        <v>0</v>
      </c>
      <c r="M35" s="81" t="n">
        <f aca="false">+M34-M17</f>
        <v>0</v>
      </c>
      <c r="N35" s="81"/>
      <c r="O35" s="81"/>
      <c r="P35" s="81"/>
      <c r="Q35" s="81" t="n">
        <f aca="false">+Q34-Q17</f>
        <v>0</v>
      </c>
      <c r="R35" s="81" t="n">
        <f aca="false">+R34-R17</f>
        <v>0</v>
      </c>
      <c r="S35" s="81" t="n">
        <f aca="false">+S34-S17</f>
        <v>0</v>
      </c>
      <c r="T35" s="81" t="n">
        <f aca="false">+T34-T17</f>
        <v>0</v>
      </c>
      <c r="U35" s="81"/>
      <c r="V35" s="81"/>
    </row>
    <row r="36" customFormat="false" ht="12.75" hidden="false" customHeight="false" outlineLevel="0" collapsed="false">
      <c r="O36" s="67" t="n">
        <f aca="false">+O34-O25</f>
        <v>23553452.2755857</v>
      </c>
      <c r="U36" s="2"/>
    </row>
    <row r="37" customFormat="false" ht="12.75" hidden="false" customHeight="false" outlineLevel="0" collapsed="false">
      <c r="U37" s="2"/>
    </row>
    <row r="38" customFormat="false" ht="12.75" hidden="false" customHeight="false" outlineLevel="0" collapsed="false">
      <c r="U38" s="2"/>
    </row>
    <row r="39" customFormat="false" ht="12.75" hidden="false" customHeight="false" outlineLevel="0" collapsed="false">
      <c r="U39" s="2"/>
    </row>
    <row r="40" customFormat="false" ht="12.75" hidden="false" customHeight="false" outlineLevel="0" collapsed="false">
      <c r="U40" s="2"/>
    </row>
    <row r="41" customFormat="false" ht="12.75" hidden="false" customHeight="false" outlineLevel="0" collapsed="false">
      <c r="U41" s="2"/>
    </row>
    <row r="42" customFormat="false" ht="12.75" hidden="false" customHeight="false" outlineLevel="0" collapsed="false">
      <c r="U42" s="2"/>
    </row>
    <row r="43" customFormat="false" ht="12.75" hidden="false" customHeight="false" outlineLevel="0" collapsed="false">
      <c r="U43" s="2"/>
    </row>
    <row r="44" customFormat="false" ht="12.75" hidden="false" customHeight="false" outlineLevel="0" collapsed="false">
      <c r="U44" s="2"/>
    </row>
    <row r="45" customFormat="false" ht="12.75" hidden="false" customHeight="false" outlineLevel="0" collapsed="false">
      <c r="U45"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2000-10-27T18:07:45Z</dcterms:created>
  <dc:creator>kreeve1</dc:creator>
  <dc:description/>
  <dc:language>en-US</dc:language>
  <cp:lastModifiedBy>kreeve1</cp:lastModifiedBy>
  <cp:lastPrinted>2000-12-07T21:40:50Z</cp:lastPrinted>
  <cp:revision>0</cp:revision>
  <dc:subject/>
  <dc:title/>
</cp:coreProperties>
</file>