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18.xml" ContentType="application/vnd.openxmlformats-officedocument.spreadsheetml.worksheet+xml"/>
  <Override PartName="/xl/worksheets/sheet17.xml" ContentType="application/vnd.openxmlformats-officedocument.spreadsheetml.worksheet+xml"/>
  <Override PartName="/xl/worksheets/sheet16.xml" ContentType="application/vnd.openxmlformats-officedocument.spreadsheetml.worksheet+xml"/>
  <Override PartName="/xl/worksheets/sheet15.xml" ContentType="application/vnd.openxmlformats-officedocument.spreadsheetml.worksheet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7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9.xml" ContentType="application/vnd.openxmlformats-officedocument.spreadsheetml.worksheet+xml"/>
  <Override PartName="/xl/worksheets/sheet14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OSTION" sheetId="1" state="visible" r:id="rId3"/>
    <sheet name="KATY_PHYS" sheetId="2" state="visible" r:id="rId4"/>
    <sheet name="HH_SWAP" sheetId="3" state="visible" r:id="rId5"/>
    <sheet name="HSC_SWAP" sheetId="4" state="visible" r:id="rId6"/>
    <sheet name="KATY_SWAP" sheetId="5" state="visible" r:id="rId7"/>
    <sheet name="WAHA_SWAP" sheetId="6" state="visible" r:id="rId8"/>
    <sheet name="PERM_SWAP" sheetId="7" state="visible" r:id="rId9"/>
    <sheet name="DEC_SWAP" sheetId="8" state="visible" r:id="rId10"/>
    <sheet name="JAN_SWAP" sheetId="9" state="visible" r:id="rId11"/>
    <sheet name="FEB_SWAP" sheetId="10" state="visible" r:id="rId12"/>
    <sheet name="MAR_SWAP" sheetId="11" state="visible" r:id="rId13"/>
    <sheet name="Z-H_SWAP" sheetId="12" state="visible" r:id="rId14"/>
    <sheet name="J-V_SWAP" sheetId="13" state="visible" r:id="rId15"/>
    <sheet name="KATY_aug" sheetId="14" state="visible" r:id="rId16"/>
    <sheet name="hsc_aug" sheetId="15" state="visible" r:id="rId17"/>
    <sheet name="FOM" sheetId="16" state="visible" r:id="rId18"/>
    <sheet name="priorday" sheetId="17" state="visible" r:id="rId19"/>
    <sheet name="scale" sheetId="18" state="visible" r:id="rId20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<sst xmlns="http://schemas.openxmlformats.org/spreadsheetml/2006/main" count="318" uniqueCount="56">
  <si>
    <t xml:space="preserve">MTM</t>
  </si>
  <si>
    <t xml:space="preserve">POSTION</t>
  </si>
  <si>
    <t xml:space="preserve">ROLL OFF</t>
  </si>
  <si>
    <t xml:space="preserve">NEW DEAL</t>
  </si>
  <si>
    <t xml:space="preserve">NET</t>
  </si>
  <si>
    <t xml:space="preserve">ROLLOFF VALUE</t>
  </si>
  <si>
    <t xml:space="preserve">change</t>
  </si>
  <si>
    <t xml:space="preserve">PRIOR POSTION</t>
  </si>
  <si>
    <t xml:space="preserve">CHANGE</t>
  </si>
  <si>
    <t xml:space="preserve">DEC</t>
  </si>
  <si>
    <t xml:space="preserve">JAN</t>
  </si>
  <si>
    <t xml:space="preserve">FEB</t>
  </si>
  <si>
    <t xml:space="preserve">MAR</t>
  </si>
  <si>
    <t xml:space="preserve">Z-H</t>
  </si>
  <si>
    <t xml:space="preserve">J-V</t>
  </si>
  <si>
    <t xml:space="preserve">CAL2</t>
  </si>
  <si>
    <t xml:space="preserve">HH_SWAP</t>
  </si>
  <si>
    <t xml:space="preserve">HSC_SWAP</t>
  </si>
  <si>
    <t xml:space="preserve">KATY_SWAP</t>
  </si>
  <si>
    <t xml:space="preserve">WAHA_SWAP</t>
  </si>
  <si>
    <t xml:space="preserve">PERMIAN_SWAP</t>
  </si>
  <si>
    <t xml:space="preserve">KATY_PHYS</t>
  </si>
  <si>
    <t xml:space="preserve">TOTAL</t>
  </si>
  <si>
    <t xml:space="preserve">Katy_ AUG</t>
  </si>
  <si>
    <t xml:space="preserve">HH_AUG</t>
  </si>
  <si>
    <t xml:space="preserve">KA</t>
  </si>
  <si>
    <t xml:space="preserve">Hsc_AUG</t>
  </si>
  <si>
    <t xml:space="preserve">basis</t>
  </si>
  <si>
    <t xml:space="preserve">NUMBER OF DAYS</t>
  </si>
  <si>
    <t xml:space="preserve">PRIOR</t>
  </si>
  <si>
    <t xml:space="preserve">,30</t>
  </si>
  <si>
    <t xml:space="preserve">SELL</t>
  </si>
  <si>
    <t xml:space="preserve">BUY</t>
  </si>
  <si>
    <t xml:space="preserve">BEGINNING</t>
  </si>
  <si>
    <t xml:space="preserve">ROLLOFF VAULE</t>
  </si>
  <si>
    <t xml:space="preserve">NEW DEALS</t>
  </si>
  <si>
    <t xml:space="preserve">TOTAL  P&amp;L</t>
  </si>
  <si>
    <t xml:space="preserve">NET POSTION</t>
  </si>
  <si>
    <t xml:space="preserve">3 DAY ROLL</t>
  </si>
  <si>
    <t xml:space="preserve">ROLL VALUE</t>
  </si>
  <si>
    <t xml:space="preserve">&lt;- Current MTM</t>
  </si>
  <si>
    <t xml:space="preserve">&lt;- Realized PL</t>
  </si>
  <si>
    <t xml:space="preserve">&lt;- MTM PL w/o Real PL</t>
  </si>
  <si>
    <t xml:space="preserve">&lt;- MTM PL with Real PL</t>
  </si>
  <si>
    <t xml:space="preserve">&lt;- Total Pl</t>
  </si>
  <si>
    <t xml:space="preserve">katy index</t>
  </si>
  <si>
    <t xml:space="preserve">katy_ fixed</t>
  </si>
  <si>
    <t xml:space="preserve">HSC index</t>
  </si>
  <si>
    <t xml:space="preserve">HH_fix</t>
  </si>
  <si>
    <t xml:space="preserve">hsc_fix</t>
  </si>
  <si>
    <t xml:space="preserve">jul futs</t>
  </si>
  <si>
    <t xml:space="preserve">aug futs</t>
  </si>
  <si>
    <t xml:space="preserve">sep fut</t>
  </si>
  <si>
    <t xml:space="preserve">n-v</t>
  </si>
  <si>
    <t xml:space="preserve">x-h</t>
  </si>
  <si>
    <t xml:space="preserve">hsc basis</t>
  </si>
</sst>
</file>

<file path=xl/styles.xml><?xml version="1.0" encoding="utf-8"?>
<styleSheet xmlns="http://schemas.openxmlformats.org/spreadsheetml/2006/main">
  <numFmts count="22">
    <numFmt numFmtId="164" formatCode="General"/>
    <numFmt numFmtId="165" formatCode="[$-409]#,##0.00_);[RED]\(#,##0.00\)"/>
    <numFmt numFmtId="166" formatCode="[$-409]#,##0_);[RED]\(#,##0\)"/>
    <numFmt numFmtId="167" formatCode="0.000"/>
    <numFmt numFmtId="168" formatCode="[$-409]m/d/yyyy"/>
    <numFmt numFmtId="169" formatCode="0.00"/>
    <numFmt numFmtId="170" formatCode="0.0000"/>
    <numFmt numFmtId="171" formatCode="\$#,##0_);[RED]&quot;($&quot;#,##0\)"/>
    <numFmt numFmtId="172" formatCode="\$#,##0.00_);[RED]&quot;($&quot;#,##0.00\)"/>
    <numFmt numFmtId="173" formatCode="[$-409]mmm\-yy"/>
    <numFmt numFmtId="174" formatCode="_(* #,##0.00_);_(* \(#,##0.00\);_(* \-??_);_(@_)"/>
    <numFmt numFmtId="175" formatCode="_(* #,##0.0_);_(* \(#,##0.0\);_(* \-??_);_(@_)"/>
    <numFmt numFmtId="176" formatCode="_(\$* #,##0.00_);_(\$* \(#,##0.00\);_(\$* \-??_);_(@_)"/>
    <numFmt numFmtId="177" formatCode="#,##0.00"/>
    <numFmt numFmtId="178" formatCode="_(\$* #,##0_);_(\$* \(#,##0\);_(\$* \-??_);_(@_)"/>
    <numFmt numFmtId="179" formatCode="0.00_);[RED]\(0.00\)"/>
    <numFmt numFmtId="180" formatCode="[$-409]m/d/yyyy\ h:mm"/>
    <numFmt numFmtId="181" formatCode="mm/dd/yy"/>
    <numFmt numFmtId="182" formatCode="_(* #,##0_);_(* \(#,##0\);_(* \-??_);_(@_)"/>
    <numFmt numFmtId="183" formatCode="d\-mmm\-yyyy"/>
    <numFmt numFmtId="184" formatCode="0"/>
    <numFmt numFmtId="185" formatCode="0.0"/>
  </numFmts>
  <fonts count="1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"/>
      <family val="2"/>
    </font>
    <font>
      <b val="true"/>
      <sz val="10"/>
      <name val="Arial"/>
      <family val="2"/>
    </font>
    <font>
      <sz val="10"/>
      <name val="Arial"/>
      <family val="2"/>
    </font>
    <font>
      <b val="true"/>
      <sz val="10"/>
      <color rgb="FF00FFFF"/>
      <name val="Arial"/>
      <family val="2"/>
    </font>
    <font>
      <sz val="10"/>
      <color rgb="FFC0C0C0"/>
      <name val="Arial"/>
      <family val="2"/>
    </font>
    <font>
      <b val="true"/>
      <sz val="8"/>
      <name val="Arial"/>
      <family val="2"/>
    </font>
    <font>
      <b val="true"/>
      <sz val="10"/>
      <color rgb="FF00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00FFFF"/>
        <bgColor rgb="FF00FFFF"/>
      </patternFill>
    </fill>
    <fill>
      <patternFill patternType="solid">
        <fgColor rgb="FF99CCFF"/>
        <bgColor rgb="FFCCCCFF"/>
      </patternFill>
    </fill>
    <fill>
      <patternFill patternType="solid">
        <fgColor rgb="FFC0C0C0"/>
        <bgColor rgb="FFCCCCFF"/>
      </patternFill>
    </fill>
    <fill>
      <patternFill patternType="solid">
        <fgColor rgb="FF00CCFF"/>
        <bgColor rgb="FF33CCCC"/>
      </patternFill>
    </fill>
    <fill>
      <patternFill patternType="solid">
        <fgColor rgb="FFCCFFCC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808080"/>
        <bgColor rgb="FF969696"/>
      </patternFill>
    </fill>
    <fill>
      <patternFill patternType="solid">
        <fgColor rgb="FF00FF00"/>
        <bgColor rgb="FF33CCCC"/>
      </patternFill>
    </fill>
    <fill>
      <patternFill patternType="solid">
        <fgColor rgb="FFFFFF00"/>
        <bgColor rgb="FFFFFF00"/>
      </patternFill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tru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tru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tru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true" indent="0" shrinkToFit="tru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true" indent="0" shrinkToFit="true"/>
      <protection locked="true" hidden="false"/>
    </xf>
    <xf numFmtId="164" fontId="0" fillId="2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3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6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8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9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9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1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9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4" fillId="4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4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4" fillId="1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4" fillId="1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1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4" fillId="1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4" fillId="1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4" fillId="1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4" fillId="1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5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4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4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4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4" fillId="1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9" fillId="1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3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3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9" fillId="3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9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4" fillId="3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9" fillId="1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1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3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1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9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9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0" fillId="1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11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3:P4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28"/>
    <col collapsed="false" customWidth="true" hidden="false" outlineLevel="0" max="2" min="2" style="0" width="8.7"/>
    <col collapsed="false" customWidth="true" hidden="false" outlineLevel="0" max="3" min="3" style="0" width="18.14"/>
    <col collapsed="false" customWidth="true" hidden="false" outlineLevel="0" max="4" min="4" style="0" width="16.28"/>
    <col collapsed="false" customWidth="true" hidden="false" outlineLevel="0" max="6" min="6" style="0" width="11.7"/>
    <col collapsed="false" customWidth="true" hidden="false" outlineLevel="0" max="7" min="7" style="0" width="14.85"/>
    <col collapsed="false" customWidth="true" hidden="false" outlineLevel="0" max="8" min="8" style="0" width="13.41"/>
    <col collapsed="false" customWidth="true" hidden="false" outlineLevel="0" max="9" min="9" style="0" width="9.41"/>
    <col collapsed="false" customWidth="true" hidden="false" outlineLevel="0" max="10" min="10" style="0" width="8.56"/>
    <col collapsed="false" customWidth="true" hidden="false" outlineLevel="0" max="11" min="11" style="0" width="9.85"/>
    <col collapsed="false" customWidth="true" hidden="false" outlineLevel="0" max="12" min="12" style="0" width="10.99"/>
    <col collapsed="false" customWidth="true" hidden="false" outlineLevel="0" max="15" min="15" style="0" width="9.85"/>
  </cols>
  <sheetData>
    <row r="3" customFormat="false" ht="25.5" hidden="false" customHeight="false" outlineLevel="0" collapsed="false">
      <c r="A3" s="1"/>
      <c r="B3" s="1" t="s">
        <v>0</v>
      </c>
      <c r="C3" s="1"/>
      <c r="D3" s="2" t="s">
        <v>1</v>
      </c>
      <c r="E3" s="3" t="s">
        <v>2</v>
      </c>
      <c r="F3" s="1" t="s">
        <v>3</v>
      </c>
      <c r="G3" s="1" t="s">
        <v>0</v>
      </c>
      <c r="H3" s="1" t="s">
        <v>4</v>
      </c>
      <c r="I3" s="1"/>
      <c r="J3" s="4" t="s">
        <v>5</v>
      </c>
      <c r="K3" s="1"/>
      <c r="L3" s="1" t="s">
        <v>6</v>
      </c>
      <c r="M3" s="5" t="s">
        <v>7</v>
      </c>
      <c r="N3" s="1" t="s">
        <v>8</v>
      </c>
      <c r="O3" s="1"/>
    </row>
    <row r="4" customFormat="false" ht="12.75" hidden="false" customHeight="false" outlineLevel="0" collapsed="false">
      <c r="B4" s="6" t="n">
        <v>2.925</v>
      </c>
      <c r="C4" s="7" t="s">
        <v>9</v>
      </c>
      <c r="D4" s="8" t="n">
        <f aca="false">DEC_SWAP!J11</f>
        <v>-32.5</v>
      </c>
      <c r="F4" s="9" t="n">
        <f aca="false">DEC_SWAP!J4</f>
        <v>-36425.0000000001</v>
      </c>
      <c r="G4" s="9" t="n">
        <f aca="false">DEC_SWAP!J2</f>
        <v>16800.0000000001</v>
      </c>
      <c r="H4" s="9" t="n">
        <f aca="false">F4+G4</f>
        <v>-19625</v>
      </c>
      <c r="K4" s="0" t="n">
        <v>2.97</v>
      </c>
      <c r="L4" s="10" t="n">
        <f aca="false">B4-K4</f>
        <v>-0.0450000000000004</v>
      </c>
      <c r="M4" s="8" t="n">
        <v>-46.5</v>
      </c>
      <c r="N4" s="11" t="n">
        <f aca="false">D4-M4</f>
        <v>14</v>
      </c>
      <c r="O4" s="12" t="n">
        <v>37043</v>
      </c>
    </row>
    <row r="5" customFormat="false" ht="12.75" hidden="false" customHeight="false" outlineLevel="0" collapsed="false">
      <c r="B5" s="13" t="n">
        <f aca="false">B4+0.18</f>
        <v>3.105</v>
      </c>
      <c r="C5" s="7" t="s">
        <v>10</v>
      </c>
      <c r="D5" s="8" t="n">
        <f aca="false">JAN_SWAP!J11</f>
        <v>7.75</v>
      </c>
      <c r="F5" s="9" t="n">
        <f aca="false">JAN_SWAP!J4</f>
        <v>-4843.74999999993</v>
      </c>
      <c r="G5" s="9" t="n">
        <f aca="false">JAN_SWAP!J2</f>
        <v>-0</v>
      </c>
      <c r="H5" s="9" t="n">
        <f aca="false">F5+G5</f>
        <v>-4843.74999999993</v>
      </c>
      <c r="K5" s="0" t="n">
        <v>3.142</v>
      </c>
      <c r="L5" s="10" t="n">
        <f aca="false">B5-K5</f>
        <v>-0.0370000000000004</v>
      </c>
      <c r="M5" s="8" t="n">
        <v>-9.3</v>
      </c>
      <c r="N5" s="11" t="n">
        <f aca="false">D5-M5</f>
        <v>17.05</v>
      </c>
      <c r="O5" s="12" t="n">
        <v>37044</v>
      </c>
    </row>
    <row r="6" customFormat="false" ht="12.75" hidden="false" customHeight="false" outlineLevel="0" collapsed="false">
      <c r="B6" s="13" t="n">
        <f aca="false">B5+0.025</f>
        <v>3.13</v>
      </c>
      <c r="C6" s="7" t="s">
        <v>11</v>
      </c>
      <c r="D6" s="8" t="n">
        <f aca="false">FEB_SWAP!J11</f>
        <v>0</v>
      </c>
      <c r="F6" s="9" t="n">
        <f aca="false">FEB_SWAP!J4</f>
        <v>0</v>
      </c>
      <c r="G6" s="9" t="n">
        <f aca="false">FEB_SWAP!J2</f>
        <v>-0</v>
      </c>
      <c r="H6" s="9" t="n">
        <f aca="false">F6+G6</f>
        <v>0</v>
      </c>
      <c r="K6" s="0" t="n">
        <v>3.157</v>
      </c>
      <c r="L6" s="10" t="n">
        <f aca="false">B6-K6</f>
        <v>-0.0270000000000006</v>
      </c>
      <c r="M6" s="8" t="n">
        <v>-3.1</v>
      </c>
      <c r="N6" s="11" t="n">
        <f aca="false">D6-M6</f>
        <v>3.1</v>
      </c>
      <c r="O6" s="12" t="n">
        <v>37045</v>
      </c>
    </row>
    <row r="7" customFormat="false" ht="12.75" hidden="false" customHeight="false" outlineLevel="0" collapsed="false">
      <c r="B7" s="13" t="n">
        <f aca="false">B6-0.028</f>
        <v>3.102</v>
      </c>
      <c r="C7" s="7" t="s">
        <v>12</v>
      </c>
      <c r="D7" s="8" t="n">
        <f aca="false">MAR_SWAP!J11</f>
        <v>0</v>
      </c>
      <c r="F7" s="9" t="n">
        <f aca="false">MAR_SWAP!J4</f>
        <v>0</v>
      </c>
      <c r="G7" s="9" t="n">
        <f aca="false">MAR_SWAP!J2</f>
        <v>-0</v>
      </c>
      <c r="H7" s="9" t="n">
        <f aca="false">F7+G7</f>
        <v>0</v>
      </c>
      <c r="K7" s="0" t="n">
        <v>3.122</v>
      </c>
      <c r="L7" s="10" t="n">
        <f aca="false">B7-K7</f>
        <v>-0.0200000000000005</v>
      </c>
      <c r="M7" s="8" t="n">
        <v>0</v>
      </c>
      <c r="N7" s="11" t="n">
        <f aca="false">D7-M7</f>
        <v>0</v>
      </c>
      <c r="O7" s="12" t="n">
        <v>37046</v>
      </c>
    </row>
    <row r="8" customFormat="false" ht="12.75" hidden="false" customHeight="false" outlineLevel="0" collapsed="false">
      <c r="B8" s="13" t="n">
        <f aca="false">B4+0.1405</f>
        <v>3.0655</v>
      </c>
      <c r="C8" s="7" t="s">
        <v>13</v>
      </c>
      <c r="D8" s="8" t="n">
        <f aca="false">'Z-H_SWAP'!J11</f>
        <v>0</v>
      </c>
      <c r="F8" s="9" t="n">
        <f aca="false">'Z-H_SWAP'!J4</f>
        <v>0</v>
      </c>
      <c r="G8" s="9" t="n">
        <f aca="false">'Z-H_SWAP'!J2</f>
        <v>-0</v>
      </c>
      <c r="H8" s="9" t="n">
        <f aca="false">F8+G8</f>
        <v>0</v>
      </c>
      <c r="K8" s="0" t="n">
        <v>3.09775</v>
      </c>
      <c r="L8" s="10" t="n">
        <f aca="false">B8-K8</f>
        <v>-0.0322500000000003</v>
      </c>
      <c r="M8" s="8" t="n">
        <v>0</v>
      </c>
      <c r="N8" s="11" t="n">
        <f aca="false">D8-M8</f>
        <v>0</v>
      </c>
      <c r="O8" s="12" t="n">
        <v>37047</v>
      </c>
    </row>
    <row r="9" customFormat="false" ht="12.75" hidden="false" customHeight="false" outlineLevel="0" collapsed="false">
      <c r="B9" s="13" t="n">
        <f aca="false">B8+0.108</f>
        <v>3.1735</v>
      </c>
      <c r="C9" s="7" t="s">
        <v>14</v>
      </c>
      <c r="D9" s="8" t="n">
        <f aca="false">'J-V_SWAP'!J11</f>
        <v>0</v>
      </c>
      <c r="F9" s="9" t="n">
        <f aca="false">'Z-H_SWAP'!J5</f>
        <v>0</v>
      </c>
      <c r="G9" s="9" t="n">
        <f aca="false">'J-V_SWAP'!J6</f>
        <v>-16050.0000000001</v>
      </c>
      <c r="H9" s="9" t="n">
        <f aca="false">F9+G9</f>
        <v>-16050.0000000001</v>
      </c>
      <c r="K9" s="0" t="n">
        <v>3.17675</v>
      </c>
      <c r="L9" s="10" t="n">
        <f aca="false">B9-K9</f>
        <v>-0.00325000000000042</v>
      </c>
      <c r="M9" s="8" t="n">
        <v>1</v>
      </c>
      <c r="N9" s="11" t="n">
        <f aca="false">D9-M9</f>
        <v>-1</v>
      </c>
      <c r="O9" s="12"/>
    </row>
    <row r="10" customFormat="false" ht="12.75" hidden="false" customHeight="false" outlineLevel="0" collapsed="false">
      <c r="B10" s="13" t="n">
        <f aca="false">B8+0.16</f>
        <v>3.2255</v>
      </c>
      <c r="C10" s="7" t="s">
        <v>15</v>
      </c>
      <c r="D10" s="8" t="n">
        <f aca="false">'Z-H_SWAP'!J13</f>
        <v>0</v>
      </c>
      <c r="F10" s="9"/>
      <c r="G10" s="9"/>
      <c r="H10" s="9" t="n">
        <f aca="false">F10+G10</f>
        <v>0</v>
      </c>
      <c r="K10" s="0" t="n">
        <v>3.22775</v>
      </c>
      <c r="L10" s="10" t="n">
        <f aca="false">B10-K10</f>
        <v>-0.00225000000000009</v>
      </c>
      <c r="M10" s="8" t="n">
        <v>2</v>
      </c>
      <c r="N10" s="11" t="n">
        <f aca="false">D10-M10</f>
        <v>-2</v>
      </c>
      <c r="O10" s="12"/>
    </row>
    <row r="11" customFormat="false" ht="12.75" hidden="false" customHeight="false" outlineLevel="0" collapsed="false">
      <c r="B11" s="14" t="n">
        <f aca="false">B4-0.225</f>
        <v>2.7</v>
      </c>
      <c r="C11" s="15" t="s">
        <v>16</v>
      </c>
      <c r="D11" s="8" t="n">
        <f aca="false">HH_SWAP!J9</f>
        <v>45</v>
      </c>
      <c r="E11" s="16" t="n">
        <f aca="false">HH_SWAP!J10</f>
        <v>2.14285714285714</v>
      </c>
      <c r="F11" s="9" t="n">
        <f aca="false">HH_SWAP!J4</f>
        <v>-7200.00000000001</v>
      </c>
      <c r="G11" s="9" t="n">
        <f aca="false">HH_SWAP!J2</f>
        <v>0</v>
      </c>
      <c r="H11" s="9" t="n">
        <f aca="false">F11+G11</f>
        <v>-7200.00000000001</v>
      </c>
      <c r="I11" s="0" t="n">
        <f aca="false">IF(J11&lt;1,B11,J11)</f>
        <v>2.54</v>
      </c>
      <c r="J11" s="17" t="n">
        <v>2.54</v>
      </c>
      <c r="K11" s="0" t="n">
        <v>2.715</v>
      </c>
      <c r="L11" s="10" t="n">
        <f aca="false">B11-K11</f>
        <v>-0.0150000000000001</v>
      </c>
      <c r="M11" s="8" t="n">
        <v>-69.7</v>
      </c>
      <c r="N11" s="11" t="n">
        <f aca="false">D11-M11</f>
        <v>114.7</v>
      </c>
      <c r="O11" s="12" t="n">
        <v>37048</v>
      </c>
    </row>
    <row r="12" customFormat="false" ht="12.75" hidden="false" customHeight="false" outlineLevel="0" collapsed="false">
      <c r="B12" s="18" t="n">
        <f aca="false">B11-0.03</f>
        <v>2.67</v>
      </c>
      <c r="C12" s="15" t="s">
        <v>17</v>
      </c>
      <c r="D12" s="8" t="n">
        <f aca="false">HSC_SWAP!J9</f>
        <v>-63</v>
      </c>
      <c r="E12" s="16" t="n">
        <f aca="false">HSC_SWAP!J10</f>
        <v>-3</v>
      </c>
      <c r="F12" s="9" t="n">
        <f aca="false">HSC_SWAP!J4</f>
        <v>-3675.0000000002</v>
      </c>
      <c r="G12" s="9" t="n">
        <f aca="false">HSC_SWAP!J2</f>
        <v>2100.00000000005</v>
      </c>
      <c r="H12" s="9" t="n">
        <f aca="false">F12+G12</f>
        <v>-1575.00000000015</v>
      </c>
      <c r="I12" s="0" t="n">
        <f aca="false">IF(J12&lt;1,B12,J12)</f>
        <v>2.55</v>
      </c>
      <c r="J12" s="17" t="n">
        <v>2.55</v>
      </c>
      <c r="K12" s="0" t="n">
        <v>2.685</v>
      </c>
      <c r="L12" s="10" t="n">
        <f aca="false">B12-K12</f>
        <v>-0.0150000000000001</v>
      </c>
      <c r="M12" s="8" t="n">
        <v>0</v>
      </c>
      <c r="N12" s="11" t="n">
        <f aca="false">D12-M12</f>
        <v>-63</v>
      </c>
      <c r="O12" s="12" t="n">
        <v>37049</v>
      </c>
    </row>
    <row r="13" customFormat="false" ht="12.75" hidden="false" customHeight="false" outlineLevel="0" collapsed="false">
      <c r="B13" s="18" t="n">
        <f aca="false">B12-0.05</f>
        <v>2.62</v>
      </c>
      <c r="C13" s="15" t="s">
        <v>18</v>
      </c>
      <c r="D13" s="8" t="n">
        <f aca="false">KATY_SWAP!J9</f>
        <v>0</v>
      </c>
      <c r="E13" s="16" t="n">
        <f aca="false">KATY_SWAP!J10</f>
        <v>0</v>
      </c>
      <c r="F13" s="9" t="n">
        <f aca="false">KATY_SWAP!J4</f>
        <v>0</v>
      </c>
      <c r="G13" s="9" t="n">
        <f aca="false">KATY_SWAP!J2+KATY_SWAP!J3</f>
        <v>0</v>
      </c>
      <c r="H13" s="9" t="n">
        <f aca="false">F13+G13</f>
        <v>0</v>
      </c>
      <c r="I13" s="0" t="n">
        <f aca="false">IF(J13&lt;1,B13,J13)</f>
        <v>2.62</v>
      </c>
      <c r="J13" s="17"/>
      <c r="K13" s="0" t="n">
        <v>2.635</v>
      </c>
      <c r="L13" s="10" t="n">
        <f aca="false">B13-K13</f>
        <v>-0.0149999999999997</v>
      </c>
      <c r="M13" s="8" t="n">
        <v>15.5</v>
      </c>
      <c r="N13" s="11" t="n">
        <f aca="false">D13-M13</f>
        <v>-15.5</v>
      </c>
      <c r="O13" s="12" t="n">
        <v>37050</v>
      </c>
    </row>
    <row r="14" customFormat="false" ht="12.75" hidden="false" customHeight="false" outlineLevel="0" collapsed="false">
      <c r="B14" s="18" t="n">
        <f aca="false">B12-0.22</f>
        <v>2.45</v>
      </c>
      <c r="C14" s="15" t="s">
        <v>19</v>
      </c>
      <c r="D14" s="8" t="n">
        <f aca="false">WAHA_SWAP!J9</f>
        <v>18</v>
      </c>
      <c r="E14" s="16" t="n">
        <f aca="false">WAHA_SWAP!J10</f>
        <v>0.857142857142857</v>
      </c>
      <c r="F14" s="9" t="n">
        <f aca="false">WAHA_SWAP!J4</f>
        <v>-2999.99999999999</v>
      </c>
      <c r="G14" s="9" t="n">
        <f aca="false">WAHA_SWAP!J2</f>
        <v>9449.99999999999</v>
      </c>
      <c r="H14" s="9" t="n">
        <f aca="false">F14+G14</f>
        <v>6450</v>
      </c>
      <c r="I14" s="0" t="n">
        <f aca="false">IF(J14&lt;1,B14,J14)</f>
        <v>2.35</v>
      </c>
      <c r="J14" s="17" t="n">
        <v>2.35</v>
      </c>
      <c r="K14" s="0" t="n">
        <v>2.465</v>
      </c>
      <c r="L14" s="10" t="n">
        <f aca="false">B14-K14</f>
        <v>-0.0150000000000001</v>
      </c>
      <c r="M14" s="8" t="n">
        <v>0</v>
      </c>
      <c r="N14" s="11" t="n">
        <f aca="false">D14-M14</f>
        <v>18</v>
      </c>
      <c r="O14" s="12" t="n">
        <v>37051</v>
      </c>
    </row>
    <row r="15" customFormat="false" ht="12.75" hidden="false" customHeight="false" outlineLevel="0" collapsed="false">
      <c r="B15" s="14" t="n">
        <f aca="false">B11-0.215</f>
        <v>2.485</v>
      </c>
      <c r="C15" s="15" t="s">
        <v>20</v>
      </c>
      <c r="D15" s="8" t="n">
        <f aca="false">PERM_SWAP!J9</f>
        <v>0</v>
      </c>
      <c r="E15" s="16" t="n">
        <f aca="false">PERM_SWAP!J10</f>
        <v>0</v>
      </c>
      <c r="F15" s="9" t="n">
        <f aca="false">PERM_SWAP!J4</f>
        <v>0</v>
      </c>
      <c r="G15" s="9" t="n">
        <f aca="false">PERM_SWAP!J2</f>
        <v>-0</v>
      </c>
      <c r="H15" s="9" t="n">
        <f aca="false">F15+G15</f>
        <v>0</v>
      </c>
      <c r="I15" s="0" t="n">
        <f aca="false">IF(J15&lt;1,B15,J15)</f>
        <v>2.485</v>
      </c>
      <c r="J15" s="17"/>
      <c r="K15" s="0" t="n">
        <v>2.5</v>
      </c>
      <c r="L15" s="10" t="n">
        <f aca="false">B15-K15</f>
        <v>-0.0150000000000001</v>
      </c>
      <c r="M15" s="8" t="n">
        <v>0</v>
      </c>
      <c r="N15" s="11" t="n">
        <f aca="false">D15-M15</f>
        <v>0</v>
      </c>
      <c r="O15" s="12" t="n">
        <v>37052</v>
      </c>
    </row>
    <row r="16" customFormat="false" ht="12.75" hidden="false" customHeight="false" outlineLevel="0" collapsed="false">
      <c r="A16" s="11" t="n">
        <f aca="false">SUM(D11:D16)</f>
        <v>0</v>
      </c>
      <c r="B16" s="18" t="n">
        <f aca="false">B12-0.05</f>
        <v>2.62</v>
      </c>
      <c r="C16" s="15" t="s">
        <v>21</v>
      </c>
      <c r="D16" s="8" t="n">
        <f aca="false">KATY_PHYS!J9</f>
        <v>0</v>
      </c>
      <c r="E16" s="16" t="n">
        <f aca="false">KATY_PHYS!J10</f>
        <v>0</v>
      </c>
      <c r="F16" s="9" t="n">
        <f aca="false">KATY_PHYS!J4</f>
        <v>0</v>
      </c>
      <c r="G16" s="9" t="n">
        <f aca="false">KATY_PHYS!J2+KATY_PHYS!J3</f>
        <v>-0</v>
      </c>
      <c r="H16" s="9" t="n">
        <f aca="false">F16+G16</f>
        <v>0</v>
      </c>
      <c r="I16" s="0" t="n">
        <f aca="false">IF(J16&lt;1,B16,J16)</f>
        <v>2.62</v>
      </c>
      <c r="J16" s="17"/>
      <c r="K16" s="0" t="n">
        <v>2.635</v>
      </c>
      <c r="L16" s="10" t="n">
        <f aca="false">B16-K16</f>
        <v>-0.0149999999999997</v>
      </c>
      <c r="M16" s="8" t="n">
        <v>58.9</v>
      </c>
      <c r="N16" s="11" t="n">
        <f aca="false">D16-M16</f>
        <v>-58.9</v>
      </c>
      <c r="O16" s="12" t="n">
        <v>37053</v>
      </c>
    </row>
    <row r="17" customFormat="false" ht="12.75" hidden="false" customHeight="false" outlineLevel="0" collapsed="false">
      <c r="C17" s="0" t="s">
        <v>22</v>
      </c>
      <c r="D17" s="19" t="n">
        <f aca="false">SUM(D4:D16)</f>
        <v>-24.75</v>
      </c>
      <c r="E17" s="16" t="n">
        <f aca="false">SUM(E11:E16)</f>
        <v>0</v>
      </c>
      <c r="F17" s="20" t="n">
        <f aca="false">SUM(F4:F16)</f>
        <v>-55143.7500000003</v>
      </c>
      <c r="G17" s="20" t="n">
        <f aca="false">SUM(G4:G16)</f>
        <v>12300</v>
      </c>
      <c r="H17" s="21" t="n">
        <f aca="false">SUM(H4:H16)</f>
        <v>-42843.7500000003</v>
      </c>
      <c r="M17" s="22" t="n">
        <v>-54.2</v>
      </c>
      <c r="N17" s="23" t="n">
        <f aca="false">D17-M17</f>
        <v>29.45</v>
      </c>
      <c r="O17" s="12" t="n">
        <v>37054</v>
      </c>
    </row>
    <row r="18" customFormat="false" ht="12.75" hidden="false" customHeight="false" outlineLevel="0" collapsed="false">
      <c r="B18" s="24" t="n">
        <f aca="false">KATY_aug!C31</f>
        <v>2.958</v>
      </c>
      <c r="C18" s="24" t="s">
        <v>23</v>
      </c>
      <c r="D18" s="25" t="n">
        <f aca="false">KATY_aug!J11</f>
        <v>0</v>
      </c>
      <c r="F18" s="21"/>
      <c r="G18" s="26"/>
      <c r="H18" s="27"/>
      <c r="M18" s="0" t="n">
        <v>0</v>
      </c>
      <c r="N18" s="23" t="n">
        <f aca="false">D18-M18</f>
        <v>0</v>
      </c>
      <c r="O18" s="12" t="n">
        <v>37055</v>
      </c>
    </row>
    <row r="19" customFormat="false" ht="12.75" hidden="false" customHeight="false" outlineLevel="0" collapsed="false">
      <c r="B19" s="24" t="n">
        <f aca="false">B4-0.015</f>
        <v>2.91</v>
      </c>
      <c r="C19" s="24" t="s">
        <v>24</v>
      </c>
      <c r="D19" s="25" t="s">
        <v>25</v>
      </c>
      <c r="F19" s="21"/>
      <c r="G19" s="28" t="n">
        <f aca="false">F17+G17</f>
        <v>-42843.7500000003</v>
      </c>
      <c r="H19" s="28"/>
      <c r="J19" s="0" t="n">
        <v>3.447</v>
      </c>
      <c r="M19" s="0" t="n">
        <v>0</v>
      </c>
      <c r="N19" s="23" t="e">
        <f aca="false">D19-M19</f>
        <v>#VALUE!</v>
      </c>
      <c r="O19" s="12" t="n">
        <v>37056</v>
      </c>
    </row>
    <row r="20" customFormat="false" ht="12.75" hidden="false" customHeight="false" outlineLevel="0" collapsed="false">
      <c r="B20" s="24" t="n">
        <f aca="false">hsc_aug!C31</f>
        <v>2.95</v>
      </c>
      <c r="C20" s="24" t="s">
        <v>26</v>
      </c>
      <c r="D20" s="25" t="n">
        <f aca="false">hsc_aug!J11</f>
        <v>0</v>
      </c>
      <c r="F20" s="0" t="s">
        <v>27</v>
      </c>
      <c r="G20" s="29" t="n">
        <v>1234</v>
      </c>
      <c r="H20" s="21"/>
      <c r="J20" s="0" t="n">
        <v>3.51</v>
      </c>
      <c r="M20" s="0" t="n">
        <v>0</v>
      </c>
      <c r="O20" s="12" t="n">
        <v>37057</v>
      </c>
    </row>
    <row r="21" customFormat="false" ht="12.75" hidden="false" customHeight="false" outlineLevel="0" collapsed="false">
      <c r="J21" s="0" t="n">
        <v>3.475</v>
      </c>
      <c r="O21" s="12" t="n">
        <v>37058</v>
      </c>
    </row>
    <row r="22" customFormat="false" ht="12.75" hidden="false" customHeight="false" outlineLevel="0" collapsed="false">
      <c r="C22" s="30" t="s">
        <v>22</v>
      </c>
      <c r="D22" s="31" t="n">
        <f aca="false">SUM(D17:D20)</f>
        <v>-24.75</v>
      </c>
      <c r="G22" s="29" t="n">
        <f aca="false">G21+G20+G19</f>
        <v>-41609.7500000003</v>
      </c>
      <c r="J22" s="0" t="n">
        <v>3.39</v>
      </c>
      <c r="M22" s="11" t="n">
        <v>75.65</v>
      </c>
      <c r="N22" s="11" t="e">
        <f aca="false">SUM(N17:N19)</f>
        <v>#VALUE!</v>
      </c>
      <c r="O22" s="12" t="n">
        <v>37059</v>
      </c>
      <c r="P22" s="0" t="n">
        <v>25000</v>
      </c>
    </row>
    <row r="23" customFormat="false" ht="12.75" hidden="false" customHeight="false" outlineLevel="0" collapsed="false">
      <c r="J23" s="0" t="n">
        <v>3.39</v>
      </c>
      <c r="O23" s="12" t="n">
        <v>37060</v>
      </c>
      <c r="P23" s="0" t="n">
        <v>25000</v>
      </c>
    </row>
    <row r="24" customFormat="false" ht="12.75" hidden="false" customHeight="false" outlineLevel="0" collapsed="false">
      <c r="C24" s="0" t="s">
        <v>28</v>
      </c>
      <c r="E24" s="0" t="n">
        <v>21</v>
      </c>
      <c r="F24" s="0" t="n">
        <v>1</v>
      </c>
      <c r="G24" s="17" t="n">
        <f aca="false">F24*E24</f>
        <v>21</v>
      </c>
      <c r="J24" s="0" t="n">
        <v>3.475</v>
      </c>
      <c r="L24" s="0" t="n">
        <f aca="false">29+14.5</f>
        <v>43.5</v>
      </c>
      <c r="O24" s="12" t="n">
        <v>37061</v>
      </c>
      <c r="P24" s="0" t="n">
        <v>25000</v>
      </c>
    </row>
    <row r="25" customFormat="false" ht="12.75" hidden="false" customHeight="false" outlineLevel="0" collapsed="false">
      <c r="E25" s="11" t="n">
        <f aca="false">D11+D12+D14+D15</f>
        <v>0</v>
      </c>
      <c r="F25" s="0" t="n">
        <f aca="false">E25/E24</f>
        <v>0</v>
      </c>
      <c r="G25" s="0" t="n">
        <f aca="false">F25*3</f>
        <v>0</v>
      </c>
      <c r="O25" s="12" t="n">
        <v>37062</v>
      </c>
      <c r="P25" s="0" t="n">
        <v>25000</v>
      </c>
    </row>
    <row r="26" customFormat="false" ht="12.75" hidden="false" customHeight="false" outlineLevel="0" collapsed="false">
      <c r="I26" s="0" t="s">
        <v>29</v>
      </c>
      <c r="O26" s="12" t="n">
        <v>37063</v>
      </c>
      <c r="P26" s="0" t="n">
        <v>25000</v>
      </c>
    </row>
    <row r="27" customFormat="false" ht="12.75" hidden="false" customHeight="false" outlineLevel="0" collapsed="false">
      <c r="C27" s="32"/>
      <c r="D27" s="17"/>
      <c r="I27" s="0" t="n">
        <v>3.397</v>
      </c>
      <c r="J27" s="0" t="n">
        <f aca="false">D27-I27</f>
        <v>-3.397</v>
      </c>
      <c r="O27" s="12" t="n">
        <v>37064</v>
      </c>
      <c r="P27" s="0" t="n">
        <v>25000</v>
      </c>
    </row>
    <row r="28" customFormat="false" ht="12.75" hidden="false" customHeight="false" outlineLevel="0" collapsed="false">
      <c r="A28" s="0" t="n">
        <v>1</v>
      </c>
      <c r="B28" s="0" t="n">
        <v>3.446</v>
      </c>
      <c r="C28" s="33" t="n">
        <v>37226</v>
      </c>
      <c r="D28" s="0" t="n">
        <v>2.925</v>
      </c>
      <c r="E28" s="34"/>
      <c r="H28" s="0" t="n">
        <v>2.552</v>
      </c>
      <c r="I28" s="0" t="n">
        <v>2.369</v>
      </c>
      <c r="J28" s="0" t="e">
        <f aca="false">#REF!-I28</f>
        <v>#REF!</v>
      </c>
      <c r="O28" s="12" t="n">
        <v>37065</v>
      </c>
      <c r="P28" s="0" t="n">
        <v>25000</v>
      </c>
    </row>
    <row r="29" customFormat="false" ht="12.75" hidden="false" customHeight="false" outlineLevel="0" collapsed="false">
      <c r="A29" s="0" t="n">
        <v>2</v>
      </c>
      <c r="B29" s="0" t="n">
        <v>3.397</v>
      </c>
      <c r="C29" s="33" t="n">
        <v>37257</v>
      </c>
      <c r="D29" s="0" t="n">
        <v>3.105</v>
      </c>
      <c r="E29" s="34" t="n">
        <f aca="false">D29-D28</f>
        <v>0.18</v>
      </c>
      <c r="H29" s="0" t="n">
        <v>2.902</v>
      </c>
      <c r="I29" s="0" t="n">
        <v>2.753</v>
      </c>
      <c r="J29" s="0" t="e">
        <f aca="false">#REF!-I29</f>
        <v>#REF!</v>
      </c>
      <c r="L29" s="0" t="n">
        <f aca="false">31*7000</f>
        <v>217000</v>
      </c>
      <c r="O29" s="12" t="n">
        <v>37066</v>
      </c>
      <c r="P29" s="0" t="n">
        <v>25000</v>
      </c>
    </row>
    <row r="30" customFormat="false" ht="12.75" hidden="false" customHeight="false" outlineLevel="0" collapsed="false">
      <c r="A30" s="0" t="n">
        <v>3</v>
      </c>
      <c r="B30" s="0" t="n">
        <v>3.422</v>
      </c>
      <c r="C30" s="33" t="n">
        <v>37288</v>
      </c>
      <c r="D30" s="0" t="n">
        <v>3.13</v>
      </c>
      <c r="E30" s="34" t="n">
        <f aca="false">D30-D29</f>
        <v>0.0249999999999999</v>
      </c>
      <c r="F30" s="35"/>
      <c r="G30" s="10"/>
      <c r="H30" s="0" t="n">
        <v>3.252</v>
      </c>
      <c r="I30" s="0" t="n">
        <v>3.125</v>
      </c>
      <c r="J30" s="0" t="n">
        <f aca="false">D28-I30</f>
        <v>-0.2</v>
      </c>
      <c r="O30" s="12" t="n">
        <v>37067</v>
      </c>
      <c r="P30" s="0" t="n">
        <v>25000</v>
      </c>
    </row>
    <row r="31" customFormat="false" ht="12.75" hidden="false" customHeight="false" outlineLevel="0" collapsed="false">
      <c r="B31" s="0" t="n">
        <f aca="false">AVERAGE(B28:B30)</f>
        <v>3.42166666666667</v>
      </c>
      <c r="C31" s="33" t="n">
        <v>37316</v>
      </c>
      <c r="D31" s="0" t="n">
        <v>3.102</v>
      </c>
      <c r="E31" s="34" t="n">
        <f aca="false">D31-D30</f>
        <v>-0.028</v>
      </c>
      <c r="H31" s="0" t="n">
        <v>3.422</v>
      </c>
      <c r="I31" s="0" t="n">
        <v>3.303</v>
      </c>
      <c r="J31" s="0" t="n">
        <f aca="false">D29-I31</f>
        <v>-0.198</v>
      </c>
      <c r="M31" s="0" t="n">
        <f aca="false">3500*30</f>
        <v>105000</v>
      </c>
      <c r="O31" s="12" t="n">
        <v>37068</v>
      </c>
      <c r="P31" s="0" t="n">
        <v>25000</v>
      </c>
    </row>
    <row r="32" customFormat="false" ht="12.75" hidden="false" customHeight="false" outlineLevel="0" collapsed="false">
      <c r="C32" s="33" t="n">
        <v>37347</v>
      </c>
      <c r="D32" s="0" t="n">
        <v>3.06</v>
      </c>
      <c r="E32" s="34" t="n">
        <f aca="false">D32-D31</f>
        <v>-0.0419999999999998</v>
      </c>
      <c r="H32" s="0" t="n">
        <v>3.394</v>
      </c>
      <c r="I32" s="0" t="n">
        <v>3.28</v>
      </c>
      <c r="J32" s="0" t="n">
        <f aca="false">D30-I32</f>
        <v>-0.15</v>
      </c>
      <c r="O32" s="12" t="n">
        <v>37069</v>
      </c>
      <c r="P32" s="0" t="n">
        <v>25000</v>
      </c>
    </row>
    <row r="33" customFormat="false" ht="12.75" hidden="false" customHeight="false" outlineLevel="0" collapsed="false">
      <c r="C33" s="33" t="n">
        <v>37377</v>
      </c>
      <c r="D33" s="0" t="n">
        <v>3.1</v>
      </c>
      <c r="E33" s="34" t="n">
        <f aca="false">D33-D32</f>
        <v>0.04</v>
      </c>
      <c r="H33" s="0" t="n">
        <v>3.325</v>
      </c>
      <c r="I33" s="0" t="n">
        <v>3.215</v>
      </c>
      <c r="J33" s="0" t="n">
        <f aca="false">D31-I33</f>
        <v>-0.113</v>
      </c>
      <c r="O33" s="12" t="n">
        <v>37070</v>
      </c>
      <c r="P33" s="0" t="n">
        <v>25000</v>
      </c>
    </row>
    <row r="34" customFormat="false" ht="12.75" hidden="false" customHeight="false" outlineLevel="0" collapsed="false">
      <c r="C34" s="33" t="n">
        <v>37408</v>
      </c>
      <c r="D34" s="0" t="n">
        <v>3.145</v>
      </c>
      <c r="E34" s="34" t="n">
        <f aca="false">D34-D33</f>
        <v>0.0449999999999999</v>
      </c>
      <c r="F34" s="35" t="n">
        <f aca="false">AVERAGE(D28:D31)</f>
        <v>3.0655</v>
      </c>
      <c r="G34" s="0" t="n">
        <f aca="false">F34-D28</f>
        <v>0.1405</v>
      </c>
      <c r="H34" s="0" t="n">
        <v>3.232</v>
      </c>
      <c r="I34" s="0" t="n">
        <v>3.125</v>
      </c>
      <c r="J34" s="0" t="n">
        <f aca="false">D32-I34</f>
        <v>-0.065</v>
      </c>
      <c r="L34" s="0" t="n">
        <f aca="false">2*61</f>
        <v>122</v>
      </c>
      <c r="O34" s="12" t="n">
        <v>37071</v>
      </c>
      <c r="P34" s="0" t="n">
        <v>25000</v>
      </c>
    </row>
    <row r="35" customFormat="false" ht="12.75" hidden="false" customHeight="false" outlineLevel="0" collapsed="false">
      <c r="C35" s="33" t="n">
        <v>37438</v>
      </c>
      <c r="D35" s="0" t="n">
        <v>3.185</v>
      </c>
      <c r="E35" s="34" t="n">
        <f aca="false">D35-D34</f>
        <v>0.04</v>
      </c>
      <c r="F35" s="10"/>
      <c r="H35" s="0" t="n">
        <v>3.252</v>
      </c>
      <c r="I35" s="0" t="n">
        <v>3.15</v>
      </c>
      <c r="J35" s="0" t="n">
        <f aca="false">D33-I35</f>
        <v>-0.0499999999999998</v>
      </c>
      <c r="O35" s="12" t="n">
        <v>37072</v>
      </c>
      <c r="P35" s="0" t="n">
        <v>25000</v>
      </c>
    </row>
    <row r="36" customFormat="false" ht="12.75" hidden="false" customHeight="false" outlineLevel="0" collapsed="false">
      <c r="C36" s="33" t="n">
        <v>37469</v>
      </c>
      <c r="D36" s="0" t="n">
        <v>3.225</v>
      </c>
      <c r="E36" s="34" t="n">
        <f aca="false">D36-D35</f>
        <v>0.04</v>
      </c>
      <c r="F36" s="10"/>
      <c r="H36" s="0" t="n">
        <v>3.285</v>
      </c>
      <c r="I36" s="0" t="n">
        <v>3.185</v>
      </c>
      <c r="J36" s="0" t="n">
        <f aca="false">D34-I36</f>
        <v>-0.04</v>
      </c>
      <c r="L36" s="0" t="s">
        <v>30</v>
      </c>
      <c r="P36" s="0" t="n">
        <v>25000</v>
      </c>
    </row>
    <row r="37" customFormat="false" ht="12.75" hidden="false" customHeight="false" outlineLevel="0" collapsed="false">
      <c r="C37" s="33" t="n">
        <v>37500</v>
      </c>
      <c r="D37" s="0" t="n">
        <v>3.23</v>
      </c>
      <c r="E37" s="34" t="n">
        <f aca="false">D37-D36</f>
        <v>0.00499999999999989</v>
      </c>
      <c r="F37" s="10"/>
      <c r="H37" s="0" t="n">
        <v>3.325</v>
      </c>
      <c r="I37" s="0" t="n">
        <v>3.225</v>
      </c>
      <c r="J37" s="0" t="n">
        <f aca="false">D35-I37</f>
        <v>-0.04</v>
      </c>
    </row>
    <row r="38" customFormat="false" ht="12.75" hidden="false" customHeight="false" outlineLevel="0" collapsed="false">
      <c r="C38" s="33" t="n">
        <v>37530</v>
      </c>
      <c r="D38" s="0" t="n">
        <v>3.27</v>
      </c>
      <c r="E38" s="34" t="n">
        <f aca="false">D38-D37</f>
        <v>0.04</v>
      </c>
      <c r="F38" s="10"/>
      <c r="H38" s="0" t="n">
        <v>3.362</v>
      </c>
      <c r="I38" s="0" t="n">
        <v>3.262</v>
      </c>
      <c r="J38" s="0" t="n">
        <f aca="false">D36-I38</f>
        <v>-0.0369999999999999</v>
      </c>
    </row>
    <row r="39" customFormat="false" ht="12.75" hidden="false" customHeight="false" outlineLevel="0" collapsed="false">
      <c r="C39" s="33" t="n">
        <v>37561</v>
      </c>
      <c r="D39" s="0" t="n">
        <v>3.467</v>
      </c>
      <c r="E39" s="34" t="n">
        <f aca="false">D39-D38</f>
        <v>0.197</v>
      </c>
      <c r="F39" s="10"/>
      <c r="H39" s="0" t="n">
        <v>3.36</v>
      </c>
      <c r="I39" s="0" t="n">
        <v>3.26</v>
      </c>
      <c r="J39" s="0" t="n">
        <f aca="false">D37-I39</f>
        <v>-0.0299999999999998</v>
      </c>
    </row>
    <row r="40" customFormat="false" ht="12.75" hidden="false" customHeight="false" outlineLevel="0" collapsed="false">
      <c r="C40" s="33" t="n">
        <v>37591</v>
      </c>
      <c r="D40" s="0" t="n">
        <v>3.667</v>
      </c>
      <c r="E40" s="34" t="n">
        <f aca="false">D40-D39</f>
        <v>0.2</v>
      </c>
      <c r="F40" s="35" t="n">
        <f aca="false">AVERAGE(D32:D38)</f>
        <v>3.17357142857143</v>
      </c>
      <c r="G40" s="10" t="n">
        <f aca="false">F40-F34</f>
        <v>0.108071428571428</v>
      </c>
      <c r="H40" s="0" t="n">
        <v>3.372</v>
      </c>
      <c r="I40" s="0" t="n">
        <v>3.272</v>
      </c>
      <c r="J40" s="0" t="n">
        <f aca="false">D38-I40</f>
        <v>-0.00199999999999978</v>
      </c>
    </row>
    <row r="41" customFormat="false" ht="12.75" hidden="false" customHeight="false" outlineLevel="0" collapsed="false">
      <c r="C41" s="33"/>
      <c r="E41" s="34"/>
      <c r="H41" s="0" t="n">
        <v>3.532</v>
      </c>
      <c r="I41" s="0" t="n">
        <v>3.432</v>
      </c>
      <c r="J41" s="0" t="n">
        <f aca="false">D39-I41</f>
        <v>0.0350000000000001</v>
      </c>
    </row>
    <row r="42" customFormat="false" ht="12.75" hidden="false" customHeight="false" outlineLevel="0" collapsed="false">
      <c r="C42" s="33"/>
      <c r="E42" s="34"/>
      <c r="F42" s="36" t="n">
        <f aca="false">AVERAGE(D29:D40)</f>
        <v>3.22383333333333</v>
      </c>
      <c r="G42" s="16" t="n">
        <f aca="false">F42-F34</f>
        <v>0.158333333333333</v>
      </c>
      <c r="H42" s="0" t="n">
        <v>3.695</v>
      </c>
      <c r="I42" s="0" t="n">
        <v>3.595</v>
      </c>
      <c r="J42" s="0" t="n">
        <f aca="false">D40-I42</f>
        <v>0.0719999999999996</v>
      </c>
    </row>
    <row r="43" customFormat="false" ht="12.75" hidden="false" customHeight="false" outlineLevel="0" collapsed="false">
      <c r="C43" s="33"/>
    </row>
  </sheetData>
  <mergeCells count="1">
    <mergeCell ref="G19:H19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42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F3" activeCellId="0" sqref="F3:G3"/>
    </sheetView>
  </sheetViews>
  <sheetFormatPr defaultColWidth="9.13671875" defaultRowHeight="11.25" customHeight="true" zeroHeight="false" outlineLevelRow="0" outlineLevelCol="0"/>
  <cols>
    <col collapsed="false" customWidth="false" hidden="false" outlineLevel="0" max="1" min="1" style="37" width="9.14"/>
    <col collapsed="false" customWidth="true" hidden="false" outlineLevel="0" max="2" min="2" style="38" width="6.99"/>
    <col collapsed="false" customWidth="true" hidden="false" outlineLevel="0" max="3" min="3" style="37" width="8.7"/>
    <col collapsed="false" customWidth="true" hidden="false" outlineLevel="0" max="4" min="4" style="39" width="14.41"/>
    <col collapsed="false" customWidth="true" hidden="false" outlineLevel="0" max="5" min="5" style="37" width="3.14"/>
    <col collapsed="false" customWidth="true" hidden="false" outlineLevel="0" max="6" min="6" style="40" width="9.85"/>
    <col collapsed="false" customWidth="false" hidden="false" outlineLevel="0" max="7" min="7" style="37" width="9.14"/>
    <col collapsed="false" customWidth="true" hidden="false" outlineLevel="0" max="8" min="8" style="41" width="12.56"/>
    <col collapsed="false" customWidth="true" hidden="false" outlineLevel="0" max="9" min="9" style="37" width="2.84"/>
    <col collapsed="false" customWidth="true" hidden="false" outlineLevel="0" max="10" min="10" style="42" width="14.85"/>
    <col collapsed="false" customWidth="true" hidden="false" outlineLevel="0" max="11" min="11" style="37" width="2.13"/>
    <col collapsed="false" customWidth="true" hidden="false" outlineLevel="0" max="12" min="12" style="37" width="21.7"/>
    <col collapsed="false" customWidth="false" hidden="false" outlineLevel="0" max="257" min="13" style="37" width="9.14"/>
  </cols>
  <sheetData>
    <row r="1" customFormat="false" ht="11.25" hidden="false" customHeight="false" outlineLevel="0" collapsed="false">
      <c r="B1" s="38" t="s">
        <v>31</v>
      </c>
      <c r="F1" s="40" t="s">
        <v>32</v>
      </c>
    </row>
    <row r="2" customFormat="false" ht="11.25" hidden="false" customHeight="false" outlineLevel="0" collapsed="false">
      <c r="A2" s="37" t="s">
        <v>33</v>
      </c>
      <c r="B2" s="43"/>
      <c r="C2" s="44"/>
      <c r="D2" s="45"/>
      <c r="E2" s="46"/>
      <c r="F2" s="43"/>
      <c r="G2" s="44"/>
      <c r="H2" s="47"/>
      <c r="J2" s="48" t="n">
        <f aca="false">IF(F2&lt;1,(C2-C31)*(B2*10000),(C31-G2)*(F2*10000))</f>
        <v>-0</v>
      </c>
      <c r="L2" s="49" t="s">
        <v>0</v>
      </c>
    </row>
    <row r="3" customFormat="false" ht="11.25" hidden="false" customHeight="false" outlineLevel="0" collapsed="false">
      <c r="A3" s="37" t="n">
        <f aca="false">POSTION!$E$24</f>
        <v>21</v>
      </c>
      <c r="B3" s="57"/>
      <c r="C3" s="58"/>
      <c r="D3" s="59" t="n">
        <f aca="false">B3*C3*10000</f>
        <v>0</v>
      </c>
      <c r="E3" s="46"/>
      <c r="F3" s="60"/>
      <c r="G3" s="58"/>
      <c r="H3" s="61" t="n">
        <f aca="false">F3*G3*10000</f>
        <v>0</v>
      </c>
      <c r="J3" s="55"/>
      <c r="L3" s="56" t="s">
        <v>34</v>
      </c>
    </row>
    <row r="4" customFormat="false" ht="11.25" hidden="false" customHeight="false" outlineLevel="0" collapsed="false">
      <c r="B4" s="57"/>
      <c r="C4" s="58"/>
      <c r="D4" s="59" t="n">
        <f aca="false">B4*C4*10000</f>
        <v>0</v>
      </c>
      <c r="E4" s="46"/>
      <c r="F4" s="60"/>
      <c r="G4" s="58"/>
      <c r="H4" s="61" t="n">
        <f aca="false">F4*G4*10000</f>
        <v>0</v>
      </c>
      <c r="J4" s="62" t="n">
        <f aca="false">F37</f>
        <v>0</v>
      </c>
      <c r="K4" s="63"/>
      <c r="L4" s="46" t="s">
        <v>35</v>
      </c>
    </row>
    <row r="5" customFormat="false" ht="11.25" hidden="false" customHeight="false" outlineLevel="0" collapsed="false">
      <c r="B5" s="57"/>
      <c r="C5" s="58"/>
      <c r="D5" s="59" t="n">
        <f aca="false">B5*C5*10000</f>
        <v>0</v>
      </c>
      <c r="E5" s="46"/>
      <c r="F5" s="60"/>
      <c r="G5" s="58"/>
      <c r="H5" s="61" t="n">
        <f aca="false">F5*G5*10000</f>
        <v>0</v>
      </c>
      <c r="J5" s="63"/>
      <c r="K5" s="64"/>
      <c r="L5" s="46"/>
    </row>
    <row r="6" customFormat="false" ht="12" hidden="false" customHeight="false" outlineLevel="0" collapsed="false">
      <c r="B6" s="57"/>
      <c r="C6" s="58"/>
      <c r="D6" s="59" t="n">
        <f aca="false">B6*C6*10000</f>
        <v>0</v>
      </c>
      <c r="E6" s="46"/>
      <c r="F6" s="60"/>
      <c r="G6" s="58"/>
      <c r="H6" s="61" t="n">
        <f aca="false">F6*G6*10000</f>
        <v>0</v>
      </c>
      <c r="J6" s="65" t="n">
        <f aca="false">J2+J3+J4</f>
        <v>0</v>
      </c>
      <c r="K6" s="64"/>
      <c r="L6" s="46" t="s">
        <v>36</v>
      </c>
    </row>
    <row r="7" customFormat="false" ht="12" hidden="false" customHeight="false" outlineLevel="0" collapsed="false">
      <c r="B7" s="57"/>
      <c r="C7" s="58"/>
      <c r="D7" s="59" t="n">
        <f aca="false">B7*C7*10000</f>
        <v>0</v>
      </c>
      <c r="E7" s="46"/>
      <c r="F7" s="60"/>
      <c r="G7" s="58"/>
      <c r="H7" s="61" t="n">
        <f aca="false">F7*G7*10000</f>
        <v>0</v>
      </c>
      <c r="J7" s="63"/>
    </row>
    <row r="8" customFormat="false" ht="11.25" hidden="false" customHeight="false" outlineLevel="0" collapsed="false">
      <c r="B8" s="60"/>
      <c r="C8" s="58"/>
      <c r="D8" s="59" t="n">
        <f aca="false">B8*C8*10000</f>
        <v>0</v>
      </c>
      <c r="E8" s="46"/>
      <c r="F8" s="60"/>
      <c r="G8" s="58"/>
      <c r="H8" s="61" t="n">
        <f aca="false">F8*G8*10000</f>
        <v>0</v>
      </c>
      <c r="J8" s="63"/>
      <c r="L8" s="46"/>
    </row>
    <row r="9" customFormat="false" ht="11.25" hidden="false" customHeight="false" outlineLevel="0" collapsed="false">
      <c r="B9" s="60"/>
      <c r="C9" s="58"/>
      <c r="D9" s="59" t="n">
        <f aca="false">B9*C9*10000</f>
        <v>0</v>
      </c>
      <c r="E9" s="46"/>
      <c r="F9" s="60"/>
      <c r="G9" s="58"/>
      <c r="H9" s="61" t="n">
        <f aca="false">F9*G9*10000</f>
        <v>0</v>
      </c>
      <c r="J9" s="66" t="n">
        <f aca="false">F30-B2+F2</f>
        <v>0</v>
      </c>
      <c r="L9" s="37" t="s">
        <v>1</v>
      </c>
    </row>
    <row r="10" customFormat="false" ht="11.25" hidden="false" customHeight="false" outlineLevel="0" collapsed="false">
      <c r="B10" s="60"/>
      <c r="C10" s="58"/>
      <c r="D10" s="59" t="n">
        <f aca="false">B10*C10*10000</f>
        <v>0</v>
      </c>
      <c r="E10" s="46"/>
      <c r="F10" s="60"/>
      <c r="G10" s="58"/>
      <c r="H10" s="61" t="n">
        <f aca="false">F10*G10*10000</f>
        <v>0</v>
      </c>
      <c r="J10" s="67"/>
      <c r="L10" s="37" t="s">
        <v>2</v>
      </c>
    </row>
    <row r="11" customFormat="false" ht="11.25" hidden="false" customHeight="false" outlineLevel="0" collapsed="false">
      <c r="B11" s="60"/>
      <c r="C11" s="58"/>
      <c r="D11" s="59" t="n">
        <f aca="false">B11*C11*10000</f>
        <v>0</v>
      </c>
      <c r="E11" s="46"/>
      <c r="F11" s="60"/>
      <c r="G11" s="58"/>
      <c r="H11" s="61" t="n">
        <f aca="false">F11*G11*10000</f>
        <v>0</v>
      </c>
      <c r="J11" s="68" t="n">
        <f aca="false">J9-J10</f>
        <v>0</v>
      </c>
      <c r="L11" s="37" t="s">
        <v>37</v>
      </c>
    </row>
    <row r="12" customFormat="false" ht="11.25" hidden="false" customHeight="false" outlineLevel="0" collapsed="false">
      <c r="B12" s="60"/>
      <c r="C12" s="58"/>
      <c r="D12" s="59" t="n">
        <f aca="false">B12*C12*10000</f>
        <v>0</v>
      </c>
      <c r="E12" s="46"/>
      <c r="F12" s="60"/>
      <c r="G12" s="58"/>
      <c r="H12" s="61" t="n">
        <f aca="false">F12*G12*10000</f>
        <v>0</v>
      </c>
      <c r="J12" s="69"/>
    </row>
    <row r="13" customFormat="false" ht="11.25" hidden="false" customHeight="false" outlineLevel="0" collapsed="false">
      <c r="B13" s="60"/>
      <c r="C13" s="58"/>
      <c r="D13" s="59" t="n">
        <f aca="false">B13*C13*10000</f>
        <v>0</v>
      </c>
      <c r="E13" s="46"/>
      <c r="F13" s="60"/>
      <c r="G13" s="58"/>
      <c r="H13" s="61" t="n">
        <f aca="false">F13*G13*10000</f>
        <v>0</v>
      </c>
      <c r="J13" s="69"/>
    </row>
    <row r="14" customFormat="false" ht="11.25" hidden="false" customHeight="false" outlineLevel="0" collapsed="false">
      <c r="B14" s="60"/>
      <c r="C14" s="58"/>
      <c r="D14" s="59" t="n">
        <f aca="false">B14*C14*10000</f>
        <v>0</v>
      </c>
      <c r="E14" s="46"/>
      <c r="F14" s="60"/>
      <c r="G14" s="58"/>
      <c r="H14" s="61" t="n">
        <f aca="false">F14*G14*10000</f>
        <v>0</v>
      </c>
      <c r="J14" s="69"/>
    </row>
    <row r="15" customFormat="false" ht="11.25" hidden="false" customHeight="false" outlineLevel="0" collapsed="false">
      <c r="B15" s="60"/>
      <c r="C15" s="58"/>
      <c r="D15" s="59" t="n">
        <f aca="false">B15*C15*10000</f>
        <v>0</v>
      </c>
      <c r="E15" s="46"/>
      <c r="F15" s="60"/>
      <c r="G15" s="58"/>
      <c r="H15" s="61" t="n">
        <f aca="false">F15*G15*10000</f>
        <v>0</v>
      </c>
      <c r="J15" s="69"/>
    </row>
    <row r="16" customFormat="false" ht="11.25" hidden="false" customHeight="false" outlineLevel="0" collapsed="false">
      <c r="B16" s="60"/>
      <c r="C16" s="58"/>
      <c r="D16" s="59" t="n">
        <f aca="false">B16*C16*10000</f>
        <v>0</v>
      </c>
      <c r="E16" s="46"/>
      <c r="F16" s="60"/>
      <c r="G16" s="58"/>
      <c r="H16" s="61" t="n">
        <f aca="false">F16*G16*10000</f>
        <v>0</v>
      </c>
      <c r="J16" s="69"/>
      <c r="M16" s="37" t="n">
        <v>31</v>
      </c>
    </row>
    <row r="17" customFormat="false" ht="11.25" hidden="false" customHeight="false" outlineLevel="0" collapsed="false">
      <c r="B17" s="60"/>
      <c r="C17" s="58"/>
      <c r="D17" s="59" t="n">
        <f aca="false">B17*C17*10000</f>
        <v>0</v>
      </c>
      <c r="E17" s="46"/>
      <c r="F17" s="60"/>
      <c r="G17" s="58"/>
      <c r="H17" s="61" t="n">
        <f aca="false">F17*G17*10000</f>
        <v>0</v>
      </c>
      <c r="J17" s="69"/>
      <c r="M17" s="37" t="n">
        <v>2500</v>
      </c>
      <c r="N17" s="37" t="n">
        <f aca="false">(M17*$M$16)/10000</f>
        <v>7.75</v>
      </c>
    </row>
    <row r="18" customFormat="false" ht="11.25" hidden="false" customHeight="false" outlineLevel="0" collapsed="false">
      <c r="B18" s="60"/>
      <c r="C18" s="58"/>
      <c r="D18" s="59" t="n">
        <f aca="false">B18*C18*10000</f>
        <v>0</v>
      </c>
      <c r="E18" s="46"/>
      <c r="F18" s="60"/>
      <c r="G18" s="58"/>
      <c r="H18" s="61" t="n">
        <f aca="false">F18*G18*10000</f>
        <v>0</v>
      </c>
      <c r="J18" s="69"/>
      <c r="M18" s="37" t="n">
        <v>5000</v>
      </c>
      <c r="N18" s="37" t="n">
        <f aca="false">(M18*$M$16)/10000</f>
        <v>15.5</v>
      </c>
    </row>
    <row r="19" customFormat="false" ht="11.25" hidden="false" customHeight="false" outlineLevel="0" collapsed="false">
      <c r="B19" s="60"/>
      <c r="C19" s="58"/>
      <c r="D19" s="59" t="n">
        <f aca="false">B19*C19*10000</f>
        <v>0</v>
      </c>
      <c r="E19" s="46"/>
      <c r="F19" s="60"/>
      <c r="G19" s="58"/>
      <c r="H19" s="61" t="n">
        <f aca="false">F19*G19*10000</f>
        <v>0</v>
      </c>
      <c r="J19" s="69"/>
      <c r="M19" s="37" t="n">
        <v>7500</v>
      </c>
      <c r="N19" s="37" t="n">
        <f aca="false">(M19*$M$16)/10000</f>
        <v>23.25</v>
      </c>
    </row>
    <row r="20" customFormat="false" ht="11.25" hidden="false" customHeight="false" outlineLevel="0" collapsed="false">
      <c r="B20" s="60"/>
      <c r="C20" s="58"/>
      <c r="D20" s="59" t="n">
        <f aca="false">B20*C20*10000</f>
        <v>0</v>
      </c>
      <c r="E20" s="46"/>
      <c r="F20" s="60"/>
      <c r="G20" s="58"/>
      <c r="H20" s="61" t="n">
        <f aca="false">F20*G20*10000</f>
        <v>0</v>
      </c>
      <c r="J20" s="69"/>
      <c r="M20" s="37" t="n">
        <v>10000</v>
      </c>
      <c r="N20" s="37" t="n">
        <f aca="false">(M20*$M$16)/10000</f>
        <v>31</v>
      </c>
    </row>
    <row r="21" customFormat="false" ht="11.25" hidden="false" customHeight="false" outlineLevel="0" collapsed="false">
      <c r="B21" s="60"/>
      <c r="C21" s="58"/>
      <c r="D21" s="59" t="n">
        <f aca="false">B21*C21*10000</f>
        <v>0</v>
      </c>
      <c r="E21" s="46"/>
      <c r="F21" s="60"/>
      <c r="G21" s="58"/>
      <c r="H21" s="61" t="n">
        <f aca="false">F21*G21*10000</f>
        <v>0</v>
      </c>
      <c r="J21" s="69"/>
      <c r="M21" s="37" t="n">
        <v>12500</v>
      </c>
      <c r="N21" s="37" t="n">
        <f aca="false">(M21*$M$16)/10000</f>
        <v>38.75</v>
      </c>
    </row>
    <row r="22" customFormat="false" ht="11.25" hidden="false" customHeight="false" outlineLevel="0" collapsed="false">
      <c r="B22" s="60"/>
      <c r="C22" s="58"/>
      <c r="D22" s="59" t="n">
        <f aca="false">B22*C22*10000</f>
        <v>0</v>
      </c>
      <c r="E22" s="46"/>
      <c r="F22" s="60"/>
      <c r="G22" s="58"/>
      <c r="H22" s="61" t="n">
        <f aca="false">F22*G22*10000</f>
        <v>0</v>
      </c>
      <c r="J22" s="69"/>
      <c r="M22" s="37" t="n">
        <v>15000</v>
      </c>
      <c r="N22" s="37" t="n">
        <f aca="false">(M22*$M$16)/10000</f>
        <v>46.5</v>
      </c>
    </row>
    <row r="23" customFormat="false" ht="11.25" hidden="false" customHeight="false" outlineLevel="0" collapsed="false">
      <c r="B23" s="60"/>
      <c r="C23" s="58"/>
      <c r="D23" s="59" t="n">
        <f aca="false">B23*C23*10000</f>
        <v>0</v>
      </c>
      <c r="E23" s="46"/>
      <c r="F23" s="60"/>
      <c r="G23" s="58"/>
      <c r="H23" s="61" t="n">
        <f aca="false">F23*G23*10000</f>
        <v>0</v>
      </c>
      <c r="J23" s="69"/>
    </row>
    <row r="24" customFormat="false" ht="11.25" hidden="false" customHeight="false" outlineLevel="0" collapsed="false">
      <c r="B24" s="60"/>
      <c r="C24" s="58"/>
      <c r="D24" s="59" t="n">
        <f aca="false">B24*C24*10000</f>
        <v>0</v>
      </c>
      <c r="E24" s="46"/>
      <c r="F24" s="60"/>
      <c r="G24" s="58"/>
      <c r="H24" s="61" t="n">
        <f aca="false">F24*G24*10000</f>
        <v>0</v>
      </c>
      <c r="J24" s="69"/>
    </row>
    <row r="25" customFormat="false" ht="11.25" hidden="false" customHeight="false" outlineLevel="0" collapsed="false">
      <c r="B25" s="60"/>
      <c r="C25" s="58"/>
      <c r="D25" s="59" t="n">
        <f aca="false">B25*C25*10000</f>
        <v>0</v>
      </c>
      <c r="E25" s="46"/>
      <c r="F25" s="60"/>
      <c r="G25" s="58"/>
      <c r="H25" s="61" t="n">
        <f aca="false">F25*G25*10000</f>
        <v>0</v>
      </c>
      <c r="J25" s="69"/>
    </row>
    <row r="26" customFormat="false" ht="11.25" hidden="false" customHeight="false" outlineLevel="0" collapsed="false">
      <c r="F26" s="38"/>
      <c r="H26" s="70"/>
      <c r="J26" s="69"/>
      <c r="K26" s="71"/>
      <c r="L26" s="71"/>
    </row>
    <row r="27" customFormat="false" ht="11.25" hidden="false" customHeight="false" outlineLevel="0" collapsed="false">
      <c r="B27" s="60" t="n">
        <f aca="false">SUM(B3:B26)</f>
        <v>0</v>
      </c>
      <c r="C27" s="72" t="n">
        <f aca="false">IF(B27=0,0,D27/B27/10000)</f>
        <v>0</v>
      </c>
      <c r="D27" s="59" t="n">
        <f aca="false">SUM(D2:D26)</f>
        <v>0</v>
      </c>
      <c r="F27" s="60" t="n">
        <f aca="false">SUM(F3:F26)</f>
        <v>0</v>
      </c>
      <c r="G27" s="58" t="n">
        <f aca="false">IF(F27=0,0,H27/F27/10000)</f>
        <v>0</v>
      </c>
      <c r="H27" s="61" t="n">
        <f aca="false">SUM(H2:H26)</f>
        <v>0</v>
      </c>
      <c r="K27" s="71"/>
      <c r="L27" s="71"/>
      <c r="M27" s="46"/>
      <c r="N27" s="46"/>
    </row>
    <row r="28" customFormat="false" ht="11.25" hidden="false" customHeight="false" outlineLevel="0" collapsed="false">
      <c r="K28" s="71"/>
      <c r="L28" s="71"/>
      <c r="M28" s="46"/>
      <c r="N28" s="46"/>
    </row>
    <row r="29" customFormat="false" ht="11.25" hidden="false" customHeight="false" outlineLevel="0" collapsed="false">
      <c r="F29" s="40" t="n">
        <f aca="false">-B27+F27</f>
        <v>0</v>
      </c>
      <c r="G29" s="37" t="n">
        <f aca="false">IF(F29&lt;0,C27,G27)</f>
        <v>0</v>
      </c>
      <c r="H29" s="41" t="n">
        <f aca="false">IF(F29&lt;0,(G29-C31)*ABS(F29)*10000,-1*(G29-C31)*ABS(F29)*10000)</f>
        <v>0</v>
      </c>
      <c r="K29" s="71"/>
      <c r="L29" s="71"/>
      <c r="M29" s="46"/>
      <c r="N29" s="46"/>
    </row>
    <row r="30" customFormat="false" ht="11.25" hidden="false" customHeight="false" outlineLevel="0" collapsed="false">
      <c r="F30" s="73" t="n">
        <f aca="false">-B27+F27</f>
        <v>0</v>
      </c>
      <c r="G30" s="37" t="n">
        <f aca="false">IF(F30&lt;0,(C27+(J26/(ABS(F30)*10000))),IF(F30=0,0,(G27-(J26/(ABS(F30)*10000)))))</f>
        <v>0</v>
      </c>
      <c r="H30" s="41" t="n">
        <f aca="false">IF(F30&lt;0,(G30-C31)*ABS(F30)*10000,IF(F30=0,0,-1*(G30-C31)*ABS(F30)*10000))</f>
        <v>0</v>
      </c>
      <c r="K30" s="71"/>
      <c r="L30" s="71"/>
      <c r="M30" s="46"/>
      <c r="N30" s="46"/>
    </row>
    <row r="31" customFormat="false" ht="11.25" hidden="false" customHeight="false" outlineLevel="0" collapsed="false">
      <c r="C31" s="37" t="n">
        <f aca="false">POSTION!B6</f>
        <v>3.13</v>
      </c>
      <c r="D31" s="39" t="s">
        <v>40</v>
      </c>
      <c r="J31" s="74"/>
      <c r="K31" s="75"/>
      <c r="L31" s="75"/>
      <c r="M31" s="46"/>
      <c r="N31" s="46"/>
    </row>
    <row r="32" customFormat="false" ht="11.25" hidden="false" customHeight="false" outlineLevel="0" collapsed="false">
      <c r="F32" s="76" t="n">
        <f aca="false">MIN($B$27,$F$27)*($C$27-$G$27)*10000</f>
        <v>0</v>
      </c>
      <c r="G32" s="77"/>
      <c r="H32" s="77" t="s">
        <v>41</v>
      </c>
      <c r="M32" s="46"/>
      <c r="N32" s="46"/>
    </row>
    <row r="33" customFormat="false" ht="11.25" hidden="false" customHeight="false" outlineLevel="0" collapsed="false">
      <c r="F33" s="76"/>
      <c r="G33" s="77"/>
      <c r="H33" s="77"/>
    </row>
    <row r="34" customFormat="false" ht="11.25" hidden="false" customHeight="false" outlineLevel="0" collapsed="false">
      <c r="F34" s="76" t="n">
        <f aca="false">$H$29</f>
        <v>0</v>
      </c>
      <c r="G34" s="77"/>
      <c r="H34" s="77" t="s">
        <v>42</v>
      </c>
    </row>
    <row r="35" customFormat="false" ht="11.25" hidden="false" customHeight="false" outlineLevel="0" collapsed="false">
      <c r="A35" s="49"/>
      <c r="F35" s="62" t="n">
        <f aca="false">$H$30</f>
        <v>0</v>
      </c>
      <c r="G35" s="51"/>
      <c r="H35" s="51" t="s">
        <v>43</v>
      </c>
    </row>
    <row r="36" customFormat="false" ht="11.25" hidden="false" customHeight="false" outlineLevel="0" collapsed="false">
      <c r="F36" s="42"/>
      <c r="H36" s="37"/>
    </row>
    <row r="37" customFormat="false" ht="11.25" hidden="false" customHeight="false" outlineLevel="0" collapsed="false">
      <c r="F37" s="78" t="n">
        <f aca="false">F32+F34</f>
        <v>0</v>
      </c>
      <c r="G37" s="79"/>
      <c r="H37" s="79" t="s">
        <v>44</v>
      </c>
    </row>
    <row r="39" customFormat="false" ht="11.25" hidden="false" customHeight="false" outlineLevel="0" collapsed="false">
      <c r="B39" s="40"/>
    </row>
    <row r="42" customFormat="false" ht="11.25" hidden="false" customHeight="false" outlineLevel="0" collapsed="false">
      <c r="B42" s="4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42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F3" activeCellId="0" sqref="F3:G3"/>
    </sheetView>
  </sheetViews>
  <sheetFormatPr defaultColWidth="9.13671875" defaultRowHeight="11.25" customHeight="true" zeroHeight="false" outlineLevelRow="0" outlineLevelCol="0"/>
  <cols>
    <col collapsed="false" customWidth="false" hidden="false" outlineLevel="0" max="1" min="1" style="37" width="9.14"/>
    <col collapsed="false" customWidth="true" hidden="false" outlineLevel="0" max="2" min="2" style="38" width="6.99"/>
    <col collapsed="false" customWidth="true" hidden="false" outlineLevel="0" max="3" min="3" style="37" width="8.7"/>
    <col collapsed="false" customWidth="true" hidden="false" outlineLevel="0" max="4" min="4" style="39" width="14.41"/>
    <col collapsed="false" customWidth="true" hidden="false" outlineLevel="0" max="5" min="5" style="37" width="3.14"/>
    <col collapsed="false" customWidth="true" hidden="false" outlineLevel="0" max="6" min="6" style="40" width="9.85"/>
    <col collapsed="false" customWidth="false" hidden="false" outlineLevel="0" max="7" min="7" style="37" width="9.14"/>
    <col collapsed="false" customWidth="true" hidden="false" outlineLevel="0" max="8" min="8" style="41" width="12.56"/>
    <col collapsed="false" customWidth="true" hidden="false" outlineLevel="0" max="9" min="9" style="37" width="2.84"/>
    <col collapsed="false" customWidth="true" hidden="false" outlineLevel="0" max="10" min="10" style="42" width="14.85"/>
    <col collapsed="false" customWidth="true" hidden="false" outlineLevel="0" max="11" min="11" style="37" width="2.13"/>
    <col collapsed="false" customWidth="true" hidden="false" outlineLevel="0" max="12" min="12" style="37" width="21.7"/>
    <col collapsed="false" customWidth="false" hidden="false" outlineLevel="0" max="257" min="13" style="37" width="9.14"/>
  </cols>
  <sheetData>
    <row r="1" customFormat="false" ht="11.25" hidden="false" customHeight="false" outlineLevel="0" collapsed="false">
      <c r="B1" s="38" t="s">
        <v>31</v>
      </c>
      <c r="F1" s="40" t="s">
        <v>32</v>
      </c>
    </row>
    <row r="2" customFormat="false" ht="11.25" hidden="false" customHeight="false" outlineLevel="0" collapsed="false">
      <c r="A2" s="37" t="s">
        <v>33</v>
      </c>
      <c r="B2" s="43"/>
      <c r="C2" s="44"/>
      <c r="D2" s="45"/>
      <c r="E2" s="46"/>
      <c r="F2" s="43"/>
      <c r="G2" s="44"/>
      <c r="H2" s="47"/>
      <c r="J2" s="48" t="n">
        <f aca="false">IF(F2&lt;1,(C2-C31)*(B2*10000),(C31-G2)*(F2*10000))</f>
        <v>-0</v>
      </c>
      <c r="L2" s="49" t="s">
        <v>0</v>
      </c>
    </row>
    <row r="3" customFormat="false" ht="11.25" hidden="false" customHeight="false" outlineLevel="0" collapsed="false">
      <c r="A3" s="37" t="n">
        <f aca="false">POSTION!$E$24</f>
        <v>21</v>
      </c>
      <c r="B3" s="57"/>
      <c r="C3" s="58"/>
      <c r="D3" s="59" t="n">
        <f aca="false">B3*C3*10000</f>
        <v>0</v>
      </c>
      <c r="E3" s="46"/>
      <c r="F3" s="60"/>
      <c r="G3" s="58"/>
      <c r="H3" s="61" t="n">
        <f aca="false">F3*G3*10000</f>
        <v>0</v>
      </c>
      <c r="J3" s="55"/>
      <c r="L3" s="56" t="s">
        <v>34</v>
      </c>
    </row>
    <row r="4" customFormat="false" ht="11.25" hidden="false" customHeight="false" outlineLevel="0" collapsed="false">
      <c r="B4" s="57"/>
      <c r="C4" s="58"/>
      <c r="D4" s="59" t="n">
        <f aca="false">B4*C4*10000</f>
        <v>0</v>
      </c>
      <c r="E4" s="46"/>
      <c r="F4" s="60"/>
      <c r="G4" s="58"/>
      <c r="H4" s="61" t="n">
        <f aca="false">F4*G4*10000</f>
        <v>0</v>
      </c>
      <c r="J4" s="62" t="n">
        <f aca="false">F37</f>
        <v>0</v>
      </c>
      <c r="K4" s="63"/>
      <c r="L4" s="46" t="s">
        <v>35</v>
      </c>
    </row>
    <row r="5" customFormat="false" ht="11.25" hidden="false" customHeight="false" outlineLevel="0" collapsed="false">
      <c r="B5" s="57"/>
      <c r="C5" s="58"/>
      <c r="D5" s="59" t="n">
        <f aca="false">B5*C5*10000</f>
        <v>0</v>
      </c>
      <c r="E5" s="46"/>
      <c r="F5" s="60"/>
      <c r="G5" s="58"/>
      <c r="H5" s="61" t="n">
        <f aca="false">F5*G5*10000</f>
        <v>0</v>
      </c>
      <c r="J5" s="63"/>
      <c r="K5" s="64"/>
      <c r="L5" s="46"/>
    </row>
    <row r="6" customFormat="false" ht="12" hidden="false" customHeight="false" outlineLevel="0" collapsed="false">
      <c r="B6" s="57"/>
      <c r="C6" s="58"/>
      <c r="D6" s="59" t="n">
        <f aca="false">B6*C6*10000</f>
        <v>0</v>
      </c>
      <c r="E6" s="46"/>
      <c r="F6" s="60"/>
      <c r="G6" s="58"/>
      <c r="H6" s="61" t="n">
        <f aca="false">F6*G6*10000</f>
        <v>0</v>
      </c>
      <c r="J6" s="65" t="n">
        <f aca="false">J2+J3+J4</f>
        <v>0</v>
      </c>
      <c r="K6" s="64"/>
      <c r="L6" s="46" t="s">
        <v>36</v>
      </c>
    </row>
    <row r="7" customFormat="false" ht="12" hidden="false" customHeight="false" outlineLevel="0" collapsed="false">
      <c r="B7" s="57"/>
      <c r="C7" s="58"/>
      <c r="D7" s="59" t="n">
        <f aca="false">B7*C7*10000</f>
        <v>0</v>
      </c>
      <c r="E7" s="46"/>
      <c r="F7" s="60"/>
      <c r="G7" s="58"/>
      <c r="H7" s="61" t="n">
        <f aca="false">F7*G7*10000</f>
        <v>0</v>
      </c>
      <c r="J7" s="63"/>
    </row>
    <row r="8" customFormat="false" ht="11.25" hidden="false" customHeight="false" outlineLevel="0" collapsed="false">
      <c r="B8" s="60"/>
      <c r="C8" s="58"/>
      <c r="D8" s="59" t="n">
        <f aca="false">B8*C8*10000</f>
        <v>0</v>
      </c>
      <c r="E8" s="46"/>
      <c r="F8" s="60"/>
      <c r="G8" s="58"/>
      <c r="H8" s="61" t="n">
        <f aca="false">F8*G8*10000</f>
        <v>0</v>
      </c>
      <c r="J8" s="63"/>
      <c r="L8" s="46"/>
    </row>
    <row r="9" customFormat="false" ht="11.25" hidden="false" customHeight="false" outlineLevel="0" collapsed="false">
      <c r="B9" s="60"/>
      <c r="C9" s="58"/>
      <c r="D9" s="59" t="n">
        <f aca="false">B9*C9*10000</f>
        <v>0</v>
      </c>
      <c r="E9" s="46"/>
      <c r="F9" s="60"/>
      <c r="G9" s="58"/>
      <c r="H9" s="61" t="n">
        <f aca="false">F9*G9*10000</f>
        <v>0</v>
      </c>
      <c r="J9" s="66" t="n">
        <f aca="false">F30-B2+F2</f>
        <v>0</v>
      </c>
      <c r="L9" s="37" t="s">
        <v>1</v>
      </c>
    </row>
    <row r="10" customFormat="false" ht="11.25" hidden="false" customHeight="false" outlineLevel="0" collapsed="false">
      <c r="B10" s="60"/>
      <c r="C10" s="58"/>
      <c r="D10" s="59" t="n">
        <f aca="false">B10*C10*10000</f>
        <v>0</v>
      </c>
      <c r="E10" s="46"/>
      <c r="F10" s="60"/>
      <c r="G10" s="58"/>
      <c r="H10" s="61" t="n">
        <f aca="false">F10*G10*10000</f>
        <v>0</v>
      </c>
      <c r="J10" s="67"/>
      <c r="L10" s="37" t="s">
        <v>2</v>
      </c>
    </row>
    <row r="11" customFormat="false" ht="11.25" hidden="false" customHeight="false" outlineLevel="0" collapsed="false">
      <c r="B11" s="60"/>
      <c r="C11" s="58"/>
      <c r="D11" s="59" t="n">
        <f aca="false">B11*C11*10000</f>
        <v>0</v>
      </c>
      <c r="E11" s="46"/>
      <c r="F11" s="60"/>
      <c r="G11" s="58"/>
      <c r="H11" s="61" t="n">
        <f aca="false">F11*G11*10000</f>
        <v>0</v>
      </c>
      <c r="J11" s="68" t="n">
        <f aca="false">J9-J10</f>
        <v>0</v>
      </c>
      <c r="L11" s="37" t="s">
        <v>37</v>
      </c>
    </row>
    <row r="12" customFormat="false" ht="11.25" hidden="false" customHeight="false" outlineLevel="0" collapsed="false">
      <c r="B12" s="60"/>
      <c r="C12" s="58"/>
      <c r="D12" s="59" t="n">
        <f aca="false">B12*C12*10000</f>
        <v>0</v>
      </c>
      <c r="E12" s="46"/>
      <c r="F12" s="60"/>
      <c r="G12" s="58"/>
      <c r="H12" s="61" t="n">
        <f aca="false">F12*G12*10000</f>
        <v>0</v>
      </c>
      <c r="J12" s="69"/>
    </row>
    <row r="13" customFormat="false" ht="11.25" hidden="false" customHeight="false" outlineLevel="0" collapsed="false">
      <c r="B13" s="60"/>
      <c r="C13" s="58"/>
      <c r="D13" s="59" t="n">
        <f aca="false">B13*C13*10000</f>
        <v>0</v>
      </c>
      <c r="E13" s="46"/>
      <c r="F13" s="60"/>
      <c r="G13" s="58"/>
      <c r="H13" s="61" t="n">
        <f aca="false">F13*G13*10000</f>
        <v>0</v>
      </c>
      <c r="J13" s="69"/>
    </row>
    <row r="14" customFormat="false" ht="11.25" hidden="false" customHeight="false" outlineLevel="0" collapsed="false">
      <c r="B14" s="60"/>
      <c r="C14" s="58"/>
      <c r="D14" s="59" t="n">
        <f aca="false">B14*C14*10000</f>
        <v>0</v>
      </c>
      <c r="E14" s="46"/>
      <c r="F14" s="60"/>
      <c r="G14" s="58"/>
      <c r="H14" s="61" t="n">
        <f aca="false">F14*G14*10000</f>
        <v>0</v>
      </c>
      <c r="J14" s="69"/>
    </row>
    <row r="15" customFormat="false" ht="11.25" hidden="false" customHeight="false" outlineLevel="0" collapsed="false">
      <c r="B15" s="60"/>
      <c r="C15" s="58"/>
      <c r="D15" s="59" t="n">
        <f aca="false">B15*C15*10000</f>
        <v>0</v>
      </c>
      <c r="E15" s="46"/>
      <c r="F15" s="60"/>
      <c r="G15" s="58"/>
      <c r="H15" s="61" t="n">
        <f aca="false">F15*G15*10000</f>
        <v>0</v>
      </c>
      <c r="J15" s="69"/>
      <c r="M15" s="37" t="n">
        <v>28</v>
      </c>
    </row>
    <row r="16" customFormat="false" ht="11.25" hidden="false" customHeight="false" outlineLevel="0" collapsed="false">
      <c r="B16" s="60"/>
      <c r="C16" s="58"/>
      <c r="D16" s="59" t="n">
        <f aca="false">B16*C16*10000</f>
        <v>0</v>
      </c>
      <c r="E16" s="46"/>
      <c r="F16" s="60"/>
      <c r="G16" s="58"/>
      <c r="H16" s="61" t="n">
        <f aca="false">F16*G16*10000</f>
        <v>0</v>
      </c>
      <c r="J16" s="69"/>
      <c r="L16" s="37" t="n">
        <v>2500</v>
      </c>
      <c r="M16" s="89" t="n">
        <f aca="false">L16*$M$15/10000</f>
        <v>7</v>
      </c>
    </row>
    <row r="17" customFormat="false" ht="11.25" hidden="false" customHeight="false" outlineLevel="0" collapsed="false">
      <c r="B17" s="60"/>
      <c r="C17" s="58"/>
      <c r="D17" s="59" t="n">
        <f aca="false">B17*C17*10000</f>
        <v>0</v>
      </c>
      <c r="E17" s="46"/>
      <c r="F17" s="60"/>
      <c r="G17" s="58"/>
      <c r="H17" s="61" t="n">
        <f aca="false">F17*G17*10000</f>
        <v>0</v>
      </c>
      <c r="J17" s="69"/>
      <c r="L17" s="37" t="n">
        <v>5000</v>
      </c>
      <c r="M17" s="89" t="n">
        <f aca="false">L17*$M$15/10000</f>
        <v>14</v>
      </c>
    </row>
    <row r="18" customFormat="false" ht="11.25" hidden="false" customHeight="false" outlineLevel="0" collapsed="false">
      <c r="B18" s="60"/>
      <c r="C18" s="58"/>
      <c r="D18" s="59" t="n">
        <f aca="false">B18*C18*10000</f>
        <v>0</v>
      </c>
      <c r="E18" s="46"/>
      <c r="F18" s="60"/>
      <c r="G18" s="58"/>
      <c r="H18" s="61" t="n">
        <f aca="false">F18*G18*10000</f>
        <v>0</v>
      </c>
      <c r="J18" s="69"/>
      <c r="L18" s="37" t="n">
        <v>7500</v>
      </c>
      <c r="M18" s="89" t="n">
        <f aca="false">L18*$M$15/10000</f>
        <v>21</v>
      </c>
    </row>
    <row r="19" customFormat="false" ht="11.25" hidden="false" customHeight="false" outlineLevel="0" collapsed="false">
      <c r="B19" s="60"/>
      <c r="C19" s="58"/>
      <c r="D19" s="59" t="n">
        <f aca="false">B19*C19*10000</f>
        <v>0</v>
      </c>
      <c r="E19" s="46"/>
      <c r="F19" s="60"/>
      <c r="G19" s="58"/>
      <c r="H19" s="61" t="n">
        <f aca="false">F19*G19*10000</f>
        <v>0</v>
      </c>
      <c r="J19" s="69"/>
      <c r="L19" s="37" t="n">
        <v>10000</v>
      </c>
      <c r="M19" s="89" t="n">
        <f aca="false">L19*$M$15/10000</f>
        <v>28</v>
      </c>
    </row>
    <row r="20" customFormat="false" ht="11.25" hidden="false" customHeight="false" outlineLevel="0" collapsed="false">
      <c r="B20" s="60"/>
      <c r="C20" s="58"/>
      <c r="D20" s="59" t="n">
        <f aca="false">B20*C20*10000</f>
        <v>0</v>
      </c>
      <c r="E20" s="46"/>
      <c r="F20" s="60"/>
      <c r="G20" s="58"/>
      <c r="H20" s="61" t="n">
        <f aca="false">F20*G20*10000</f>
        <v>0</v>
      </c>
      <c r="J20" s="69"/>
      <c r="L20" s="37" t="n">
        <v>12500</v>
      </c>
      <c r="M20" s="89" t="n">
        <f aca="false">L20*$M$15/10000</f>
        <v>35</v>
      </c>
    </row>
    <row r="21" customFormat="false" ht="11.25" hidden="false" customHeight="false" outlineLevel="0" collapsed="false">
      <c r="B21" s="60"/>
      <c r="C21" s="58"/>
      <c r="D21" s="59" t="n">
        <f aca="false">B21*C21*10000</f>
        <v>0</v>
      </c>
      <c r="E21" s="46"/>
      <c r="F21" s="60"/>
      <c r="G21" s="58"/>
      <c r="H21" s="61" t="n">
        <f aca="false">F21*G21*10000</f>
        <v>0</v>
      </c>
      <c r="J21" s="69"/>
      <c r="L21" s="37" t="n">
        <v>15000</v>
      </c>
      <c r="M21" s="89" t="n">
        <f aca="false">L21*$M$15/10000</f>
        <v>42</v>
      </c>
    </row>
    <row r="22" customFormat="false" ht="11.25" hidden="false" customHeight="false" outlineLevel="0" collapsed="false">
      <c r="B22" s="60"/>
      <c r="C22" s="58"/>
      <c r="D22" s="59" t="n">
        <f aca="false">B22*C22*10000</f>
        <v>0</v>
      </c>
      <c r="E22" s="46"/>
      <c r="F22" s="60"/>
      <c r="G22" s="58"/>
      <c r="H22" s="61" t="n">
        <f aca="false">F22*G22*10000</f>
        <v>0</v>
      </c>
      <c r="J22" s="69"/>
      <c r="L22" s="37" t="n">
        <v>17500</v>
      </c>
      <c r="M22" s="89" t="n">
        <f aca="false">L22*$M$15/10000</f>
        <v>49</v>
      </c>
    </row>
    <row r="23" customFormat="false" ht="11.25" hidden="false" customHeight="false" outlineLevel="0" collapsed="false">
      <c r="B23" s="60"/>
      <c r="C23" s="58"/>
      <c r="D23" s="59" t="n">
        <f aca="false">B23*C23*10000</f>
        <v>0</v>
      </c>
      <c r="E23" s="46"/>
      <c r="F23" s="60"/>
      <c r="G23" s="58"/>
      <c r="H23" s="61" t="n">
        <f aca="false">F23*G23*10000</f>
        <v>0</v>
      </c>
      <c r="J23" s="69"/>
      <c r="L23" s="37" t="n">
        <v>20000</v>
      </c>
      <c r="M23" s="37" t="n">
        <f aca="false">L23*$M$15/10000</f>
        <v>56</v>
      </c>
    </row>
    <row r="24" customFormat="false" ht="11.25" hidden="false" customHeight="false" outlineLevel="0" collapsed="false">
      <c r="B24" s="60"/>
      <c r="C24" s="58"/>
      <c r="D24" s="59" t="n">
        <f aca="false">B24*C24*10000</f>
        <v>0</v>
      </c>
      <c r="E24" s="46"/>
      <c r="F24" s="60"/>
      <c r="G24" s="58"/>
      <c r="H24" s="61" t="n">
        <f aca="false">F24*G24*10000</f>
        <v>0</v>
      </c>
      <c r="J24" s="69"/>
    </row>
    <row r="25" customFormat="false" ht="11.25" hidden="false" customHeight="false" outlineLevel="0" collapsed="false">
      <c r="B25" s="60"/>
      <c r="C25" s="58"/>
      <c r="D25" s="59" t="n">
        <f aca="false">B25*C25*10000</f>
        <v>0</v>
      </c>
      <c r="E25" s="46"/>
      <c r="F25" s="60"/>
      <c r="G25" s="58"/>
      <c r="H25" s="61" t="n">
        <f aca="false">F25*G25*10000</f>
        <v>0</v>
      </c>
      <c r="J25" s="69"/>
    </row>
    <row r="26" customFormat="false" ht="11.25" hidden="false" customHeight="false" outlineLevel="0" collapsed="false">
      <c r="F26" s="38"/>
      <c r="H26" s="70"/>
      <c r="J26" s="69"/>
      <c r="K26" s="71"/>
      <c r="L26" s="71"/>
    </row>
    <row r="27" customFormat="false" ht="11.25" hidden="false" customHeight="false" outlineLevel="0" collapsed="false">
      <c r="B27" s="60" t="n">
        <f aca="false">SUM(B3:B26)</f>
        <v>0</v>
      </c>
      <c r="C27" s="72" t="n">
        <f aca="false">IF(B27=0,0,D27/B27/10000)</f>
        <v>0</v>
      </c>
      <c r="D27" s="59" t="n">
        <f aca="false">SUM(D2:D26)</f>
        <v>0</v>
      </c>
      <c r="F27" s="60" t="n">
        <f aca="false">SUM(F3:F26)</f>
        <v>0</v>
      </c>
      <c r="G27" s="58" t="n">
        <f aca="false">IF(F27=0,0,H27/F27/10000)</f>
        <v>0</v>
      </c>
      <c r="H27" s="61" t="n">
        <f aca="false">SUM(H2:H26)</f>
        <v>0</v>
      </c>
      <c r="K27" s="71"/>
      <c r="L27" s="71"/>
      <c r="M27" s="46"/>
      <c r="N27" s="46"/>
    </row>
    <row r="28" customFormat="false" ht="11.25" hidden="false" customHeight="false" outlineLevel="0" collapsed="false">
      <c r="K28" s="71"/>
      <c r="L28" s="71"/>
      <c r="M28" s="46"/>
      <c r="N28" s="46"/>
    </row>
    <row r="29" customFormat="false" ht="11.25" hidden="false" customHeight="false" outlineLevel="0" collapsed="false">
      <c r="F29" s="40" t="n">
        <f aca="false">-B27+F27</f>
        <v>0</v>
      </c>
      <c r="G29" s="37" t="n">
        <f aca="false">IF(F29&lt;0,C27,G27)</f>
        <v>0</v>
      </c>
      <c r="H29" s="41" t="n">
        <f aca="false">IF(F29&lt;0,(G29-C31)*ABS(F29)*10000,-1*(G29-C31)*ABS(F29)*10000)</f>
        <v>0</v>
      </c>
      <c r="K29" s="71"/>
      <c r="L29" s="71"/>
      <c r="M29" s="46"/>
      <c r="N29" s="46"/>
    </row>
    <row r="30" customFormat="false" ht="11.25" hidden="false" customHeight="false" outlineLevel="0" collapsed="false">
      <c r="F30" s="73" t="n">
        <f aca="false">-B27+F27</f>
        <v>0</v>
      </c>
      <c r="G30" s="37" t="n">
        <f aca="false">IF(F30&lt;0,(C27+(J26/(ABS(F30)*10000))),IF(F30=0,0,(G27-(J26/(ABS(F30)*10000)))))</f>
        <v>0</v>
      </c>
      <c r="H30" s="41" t="n">
        <f aca="false">IF(F30&lt;0,(G30-C31)*ABS(F30)*10000,IF(F30=0,0,-1*(G30-C31)*ABS(F30)*10000))</f>
        <v>0</v>
      </c>
      <c r="K30" s="71"/>
      <c r="L30" s="71"/>
      <c r="M30" s="46"/>
      <c r="N30" s="46"/>
    </row>
    <row r="31" customFormat="false" ht="11.25" hidden="false" customHeight="false" outlineLevel="0" collapsed="false">
      <c r="C31" s="37" t="n">
        <f aca="false">POSTION!B7</f>
        <v>3.102</v>
      </c>
      <c r="D31" s="39" t="s">
        <v>40</v>
      </c>
      <c r="J31" s="74"/>
      <c r="K31" s="75"/>
      <c r="L31" s="75"/>
      <c r="M31" s="46"/>
      <c r="N31" s="46"/>
    </row>
    <row r="32" customFormat="false" ht="11.25" hidden="false" customHeight="false" outlineLevel="0" collapsed="false">
      <c r="F32" s="76" t="n">
        <f aca="false">MIN($B$27,$F$27)*($C$27-$G$27)*10000</f>
        <v>0</v>
      </c>
      <c r="G32" s="77"/>
      <c r="H32" s="77" t="s">
        <v>41</v>
      </c>
      <c r="M32" s="46"/>
      <c r="N32" s="46"/>
    </row>
    <row r="33" customFormat="false" ht="11.25" hidden="false" customHeight="false" outlineLevel="0" collapsed="false">
      <c r="F33" s="76"/>
      <c r="G33" s="77"/>
      <c r="H33" s="77"/>
    </row>
    <row r="34" customFormat="false" ht="11.25" hidden="false" customHeight="false" outlineLevel="0" collapsed="false">
      <c r="F34" s="76" t="n">
        <f aca="false">$H$29</f>
        <v>0</v>
      </c>
      <c r="G34" s="77"/>
      <c r="H34" s="77" t="s">
        <v>42</v>
      </c>
    </row>
    <row r="35" customFormat="false" ht="11.25" hidden="false" customHeight="false" outlineLevel="0" collapsed="false">
      <c r="A35" s="49"/>
      <c r="F35" s="62" t="n">
        <f aca="false">$H$30</f>
        <v>0</v>
      </c>
      <c r="G35" s="51"/>
      <c r="H35" s="51" t="s">
        <v>43</v>
      </c>
    </row>
    <row r="36" customFormat="false" ht="11.25" hidden="false" customHeight="false" outlineLevel="0" collapsed="false">
      <c r="F36" s="42"/>
      <c r="H36" s="37"/>
    </row>
    <row r="37" customFormat="false" ht="11.25" hidden="false" customHeight="false" outlineLevel="0" collapsed="false">
      <c r="F37" s="78" t="n">
        <f aca="false">F32+F34</f>
        <v>0</v>
      </c>
      <c r="G37" s="79"/>
      <c r="H37" s="79" t="s">
        <v>44</v>
      </c>
    </row>
    <row r="39" customFormat="false" ht="11.25" hidden="false" customHeight="false" outlineLevel="0" collapsed="false">
      <c r="B39" s="40"/>
    </row>
    <row r="42" customFormat="false" ht="11.25" hidden="false" customHeight="false" outlineLevel="0" collapsed="false">
      <c r="B42" s="4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42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C3" activeCellId="0" sqref="B3:C3"/>
    </sheetView>
  </sheetViews>
  <sheetFormatPr defaultColWidth="9.13671875" defaultRowHeight="11.25" customHeight="true" zeroHeight="false" outlineLevelRow="0" outlineLevelCol="0"/>
  <cols>
    <col collapsed="false" customWidth="false" hidden="false" outlineLevel="0" max="1" min="1" style="37" width="9.14"/>
    <col collapsed="false" customWidth="true" hidden="false" outlineLevel="0" max="2" min="2" style="38" width="6.99"/>
    <col collapsed="false" customWidth="true" hidden="false" outlineLevel="0" max="3" min="3" style="37" width="8.7"/>
    <col collapsed="false" customWidth="true" hidden="false" outlineLevel="0" max="4" min="4" style="39" width="14.41"/>
    <col collapsed="false" customWidth="true" hidden="false" outlineLevel="0" max="5" min="5" style="37" width="3.14"/>
    <col collapsed="false" customWidth="true" hidden="false" outlineLevel="0" max="6" min="6" style="40" width="9.85"/>
    <col collapsed="false" customWidth="false" hidden="false" outlineLevel="0" max="7" min="7" style="37" width="9.14"/>
    <col collapsed="false" customWidth="true" hidden="false" outlineLevel="0" max="8" min="8" style="41" width="12.56"/>
    <col collapsed="false" customWidth="true" hidden="false" outlineLevel="0" max="9" min="9" style="37" width="2.84"/>
    <col collapsed="false" customWidth="true" hidden="false" outlineLevel="0" max="10" min="10" style="42" width="14.85"/>
    <col collapsed="false" customWidth="true" hidden="false" outlineLevel="0" max="11" min="11" style="37" width="2.13"/>
    <col collapsed="false" customWidth="true" hidden="false" outlineLevel="0" max="12" min="12" style="37" width="21.7"/>
    <col collapsed="false" customWidth="false" hidden="false" outlineLevel="0" max="257" min="13" style="37" width="9.14"/>
  </cols>
  <sheetData>
    <row r="1" customFormat="false" ht="11.25" hidden="false" customHeight="false" outlineLevel="0" collapsed="false">
      <c r="B1" s="38" t="s">
        <v>31</v>
      </c>
      <c r="F1" s="40" t="s">
        <v>32</v>
      </c>
    </row>
    <row r="2" customFormat="false" ht="11.25" hidden="false" customHeight="false" outlineLevel="0" collapsed="false">
      <c r="A2" s="37" t="s">
        <v>33</v>
      </c>
      <c r="B2" s="43"/>
      <c r="C2" s="44"/>
      <c r="D2" s="45"/>
      <c r="E2" s="46"/>
      <c r="F2" s="43"/>
      <c r="G2" s="44"/>
      <c r="H2" s="47"/>
      <c r="J2" s="48" t="n">
        <f aca="false">IF(F2&lt;1,(C2-C31)*(B2*10000),(C31-G2)*(F2*10000))</f>
        <v>-0</v>
      </c>
      <c r="L2" s="49" t="s">
        <v>0</v>
      </c>
    </row>
    <row r="3" customFormat="false" ht="11.25" hidden="false" customHeight="false" outlineLevel="0" collapsed="false">
      <c r="A3" s="37" t="n">
        <f aca="false">POSTION!$E$24</f>
        <v>21</v>
      </c>
      <c r="B3" s="57"/>
      <c r="C3" s="58"/>
      <c r="D3" s="59" t="n">
        <f aca="false">B3*C3*10000</f>
        <v>0</v>
      </c>
      <c r="E3" s="46"/>
      <c r="F3" s="60"/>
      <c r="G3" s="58"/>
      <c r="H3" s="61" t="n">
        <f aca="false">F3*G3*10000</f>
        <v>0</v>
      </c>
      <c r="J3" s="55"/>
      <c r="L3" s="56" t="s">
        <v>34</v>
      </c>
    </row>
    <row r="4" customFormat="false" ht="11.25" hidden="false" customHeight="false" outlineLevel="0" collapsed="false">
      <c r="B4" s="57"/>
      <c r="C4" s="58"/>
      <c r="D4" s="59" t="n">
        <f aca="false">B4*C4*10000</f>
        <v>0</v>
      </c>
      <c r="E4" s="46"/>
      <c r="F4" s="60"/>
      <c r="G4" s="58"/>
      <c r="H4" s="61" t="n">
        <f aca="false">F4*G4*10000</f>
        <v>0</v>
      </c>
      <c r="J4" s="62" t="n">
        <f aca="false">F37</f>
        <v>0</v>
      </c>
      <c r="K4" s="63"/>
      <c r="L4" s="46" t="s">
        <v>35</v>
      </c>
    </row>
    <row r="5" customFormat="false" ht="11.25" hidden="false" customHeight="false" outlineLevel="0" collapsed="false">
      <c r="B5" s="57"/>
      <c r="C5" s="58"/>
      <c r="D5" s="59" t="n">
        <f aca="false">B5*C5*10000</f>
        <v>0</v>
      </c>
      <c r="E5" s="46"/>
      <c r="F5" s="60"/>
      <c r="G5" s="58"/>
      <c r="H5" s="61" t="n">
        <f aca="false">F5*G5*10000</f>
        <v>0</v>
      </c>
      <c r="J5" s="63"/>
      <c r="K5" s="64"/>
      <c r="L5" s="46"/>
    </row>
    <row r="6" customFormat="false" ht="12" hidden="false" customHeight="false" outlineLevel="0" collapsed="false">
      <c r="B6" s="57"/>
      <c r="C6" s="58"/>
      <c r="D6" s="59" t="n">
        <f aca="false">B6*C6*10000</f>
        <v>0</v>
      </c>
      <c r="E6" s="46"/>
      <c r="F6" s="60"/>
      <c r="G6" s="58"/>
      <c r="H6" s="61" t="n">
        <f aca="false">F6*G6*10000</f>
        <v>0</v>
      </c>
      <c r="J6" s="65" t="n">
        <f aca="false">J2+J3+J4</f>
        <v>0</v>
      </c>
      <c r="K6" s="64"/>
      <c r="L6" s="46" t="s">
        <v>36</v>
      </c>
    </row>
    <row r="7" customFormat="false" ht="12" hidden="false" customHeight="false" outlineLevel="0" collapsed="false">
      <c r="B7" s="57"/>
      <c r="C7" s="58"/>
      <c r="D7" s="59" t="n">
        <f aca="false">B7*C7*10000</f>
        <v>0</v>
      </c>
      <c r="E7" s="46"/>
      <c r="F7" s="60"/>
      <c r="G7" s="58"/>
      <c r="H7" s="61" t="n">
        <f aca="false">F7*G7*10000</f>
        <v>0</v>
      </c>
      <c r="J7" s="63"/>
    </row>
    <row r="8" customFormat="false" ht="11.25" hidden="false" customHeight="false" outlineLevel="0" collapsed="false">
      <c r="B8" s="60"/>
      <c r="C8" s="58"/>
      <c r="D8" s="59" t="n">
        <f aca="false">B8*C8*10000</f>
        <v>0</v>
      </c>
      <c r="E8" s="46"/>
      <c r="F8" s="60"/>
      <c r="G8" s="58"/>
      <c r="H8" s="61" t="n">
        <f aca="false">F8*G8*10000</f>
        <v>0</v>
      </c>
      <c r="J8" s="63"/>
      <c r="L8" s="46"/>
    </row>
    <row r="9" customFormat="false" ht="11.25" hidden="false" customHeight="false" outlineLevel="0" collapsed="false">
      <c r="B9" s="60"/>
      <c r="C9" s="58"/>
      <c r="D9" s="59" t="n">
        <f aca="false">B9*C9*10000</f>
        <v>0</v>
      </c>
      <c r="E9" s="46"/>
      <c r="F9" s="60"/>
      <c r="G9" s="58"/>
      <c r="H9" s="61" t="n">
        <f aca="false">F9*G9*10000</f>
        <v>0</v>
      </c>
      <c r="J9" s="66" t="n">
        <f aca="false">F30-B2+F2</f>
        <v>0</v>
      </c>
      <c r="L9" s="37" t="s">
        <v>1</v>
      </c>
    </row>
    <row r="10" customFormat="false" ht="11.25" hidden="false" customHeight="false" outlineLevel="0" collapsed="false">
      <c r="B10" s="60"/>
      <c r="C10" s="58"/>
      <c r="D10" s="59" t="n">
        <f aca="false">B10*C10*10000</f>
        <v>0</v>
      </c>
      <c r="E10" s="46"/>
      <c r="F10" s="60"/>
      <c r="G10" s="58"/>
      <c r="H10" s="61" t="n">
        <f aca="false">F10*G10*10000</f>
        <v>0</v>
      </c>
      <c r="J10" s="67"/>
      <c r="L10" s="37" t="s">
        <v>2</v>
      </c>
    </row>
    <row r="11" customFormat="false" ht="11.25" hidden="false" customHeight="false" outlineLevel="0" collapsed="false">
      <c r="B11" s="60"/>
      <c r="C11" s="58"/>
      <c r="D11" s="59" t="n">
        <f aca="false">B11*C11*10000</f>
        <v>0</v>
      </c>
      <c r="E11" s="46"/>
      <c r="F11" s="60"/>
      <c r="G11" s="58"/>
      <c r="H11" s="61" t="n">
        <f aca="false">F11*G11*10000</f>
        <v>0</v>
      </c>
      <c r="J11" s="68" t="n">
        <f aca="false">J9-J10</f>
        <v>0</v>
      </c>
      <c r="L11" s="37" t="s">
        <v>37</v>
      </c>
    </row>
    <row r="12" customFormat="false" ht="11.25" hidden="false" customHeight="false" outlineLevel="0" collapsed="false">
      <c r="B12" s="60"/>
      <c r="C12" s="58"/>
      <c r="D12" s="59" t="n">
        <f aca="false">B12*C12*10000</f>
        <v>0</v>
      </c>
      <c r="E12" s="46"/>
      <c r="F12" s="60"/>
      <c r="G12" s="58"/>
      <c r="H12" s="61" t="n">
        <f aca="false">F12*G12*10000</f>
        <v>0</v>
      </c>
      <c r="J12" s="69"/>
    </row>
    <row r="13" customFormat="false" ht="11.25" hidden="false" customHeight="false" outlineLevel="0" collapsed="false">
      <c r="B13" s="60"/>
      <c r="C13" s="58"/>
      <c r="D13" s="59" t="n">
        <f aca="false">B13*C13*10000</f>
        <v>0</v>
      </c>
      <c r="E13" s="46"/>
      <c r="F13" s="60"/>
      <c r="G13" s="58"/>
      <c r="H13" s="61" t="n">
        <f aca="false">F13*G13*10000</f>
        <v>0</v>
      </c>
      <c r="J13" s="69"/>
      <c r="N13" s="37" t="n">
        <f aca="false">226.5/151</f>
        <v>1.5</v>
      </c>
      <c r="O13" s="37" t="n">
        <f aca="false">N13*30</f>
        <v>45</v>
      </c>
    </row>
    <row r="14" customFormat="false" ht="11.25" hidden="false" customHeight="false" outlineLevel="0" collapsed="false">
      <c r="B14" s="60"/>
      <c r="C14" s="58"/>
      <c r="D14" s="59" t="n">
        <f aca="false">B14*C14*10000</f>
        <v>0</v>
      </c>
      <c r="E14" s="46"/>
      <c r="F14" s="60"/>
      <c r="G14" s="58"/>
      <c r="H14" s="61" t="n">
        <f aca="false">F14*G14*10000</f>
        <v>0</v>
      </c>
      <c r="J14" s="69"/>
      <c r="L14" s="37" t="n">
        <f aca="false">151/3</f>
        <v>50.3333333333333</v>
      </c>
      <c r="O14" s="37" t="n">
        <f aca="false">O13-1.5</f>
        <v>43.5</v>
      </c>
    </row>
    <row r="15" customFormat="false" ht="11.25" hidden="false" customHeight="false" outlineLevel="0" collapsed="false">
      <c r="B15" s="60"/>
      <c r="C15" s="58"/>
      <c r="D15" s="59" t="n">
        <f aca="false">B15*C15*10000</f>
        <v>0</v>
      </c>
      <c r="E15" s="46"/>
      <c r="F15" s="60"/>
      <c r="G15" s="58"/>
      <c r="H15" s="61" t="n">
        <f aca="false">F15*G15*10000</f>
        <v>0</v>
      </c>
      <c r="J15" s="69"/>
      <c r="M15" s="37" t="n">
        <f aca="false">M17*2</f>
        <v>60.5</v>
      </c>
    </row>
    <row r="16" customFormat="false" ht="11.25" hidden="false" customHeight="false" outlineLevel="0" collapsed="false">
      <c r="B16" s="60"/>
      <c r="C16" s="58"/>
      <c r="D16" s="59" t="n">
        <f aca="false">B16*C16*10000</f>
        <v>0</v>
      </c>
      <c r="E16" s="46"/>
      <c r="F16" s="60"/>
      <c r="G16" s="58"/>
      <c r="H16" s="61" t="n">
        <f aca="false">F16*G16*10000</f>
        <v>0</v>
      </c>
      <c r="J16" s="69"/>
    </row>
    <row r="17" customFormat="false" ht="11.25" hidden="false" customHeight="false" outlineLevel="0" collapsed="false">
      <c r="B17" s="60"/>
      <c r="C17" s="58"/>
      <c r="D17" s="59" t="n">
        <f aca="false">B17*C17*10000</f>
        <v>0</v>
      </c>
      <c r="E17" s="46"/>
      <c r="F17" s="60"/>
      <c r="G17" s="58"/>
      <c r="H17" s="61" t="n">
        <f aca="false">F17*G17*10000</f>
        <v>0</v>
      </c>
      <c r="J17" s="69"/>
      <c r="L17" s="37" t="n">
        <v>2500</v>
      </c>
      <c r="M17" s="37" t="n">
        <f aca="false">(L17*121)/10000</f>
        <v>30.25</v>
      </c>
    </row>
    <row r="18" customFormat="false" ht="11.25" hidden="false" customHeight="false" outlineLevel="0" collapsed="false">
      <c r="B18" s="60"/>
      <c r="C18" s="58"/>
      <c r="D18" s="59" t="n">
        <f aca="false">B18*C18*10000</f>
        <v>0</v>
      </c>
      <c r="E18" s="46"/>
      <c r="F18" s="60"/>
      <c r="G18" s="58"/>
      <c r="H18" s="61" t="n">
        <f aca="false">F18*G18*10000</f>
        <v>0</v>
      </c>
      <c r="J18" s="69"/>
      <c r="L18" s="37" t="n">
        <v>5000</v>
      </c>
      <c r="M18" s="37" t="n">
        <f aca="false">(L18*121)/10000</f>
        <v>60.5</v>
      </c>
    </row>
    <row r="19" customFormat="false" ht="11.25" hidden="false" customHeight="false" outlineLevel="0" collapsed="false">
      <c r="B19" s="60"/>
      <c r="C19" s="58"/>
      <c r="D19" s="59" t="n">
        <f aca="false">B19*C19*10000</f>
        <v>0</v>
      </c>
      <c r="E19" s="46"/>
      <c r="F19" s="60"/>
      <c r="G19" s="58"/>
      <c r="H19" s="61" t="n">
        <f aca="false">F19*G19*10000</f>
        <v>0</v>
      </c>
      <c r="J19" s="69"/>
      <c r="L19" s="37" t="n">
        <v>7.5</v>
      </c>
    </row>
    <row r="20" customFormat="false" ht="11.25" hidden="false" customHeight="false" outlineLevel="0" collapsed="false">
      <c r="B20" s="60"/>
      <c r="C20" s="58"/>
      <c r="D20" s="59" t="n">
        <f aca="false">B20*C20*10000</f>
        <v>0</v>
      </c>
      <c r="E20" s="46"/>
      <c r="F20" s="60"/>
      <c r="G20" s="58"/>
      <c r="H20" s="61" t="n">
        <f aca="false">F20*G20*10000</f>
        <v>0</v>
      </c>
      <c r="J20" s="69"/>
    </row>
    <row r="21" customFormat="false" ht="11.25" hidden="false" customHeight="false" outlineLevel="0" collapsed="false">
      <c r="B21" s="60"/>
      <c r="C21" s="58"/>
      <c r="D21" s="59" t="n">
        <f aca="false">B21*C21*10000</f>
        <v>0</v>
      </c>
      <c r="E21" s="46"/>
      <c r="F21" s="60"/>
      <c r="G21" s="58"/>
      <c r="H21" s="61" t="n">
        <f aca="false">F21*G21*10000</f>
        <v>0</v>
      </c>
      <c r="J21" s="69"/>
      <c r="N21" s="37" t="n">
        <f aca="false">46.5</f>
        <v>46.5</v>
      </c>
    </row>
    <row r="22" customFormat="false" ht="11.25" hidden="false" customHeight="false" outlineLevel="0" collapsed="false">
      <c r="B22" s="60"/>
      <c r="C22" s="58"/>
      <c r="D22" s="59" t="n">
        <f aca="false">B22*C22*10000</f>
        <v>0</v>
      </c>
      <c r="E22" s="46"/>
      <c r="F22" s="60"/>
      <c r="G22" s="58"/>
      <c r="H22" s="61" t="n">
        <f aca="false">F22*G22*10000</f>
        <v>0</v>
      </c>
      <c r="J22" s="69"/>
    </row>
    <row r="23" customFormat="false" ht="11.25" hidden="false" customHeight="false" outlineLevel="0" collapsed="false">
      <c r="B23" s="60"/>
      <c r="C23" s="58"/>
      <c r="D23" s="59" t="n">
        <f aca="false">B23*C23*10000</f>
        <v>0</v>
      </c>
      <c r="E23" s="46"/>
      <c r="F23" s="60"/>
      <c r="G23" s="58"/>
      <c r="H23" s="61" t="n">
        <f aca="false">F23*G23*10000</f>
        <v>0</v>
      </c>
      <c r="J23" s="69"/>
    </row>
    <row r="24" customFormat="false" ht="11.25" hidden="false" customHeight="false" outlineLevel="0" collapsed="false">
      <c r="B24" s="60"/>
      <c r="C24" s="58"/>
      <c r="D24" s="59" t="n">
        <f aca="false">B24*C24*10000</f>
        <v>0</v>
      </c>
      <c r="E24" s="46"/>
      <c r="F24" s="60"/>
      <c r="G24" s="58"/>
      <c r="H24" s="61" t="n">
        <f aca="false">F24*G24*10000</f>
        <v>0</v>
      </c>
      <c r="J24" s="69"/>
    </row>
    <row r="25" customFormat="false" ht="11.25" hidden="false" customHeight="false" outlineLevel="0" collapsed="false">
      <c r="B25" s="60"/>
      <c r="C25" s="58"/>
      <c r="D25" s="59" t="n">
        <f aca="false">B25*C25*10000</f>
        <v>0</v>
      </c>
      <c r="E25" s="46"/>
      <c r="F25" s="60"/>
      <c r="G25" s="58"/>
      <c r="H25" s="61" t="n">
        <f aca="false">F25*G25*10000</f>
        <v>0</v>
      </c>
      <c r="J25" s="69"/>
    </row>
    <row r="26" customFormat="false" ht="11.25" hidden="false" customHeight="false" outlineLevel="0" collapsed="false">
      <c r="F26" s="38"/>
      <c r="H26" s="70"/>
      <c r="J26" s="69"/>
      <c r="K26" s="71"/>
      <c r="L26" s="71"/>
    </row>
    <row r="27" customFormat="false" ht="11.25" hidden="false" customHeight="false" outlineLevel="0" collapsed="false">
      <c r="B27" s="60" t="n">
        <f aca="false">SUM(B3:B26)</f>
        <v>0</v>
      </c>
      <c r="C27" s="72" t="n">
        <f aca="false">IF(B27=0,0,D27/B27/10000)</f>
        <v>0</v>
      </c>
      <c r="D27" s="59" t="n">
        <f aca="false">SUM(D2:D26)</f>
        <v>0</v>
      </c>
      <c r="F27" s="60" t="n">
        <f aca="false">SUM(F3:F26)</f>
        <v>0</v>
      </c>
      <c r="G27" s="58" t="n">
        <f aca="false">IF(F27=0,0,H27/F27/10000)</f>
        <v>0</v>
      </c>
      <c r="H27" s="61" t="n">
        <f aca="false">SUM(H2:H26)</f>
        <v>0</v>
      </c>
      <c r="K27" s="71"/>
      <c r="L27" s="71"/>
      <c r="M27" s="46"/>
      <c r="N27" s="46"/>
    </row>
    <row r="28" customFormat="false" ht="11.25" hidden="false" customHeight="false" outlineLevel="0" collapsed="false">
      <c r="K28" s="71"/>
      <c r="L28" s="71"/>
      <c r="M28" s="46"/>
      <c r="N28" s="46"/>
    </row>
    <row r="29" customFormat="false" ht="11.25" hidden="false" customHeight="false" outlineLevel="0" collapsed="false">
      <c r="F29" s="40" t="n">
        <f aca="false">-B27+F27</f>
        <v>0</v>
      </c>
      <c r="G29" s="37" t="n">
        <f aca="false">IF(F29&lt;0,C27,G27)</f>
        <v>0</v>
      </c>
      <c r="H29" s="41" t="n">
        <f aca="false">IF(F29&lt;0,(G29-C31)*ABS(F29)*10000,-1*(G29-C31)*ABS(F29)*10000)</f>
        <v>0</v>
      </c>
      <c r="K29" s="71"/>
      <c r="L29" s="71"/>
      <c r="M29" s="46"/>
      <c r="N29" s="46"/>
    </row>
    <row r="30" customFormat="false" ht="11.25" hidden="false" customHeight="false" outlineLevel="0" collapsed="false">
      <c r="F30" s="73" t="n">
        <f aca="false">-B27+F27</f>
        <v>0</v>
      </c>
      <c r="G30" s="37" t="n">
        <f aca="false">IF(F30&lt;0,(C27+(J26/(ABS(F30)*10000))),IF(F30=0,0,(G27-(J26/(ABS(F30)*10000)))))</f>
        <v>0</v>
      </c>
      <c r="H30" s="41" t="n">
        <f aca="false">IF(F30&lt;0,(G30-C31)*ABS(F30)*10000,IF(F30=0,0,-1*(G30-C31)*ABS(F30)*10000))</f>
        <v>0</v>
      </c>
      <c r="K30" s="71"/>
      <c r="L30" s="71"/>
      <c r="M30" s="46"/>
      <c r="N30" s="46"/>
    </row>
    <row r="31" customFormat="false" ht="11.25" hidden="false" customHeight="false" outlineLevel="0" collapsed="false">
      <c r="C31" s="37" t="n">
        <f aca="false">POSTION!B8</f>
        <v>3.0655</v>
      </c>
      <c r="D31" s="39" t="s">
        <v>40</v>
      </c>
      <c r="J31" s="74"/>
      <c r="K31" s="75"/>
      <c r="L31" s="75"/>
      <c r="M31" s="46"/>
      <c r="N31" s="46"/>
    </row>
    <row r="32" customFormat="false" ht="11.25" hidden="false" customHeight="false" outlineLevel="0" collapsed="false">
      <c r="F32" s="76" t="n">
        <f aca="false">MIN($B$27,$F$27)*($C$27-$G$27)*10000</f>
        <v>0</v>
      </c>
      <c r="G32" s="77"/>
      <c r="H32" s="77" t="s">
        <v>41</v>
      </c>
      <c r="M32" s="46"/>
      <c r="N32" s="46"/>
    </row>
    <row r="33" customFormat="false" ht="11.25" hidden="false" customHeight="false" outlineLevel="0" collapsed="false">
      <c r="F33" s="76"/>
      <c r="G33" s="77"/>
      <c r="H33" s="77"/>
    </row>
    <row r="34" customFormat="false" ht="11.25" hidden="false" customHeight="false" outlineLevel="0" collapsed="false">
      <c r="F34" s="76" t="n">
        <f aca="false">$H$29</f>
        <v>0</v>
      </c>
      <c r="G34" s="77"/>
      <c r="H34" s="77" t="s">
        <v>42</v>
      </c>
    </row>
    <row r="35" customFormat="false" ht="11.25" hidden="false" customHeight="false" outlineLevel="0" collapsed="false">
      <c r="A35" s="49"/>
      <c r="F35" s="62" t="n">
        <f aca="false">$H$30</f>
        <v>0</v>
      </c>
      <c r="G35" s="51"/>
      <c r="H35" s="51" t="s">
        <v>43</v>
      </c>
    </row>
    <row r="36" customFormat="false" ht="11.25" hidden="false" customHeight="false" outlineLevel="0" collapsed="false">
      <c r="F36" s="42"/>
      <c r="H36" s="37"/>
    </row>
    <row r="37" customFormat="false" ht="11.25" hidden="false" customHeight="false" outlineLevel="0" collapsed="false">
      <c r="F37" s="78" t="n">
        <f aca="false">F32+F34</f>
        <v>0</v>
      </c>
      <c r="G37" s="79"/>
      <c r="H37" s="79" t="s">
        <v>44</v>
      </c>
    </row>
    <row r="39" customFormat="false" ht="11.25" hidden="false" customHeight="false" outlineLevel="0" collapsed="false">
      <c r="B39" s="40"/>
    </row>
    <row r="42" customFormat="false" ht="11.25" hidden="false" customHeight="false" outlineLevel="0" collapsed="false">
      <c r="B42" s="4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42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G4" activeCellId="0" sqref="G4"/>
    </sheetView>
  </sheetViews>
  <sheetFormatPr defaultColWidth="9.13671875" defaultRowHeight="11.25" customHeight="true" zeroHeight="false" outlineLevelRow="0" outlineLevelCol="0"/>
  <cols>
    <col collapsed="false" customWidth="false" hidden="false" outlineLevel="0" max="1" min="1" style="37" width="9.14"/>
    <col collapsed="false" customWidth="true" hidden="false" outlineLevel="0" max="2" min="2" style="38" width="6.99"/>
    <col collapsed="false" customWidth="true" hidden="false" outlineLevel="0" max="3" min="3" style="37" width="8.7"/>
    <col collapsed="false" customWidth="true" hidden="false" outlineLevel="0" max="4" min="4" style="39" width="14.41"/>
    <col collapsed="false" customWidth="true" hidden="false" outlineLevel="0" max="5" min="5" style="37" width="3.14"/>
    <col collapsed="false" customWidth="true" hidden="false" outlineLevel="0" max="6" min="6" style="40" width="9.85"/>
    <col collapsed="false" customWidth="false" hidden="false" outlineLevel="0" max="7" min="7" style="37" width="9.14"/>
    <col collapsed="false" customWidth="true" hidden="false" outlineLevel="0" max="8" min="8" style="41" width="12.56"/>
    <col collapsed="false" customWidth="true" hidden="false" outlineLevel="0" max="9" min="9" style="37" width="2.84"/>
    <col collapsed="false" customWidth="true" hidden="false" outlineLevel="0" max="10" min="10" style="42" width="14.85"/>
    <col collapsed="false" customWidth="true" hidden="false" outlineLevel="0" max="11" min="11" style="37" width="2.13"/>
    <col collapsed="false" customWidth="true" hidden="false" outlineLevel="0" max="12" min="12" style="37" width="21.7"/>
    <col collapsed="false" customWidth="false" hidden="false" outlineLevel="0" max="257" min="13" style="37" width="9.14"/>
  </cols>
  <sheetData>
    <row r="1" customFormat="false" ht="11.25" hidden="false" customHeight="false" outlineLevel="0" collapsed="false">
      <c r="B1" s="38" t="s">
        <v>31</v>
      </c>
      <c r="F1" s="40" t="s">
        <v>32</v>
      </c>
    </row>
    <row r="2" customFormat="false" ht="11.25" hidden="false" customHeight="false" outlineLevel="0" collapsed="false">
      <c r="A2" s="37" t="s">
        <v>33</v>
      </c>
      <c r="B2" s="43"/>
      <c r="C2" s="44"/>
      <c r="D2" s="45"/>
      <c r="E2" s="46"/>
      <c r="F2" s="43"/>
      <c r="G2" s="44"/>
      <c r="H2" s="47"/>
      <c r="J2" s="48" t="n">
        <f aca="false">IF(F2&lt;1,(C2-C31)*(B2*10000),(C31-G2)*(F2*10000))</f>
        <v>-0</v>
      </c>
      <c r="L2" s="49" t="s">
        <v>0</v>
      </c>
    </row>
    <row r="3" customFormat="false" ht="11.25" hidden="false" customHeight="false" outlineLevel="0" collapsed="false">
      <c r="A3" s="37" t="n">
        <f aca="false">POSTION!$E$24</f>
        <v>21</v>
      </c>
      <c r="B3" s="57" t="n">
        <v>107</v>
      </c>
      <c r="C3" s="58" t="n">
        <v>3.17</v>
      </c>
      <c r="D3" s="59" t="n">
        <f aca="false">B3*C3*10000</f>
        <v>3391900</v>
      </c>
      <c r="E3" s="46"/>
      <c r="F3" s="60" t="n">
        <v>107</v>
      </c>
      <c r="G3" s="58" t="n">
        <v>3.185</v>
      </c>
      <c r="H3" s="61" t="n">
        <f aca="false">F3*G3*10000</f>
        <v>3407950</v>
      </c>
      <c r="J3" s="55"/>
      <c r="L3" s="56" t="s">
        <v>34</v>
      </c>
    </row>
    <row r="4" customFormat="false" ht="11.25" hidden="false" customHeight="false" outlineLevel="0" collapsed="false">
      <c r="B4" s="57"/>
      <c r="C4" s="58"/>
      <c r="D4" s="59" t="n">
        <f aca="false">B4*C4*10000</f>
        <v>0</v>
      </c>
      <c r="E4" s="46"/>
      <c r="F4" s="60"/>
      <c r="G4" s="58"/>
      <c r="H4" s="61" t="n">
        <f aca="false">F4*G4*10000</f>
        <v>0</v>
      </c>
      <c r="J4" s="62" t="n">
        <f aca="false">F37</f>
        <v>-16050.0000000001</v>
      </c>
      <c r="K4" s="63"/>
      <c r="L4" s="46" t="s">
        <v>35</v>
      </c>
    </row>
    <row r="5" customFormat="false" ht="11.25" hidden="false" customHeight="false" outlineLevel="0" collapsed="false">
      <c r="B5" s="57"/>
      <c r="C5" s="58"/>
      <c r="D5" s="59" t="n">
        <f aca="false">B5*C5*10000</f>
        <v>0</v>
      </c>
      <c r="E5" s="46"/>
      <c r="F5" s="60"/>
      <c r="G5" s="58"/>
      <c r="H5" s="61" t="n">
        <f aca="false">F5*G5*10000</f>
        <v>0</v>
      </c>
      <c r="J5" s="63"/>
      <c r="K5" s="64"/>
      <c r="L5" s="46"/>
    </row>
    <row r="6" customFormat="false" ht="12" hidden="false" customHeight="false" outlineLevel="0" collapsed="false">
      <c r="B6" s="57"/>
      <c r="C6" s="58"/>
      <c r="D6" s="59" t="n">
        <f aca="false">B6*C6*10000</f>
        <v>0</v>
      </c>
      <c r="E6" s="46"/>
      <c r="F6" s="60"/>
      <c r="G6" s="58"/>
      <c r="H6" s="61" t="n">
        <f aca="false">F6*G6*10000</f>
        <v>0</v>
      </c>
      <c r="J6" s="65" t="n">
        <f aca="false">J2+J3+J4</f>
        <v>-16050.0000000001</v>
      </c>
      <c r="K6" s="64"/>
      <c r="L6" s="46" t="s">
        <v>36</v>
      </c>
    </row>
    <row r="7" customFormat="false" ht="12" hidden="false" customHeight="false" outlineLevel="0" collapsed="false">
      <c r="B7" s="57"/>
      <c r="C7" s="58"/>
      <c r="D7" s="59" t="n">
        <f aca="false">B7*C7*10000</f>
        <v>0</v>
      </c>
      <c r="E7" s="46"/>
      <c r="F7" s="60"/>
      <c r="G7" s="58"/>
      <c r="H7" s="61" t="n">
        <f aca="false">F7*G7*10000</f>
        <v>0</v>
      </c>
      <c r="J7" s="63"/>
    </row>
    <row r="8" customFormat="false" ht="11.25" hidden="false" customHeight="false" outlineLevel="0" collapsed="false">
      <c r="B8" s="60"/>
      <c r="C8" s="58"/>
      <c r="D8" s="59" t="n">
        <f aca="false">B8*C8*10000</f>
        <v>0</v>
      </c>
      <c r="E8" s="46"/>
      <c r="F8" s="60"/>
      <c r="G8" s="58"/>
      <c r="H8" s="61" t="n">
        <f aca="false">F8*G8*10000</f>
        <v>0</v>
      </c>
      <c r="J8" s="63"/>
      <c r="L8" s="46"/>
    </row>
    <row r="9" customFormat="false" ht="11.25" hidden="false" customHeight="false" outlineLevel="0" collapsed="false">
      <c r="B9" s="60"/>
      <c r="C9" s="58"/>
      <c r="D9" s="59" t="n">
        <f aca="false">B9*C9*10000</f>
        <v>0</v>
      </c>
      <c r="E9" s="46"/>
      <c r="F9" s="60"/>
      <c r="G9" s="58"/>
      <c r="H9" s="61" t="n">
        <f aca="false">F9*G9*10000</f>
        <v>0</v>
      </c>
      <c r="J9" s="66" t="n">
        <f aca="false">F30-B2+F2</f>
        <v>0</v>
      </c>
      <c r="L9" s="37" t="s">
        <v>1</v>
      </c>
    </row>
    <row r="10" customFormat="false" ht="11.25" hidden="false" customHeight="false" outlineLevel="0" collapsed="false">
      <c r="B10" s="60"/>
      <c r="C10" s="58"/>
      <c r="D10" s="59" t="n">
        <f aca="false">B10*C10*10000</f>
        <v>0</v>
      </c>
      <c r="E10" s="46"/>
      <c r="F10" s="60"/>
      <c r="G10" s="58"/>
      <c r="H10" s="61" t="n">
        <f aca="false">F10*G10*10000</f>
        <v>0</v>
      </c>
      <c r="J10" s="67"/>
      <c r="L10" s="37" t="s">
        <v>2</v>
      </c>
    </row>
    <row r="11" customFormat="false" ht="11.25" hidden="false" customHeight="false" outlineLevel="0" collapsed="false">
      <c r="B11" s="60"/>
      <c r="C11" s="58"/>
      <c r="D11" s="59" t="n">
        <f aca="false">B11*C11*10000</f>
        <v>0</v>
      </c>
      <c r="E11" s="46"/>
      <c r="F11" s="60"/>
      <c r="G11" s="58"/>
      <c r="H11" s="61" t="n">
        <f aca="false">F11*G11*10000</f>
        <v>0</v>
      </c>
      <c r="J11" s="68" t="n">
        <f aca="false">J9-J10</f>
        <v>0</v>
      </c>
      <c r="L11" s="37" t="s">
        <v>37</v>
      </c>
    </row>
    <row r="12" customFormat="false" ht="11.25" hidden="false" customHeight="false" outlineLevel="0" collapsed="false">
      <c r="B12" s="60"/>
      <c r="C12" s="58"/>
      <c r="D12" s="59" t="n">
        <f aca="false">B12*C12*10000</f>
        <v>0</v>
      </c>
      <c r="E12" s="46"/>
      <c r="F12" s="60"/>
      <c r="G12" s="58"/>
      <c r="H12" s="61" t="n">
        <f aca="false">F12*G12*10000</f>
        <v>0</v>
      </c>
      <c r="J12" s="69"/>
    </row>
    <row r="13" customFormat="false" ht="11.25" hidden="false" customHeight="false" outlineLevel="0" collapsed="false">
      <c r="B13" s="60"/>
      <c r="C13" s="58"/>
      <c r="D13" s="59" t="n">
        <f aca="false">B13*C13*10000</f>
        <v>0</v>
      </c>
      <c r="E13" s="46"/>
      <c r="F13" s="60"/>
      <c r="G13" s="58"/>
      <c r="H13" s="61" t="n">
        <f aca="false">F13*G13*10000</f>
        <v>0</v>
      </c>
      <c r="J13" s="69"/>
    </row>
    <row r="14" customFormat="false" ht="11.25" hidden="false" customHeight="false" outlineLevel="0" collapsed="false">
      <c r="B14" s="60"/>
      <c r="C14" s="58"/>
      <c r="D14" s="59" t="n">
        <f aca="false">B14*C14*10000</f>
        <v>0</v>
      </c>
      <c r="E14" s="46"/>
      <c r="F14" s="60"/>
      <c r="G14" s="58"/>
      <c r="H14" s="61" t="n">
        <f aca="false">F14*G14*10000</f>
        <v>0</v>
      </c>
      <c r="J14" s="69"/>
      <c r="L14" s="37" t="n">
        <f aca="false">151/3</f>
        <v>50.3333333333333</v>
      </c>
    </row>
    <row r="15" customFormat="false" ht="11.25" hidden="false" customHeight="false" outlineLevel="0" collapsed="false">
      <c r="B15" s="60"/>
      <c r="C15" s="58"/>
      <c r="D15" s="59" t="n">
        <f aca="false">B15*C15*10000</f>
        <v>0</v>
      </c>
      <c r="E15" s="46"/>
      <c r="F15" s="60"/>
      <c r="G15" s="58"/>
      <c r="H15" s="61" t="n">
        <f aca="false">F15*G15*10000</f>
        <v>0</v>
      </c>
      <c r="J15" s="69"/>
      <c r="M15" s="37" t="n">
        <f aca="false">365-151</f>
        <v>214</v>
      </c>
      <c r="N15" s="37" t="n">
        <f aca="false">M15*1.25</f>
        <v>267.5</v>
      </c>
    </row>
    <row r="16" customFormat="false" ht="11.25" hidden="false" customHeight="false" outlineLevel="0" collapsed="false">
      <c r="B16" s="60"/>
      <c r="C16" s="58"/>
      <c r="D16" s="59" t="n">
        <f aca="false">B16*C16*10000</f>
        <v>0</v>
      </c>
      <c r="E16" s="46"/>
      <c r="F16" s="60"/>
      <c r="G16" s="58"/>
      <c r="H16" s="61" t="n">
        <f aca="false">F16*G16*10000</f>
        <v>0</v>
      </c>
      <c r="J16" s="69"/>
    </row>
    <row r="17" customFormat="false" ht="11.25" hidden="false" customHeight="false" outlineLevel="0" collapsed="false">
      <c r="B17" s="60"/>
      <c r="C17" s="58"/>
      <c r="D17" s="59" t="n">
        <f aca="false">B17*C17*10000</f>
        <v>0</v>
      </c>
      <c r="E17" s="46"/>
      <c r="F17" s="60"/>
      <c r="G17" s="58"/>
      <c r="H17" s="61" t="n">
        <f aca="false">F17*G17*10000</f>
        <v>0</v>
      </c>
      <c r="J17" s="69"/>
      <c r="L17" s="37" t="n">
        <v>5000</v>
      </c>
      <c r="M17" s="37" t="n">
        <f aca="false">M15/2</f>
        <v>107</v>
      </c>
    </row>
    <row r="18" customFormat="false" ht="11.25" hidden="false" customHeight="false" outlineLevel="0" collapsed="false">
      <c r="B18" s="60"/>
      <c r="C18" s="58"/>
      <c r="D18" s="59" t="n">
        <f aca="false">B18*C18*10000</f>
        <v>0</v>
      </c>
      <c r="E18" s="46"/>
      <c r="F18" s="60"/>
      <c r="G18" s="58"/>
      <c r="H18" s="61" t="n">
        <f aca="false">F18*G18*10000</f>
        <v>0</v>
      </c>
      <c r="J18" s="69"/>
      <c r="L18" s="37" t="n">
        <v>2500</v>
      </c>
      <c r="M18" s="37" t="n">
        <f aca="false">M15/4</f>
        <v>53.5</v>
      </c>
    </row>
    <row r="19" customFormat="false" ht="11.25" hidden="false" customHeight="false" outlineLevel="0" collapsed="false">
      <c r="B19" s="60"/>
      <c r="C19" s="58"/>
      <c r="D19" s="59" t="n">
        <f aca="false">B19*C19*10000</f>
        <v>0</v>
      </c>
      <c r="E19" s="46"/>
      <c r="F19" s="60"/>
      <c r="G19" s="58"/>
      <c r="H19" s="61" t="n">
        <f aca="false">F19*G19*10000</f>
        <v>0</v>
      </c>
      <c r="J19" s="69"/>
      <c r="L19" s="37" t="n">
        <v>7.5</v>
      </c>
    </row>
    <row r="20" customFormat="false" ht="11.25" hidden="false" customHeight="false" outlineLevel="0" collapsed="false">
      <c r="B20" s="60"/>
      <c r="C20" s="58"/>
      <c r="D20" s="59" t="n">
        <f aca="false">B20*C20*10000</f>
        <v>0</v>
      </c>
      <c r="E20" s="46"/>
      <c r="F20" s="60"/>
      <c r="G20" s="58"/>
      <c r="H20" s="61" t="n">
        <f aca="false">F20*G20*10000</f>
        <v>0</v>
      </c>
      <c r="J20" s="69"/>
    </row>
    <row r="21" customFormat="false" ht="11.25" hidden="false" customHeight="false" outlineLevel="0" collapsed="false">
      <c r="B21" s="60"/>
      <c r="C21" s="58"/>
      <c r="D21" s="59" t="n">
        <f aca="false">B21*C21*10000</f>
        <v>0</v>
      </c>
      <c r="E21" s="46"/>
      <c r="F21" s="60"/>
      <c r="G21" s="58"/>
      <c r="H21" s="61" t="n">
        <f aca="false">F21*G21*10000</f>
        <v>0</v>
      </c>
      <c r="J21" s="69"/>
    </row>
    <row r="22" customFormat="false" ht="11.25" hidden="false" customHeight="false" outlineLevel="0" collapsed="false">
      <c r="B22" s="60"/>
      <c r="C22" s="58"/>
      <c r="D22" s="59" t="n">
        <f aca="false">B22*C22*10000</f>
        <v>0</v>
      </c>
      <c r="E22" s="46"/>
      <c r="F22" s="60"/>
      <c r="G22" s="58"/>
      <c r="H22" s="61" t="n">
        <f aca="false">F22*G22*10000</f>
        <v>0</v>
      </c>
      <c r="J22" s="69"/>
    </row>
    <row r="23" customFormat="false" ht="11.25" hidden="false" customHeight="false" outlineLevel="0" collapsed="false">
      <c r="B23" s="60"/>
      <c r="C23" s="58"/>
      <c r="D23" s="59" t="n">
        <f aca="false">B23*C23*10000</f>
        <v>0</v>
      </c>
      <c r="E23" s="46"/>
      <c r="F23" s="60"/>
      <c r="G23" s="58"/>
      <c r="H23" s="61" t="n">
        <f aca="false">F23*G23*10000</f>
        <v>0</v>
      </c>
      <c r="J23" s="69"/>
    </row>
    <row r="24" customFormat="false" ht="11.25" hidden="false" customHeight="false" outlineLevel="0" collapsed="false">
      <c r="B24" s="60"/>
      <c r="C24" s="58"/>
      <c r="D24" s="59" t="n">
        <f aca="false">B24*C24*10000</f>
        <v>0</v>
      </c>
      <c r="E24" s="46"/>
      <c r="F24" s="60"/>
      <c r="G24" s="58"/>
      <c r="H24" s="61" t="n">
        <f aca="false">F24*G24*10000</f>
        <v>0</v>
      </c>
      <c r="J24" s="69"/>
    </row>
    <row r="25" customFormat="false" ht="11.25" hidden="false" customHeight="false" outlineLevel="0" collapsed="false">
      <c r="B25" s="60"/>
      <c r="C25" s="58"/>
      <c r="D25" s="59" t="n">
        <f aca="false">B25*C25*10000</f>
        <v>0</v>
      </c>
      <c r="E25" s="46"/>
      <c r="F25" s="60"/>
      <c r="G25" s="58"/>
      <c r="H25" s="61" t="n">
        <f aca="false">F25*G25*10000</f>
        <v>0</v>
      </c>
      <c r="J25" s="69"/>
    </row>
    <row r="26" customFormat="false" ht="11.25" hidden="false" customHeight="false" outlineLevel="0" collapsed="false">
      <c r="F26" s="38"/>
      <c r="H26" s="70"/>
      <c r="J26" s="69"/>
      <c r="K26" s="71"/>
      <c r="L26" s="71"/>
    </row>
    <row r="27" customFormat="false" ht="11.25" hidden="false" customHeight="false" outlineLevel="0" collapsed="false">
      <c r="B27" s="60" t="n">
        <f aca="false">SUM(B3:B26)</f>
        <v>107</v>
      </c>
      <c r="C27" s="72" t="n">
        <f aca="false">IF(B27=0,0,D27/B27/10000)</f>
        <v>3.17</v>
      </c>
      <c r="D27" s="59" t="n">
        <f aca="false">SUM(D2:D26)</f>
        <v>3391900</v>
      </c>
      <c r="F27" s="60" t="n">
        <f aca="false">SUM(F3:F26)</f>
        <v>107</v>
      </c>
      <c r="G27" s="58" t="n">
        <f aca="false">IF(F27=0,0,H27/F27/10000)</f>
        <v>3.185</v>
      </c>
      <c r="H27" s="61" t="n">
        <f aca="false">SUM(H2:H26)</f>
        <v>3407950</v>
      </c>
      <c r="K27" s="71"/>
      <c r="L27" s="71"/>
      <c r="M27" s="46"/>
      <c r="N27" s="46"/>
    </row>
    <row r="28" customFormat="false" ht="11.25" hidden="false" customHeight="false" outlineLevel="0" collapsed="false">
      <c r="K28" s="71"/>
      <c r="L28" s="71"/>
      <c r="M28" s="46"/>
      <c r="N28" s="46"/>
    </row>
    <row r="29" customFormat="false" ht="11.25" hidden="false" customHeight="false" outlineLevel="0" collapsed="false">
      <c r="F29" s="40" t="n">
        <f aca="false">-B27+F27</f>
        <v>0</v>
      </c>
      <c r="G29" s="37" t="n">
        <f aca="false">IF(F29&lt;0,C27,G27)</f>
        <v>3.185</v>
      </c>
      <c r="H29" s="41" t="n">
        <f aca="false">IF(F29&lt;0,(G29-C31)*ABS(F29)*10000,-1*(G29-C31)*ABS(F29)*10000)</f>
        <v>-0</v>
      </c>
      <c r="K29" s="71"/>
      <c r="L29" s="71"/>
      <c r="M29" s="46"/>
      <c r="N29" s="46"/>
    </row>
    <row r="30" customFormat="false" ht="11.25" hidden="false" customHeight="false" outlineLevel="0" collapsed="false">
      <c r="F30" s="73" t="n">
        <f aca="false">-B27+F27</f>
        <v>0</v>
      </c>
      <c r="G30" s="37" t="n">
        <f aca="false">IF(F30&lt;0,(C27+(J26/(ABS(F30)*10000))),IF(F30=0,0,(G27-(J26/(ABS(F30)*10000)))))</f>
        <v>0</v>
      </c>
      <c r="H30" s="41" t="n">
        <f aca="false">IF(F30&lt;0,(G30-C31)*ABS(F30)*10000,IF(F30=0,0,-1*(G30-C31)*ABS(F30)*10000))</f>
        <v>0</v>
      </c>
      <c r="K30" s="71"/>
      <c r="L30" s="71"/>
      <c r="M30" s="46"/>
      <c r="N30" s="46"/>
    </row>
    <row r="31" customFormat="false" ht="11.25" hidden="false" customHeight="false" outlineLevel="0" collapsed="false">
      <c r="C31" s="37" t="n">
        <f aca="false">POSTION!B9</f>
        <v>3.1735</v>
      </c>
      <c r="D31" s="39" t="s">
        <v>40</v>
      </c>
      <c r="J31" s="74"/>
      <c r="K31" s="75"/>
      <c r="L31" s="75"/>
      <c r="M31" s="46"/>
      <c r="N31" s="46"/>
    </row>
    <row r="32" customFormat="false" ht="11.25" hidden="false" customHeight="false" outlineLevel="0" collapsed="false">
      <c r="F32" s="76" t="n">
        <f aca="false">MIN($B$27,$F$27)*($C$27-$G$27)*10000</f>
        <v>-16050.0000000001</v>
      </c>
      <c r="G32" s="77"/>
      <c r="H32" s="77" t="s">
        <v>41</v>
      </c>
      <c r="M32" s="46"/>
      <c r="N32" s="46"/>
    </row>
    <row r="33" customFormat="false" ht="11.25" hidden="false" customHeight="false" outlineLevel="0" collapsed="false">
      <c r="F33" s="76"/>
      <c r="G33" s="77"/>
      <c r="H33" s="77"/>
    </row>
    <row r="34" customFormat="false" ht="11.25" hidden="false" customHeight="false" outlineLevel="0" collapsed="false">
      <c r="F34" s="76" t="n">
        <f aca="false">$H$29</f>
        <v>-0</v>
      </c>
      <c r="G34" s="77"/>
      <c r="H34" s="77" t="s">
        <v>42</v>
      </c>
    </row>
    <row r="35" customFormat="false" ht="11.25" hidden="false" customHeight="false" outlineLevel="0" collapsed="false">
      <c r="A35" s="49"/>
      <c r="F35" s="62" t="n">
        <f aca="false">$H$30</f>
        <v>0</v>
      </c>
      <c r="G35" s="51"/>
      <c r="H35" s="51" t="s">
        <v>43</v>
      </c>
    </row>
    <row r="36" customFormat="false" ht="11.25" hidden="false" customHeight="false" outlineLevel="0" collapsed="false">
      <c r="F36" s="42"/>
      <c r="H36" s="37"/>
    </row>
    <row r="37" customFormat="false" ht="11.25" hidden="false" customHeight="false" outlineLevel="0" collapsed="false">
      <c r="F37" s="78" t="n">
        <f aca="false">F32+F34</f>
        <v>-16050.0000000001</v>
      </c>
      <c r="G37" s="79"/>
      <c r="H37" s="79" t="s">
        <v>44</v>
      </c>
    </row>
    <row r="39" customFormat="false" ht="11.25" hidden="false" customHeight="false" outlineLevel="0" collapsed="false">
      <c r="B39" s="40"/>
    </row>
    <row r="42" customFormat="false" ht="11.25" hidden="false" customHeight="false" outlineLevel="0" collapsed="false">
      <c r="B42" s="4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42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C4" activeCellId="0" sqref="B4:C4"/>
    </sheetView>
  </sheetViews>
  <sheetFormatPr defaultColWidth="9.13671875" defaultRowHeight="11.25" customHeight="true" zeroHeight="false" outlineLevelRow="0" outlineLevelCol="0"/>
  <cols>
    <col collapsed="false" customWidth="false" hidden="false" outlineLevel="0" max="1" min="1" style="37" width="9.14"/>
    <col collapsed="false" customWidth="true" hidden="false" outlineLevel="0" max="2" min="2" style="38" width="6.99"/>
    <col collapsed="false" customWidth="true" hidden="false" outlineLevel="0" max="3" min="3" style="37" width="8.7"/>
    <col collapsed="false" customWidth="true" hidden="false" outlineLevel="0" max="4" min="4" style="39" width="14.41"/>
    <col collapsed="false" customWidth="true" hidden="false" outlineLevel="0" max="5" min="5" style="37" width="3.14"/>
    <col collapsed="false" customWidth="true" hidden="false" outlineLevel="0" max="6" min="6" style="40" width="9.85"/>
    <col collapsed="false" customWidth="false" hidden="false" outlineLevel="0" max="7" min="7" style="37" width="9.14"/>
    <col collapsed="false" customWidth="true" hidden="false" outlineLevel="0" max="8" min="8" style="41" width="12.56"/>
    <col collapsed="false" customWidth="true" hidden="false" outlineLevel="0" max="9" min="9" style="37" width="2.84"/>
    <col collapsed="false" customWidth="true" hidden="false" outlineLevel="0" max="10" min="10" style="42" width="14.85"/>
    <col collapsed="false" customWidth="true" hidden="false" outlineLevel="0" max="11" min="11" style="37" width="2.13"/>
    <col collapsed="false" customWidth="true" hidden="false" outlineLevel="0" max="12" min="12" style="37" width="21.7"/>
    <col collapsed="false" customWidth="false" hidden="false" outlineLevel="0" max="257" min="13" style="37" width="9.14"/>
  </cols>
  <sheetData>
    <row r="1" customFormat="false" ht="11.25" hidden="false" customHeight="false" outlineLevel="0" collapsed="false">
      <c r="B1" s="38" t="s">
        <v>31</v>
      </c>
      <c r="F1" s="40" t="s">
        <v>32</v>
      </c>
    </row>
    <row r="2" customFormat="false" ht="11.25" hidden="false" customHeight="false" outlineLevel="0" collapsed="false">
      <c r="A2" s="37" t="s">
        <v>33</v>
      </c>
      <c r="B2" s="43"/>
      <c r="C2" s="44"/>
      <c r="D2" s="45"/>
      <c r="E2" s="46"/>
      <c r="F2" s="43"/>
      <c r="G2" s="44"/>
      <c r="H2" s="47"/>
      <c r="J2" s="48" t="n">
        <f aca="false">IF(F2&lt;1,(C2-C31)*(B2*10000),(C31-G2)*(F2*10000))</f>
        <v>-0</v>
      </c>
      <c r="L2" s="49" t="s">
        <v>0</v>
      </c>
    </row>
    <row r="3" customFormat="false" ht="11.25" hidden="false" customHeight="false" outlineLevel="0" collapsed="false">
      <c r="A3" s="37" t="n">
        <f aca="false">POSTION!$E$24</f>
        <v>21</v>
      </c>
      <c r="B3" s="50"/>
      <c r="C3" s="51"/>
      <c r="D3" s="52" t="n">
        <f aca="false">B3*C3*10000</f>
        <v>0</v>
      </c>
      <c r="E3" s="51"/>
      <c r="F3" s="53"/>
      <c r="G3" s="51"/>
      <c r="H3" s="54" t="n">
        <f aca="false">F3*G3*10000</f>
        <v>0</v>
      </c>
      <c r="J3" s="55" t="n">
        <f aca="false">IF(F2&lt;1,(J10*10000)*(C2-C30),(J10*10000)*(C30-G2))</f>
        <v>0</v>
      </c>
      <c r="L3" s="56" t="s">
        <v>34</v>
      </c>
    </row>
    <row r="4" customFormat="false" ht="11.25" hidden="false" customHeight="false" outlineLevel="0" collapsed="false">
      <c r="B4" s="57"/>
      <c r="C4" s="58"/>
      <c r="D4" s="59" t="n">
        <f aca="false">B4*C4*10000</f>
        <v>0</v>
      </c>
      <c r="E4" s="46"/>
      <c r="F4" s="60"/>
      <c r="G4" s="58"/>
      <c r="H4" s="61" t="n">
        <f aca="false">F4*G4*10000</f>
        <v>0</v>
      </c>
      <c r="J4" s="62" t="n">
        <f aca="false">F37</f>
        <v>0</v>
      </c>
      <c r="K4" s="63"/>
      <c r="L4" s="46" t="s">
        <v>35</v>
      </c>
    </row>
    <row r="5" customFormat="false" ht="11.25" hidden="false" customHeight="false" outlineLevel="0" collapsed="false">
      <c r="B5" s="57"/>
      <c r="C5" s="58"/>
      <c r="D5" s="59" t="n">
        <f aca="false">B5*C5*10000</f>
        <v>0</v>
      </c>
      <c r="E5" s="46"/>
      <c r="F5" s="60"/>
      <c r="G5" s="58"/>
      <c r="H5" s="61" t="n">
        <f aca="false">F5*G5*10000</f>
        <v>0</v>
      </c>
      <c r="J5" s="63"/>
      <c r="K5" s="64"/>
      <c r="L5" s="46"/>
    </row>
    <row r="6" customFormat="false" ht="12" hidden="false" customHeight="false" outlineLevel="0" collapsed="false">
      <c r="B6" s="57"/>
      <c r="C6" s="58"/>
      <c r="D6" s="59" t="n">
        <f aca="false">B6*C6*10000</f>
        <v>0</v>
      </c>
      <c r="E6" s="46"/>
      <c r="F6" s="60"/>
      <c r="G6" s="58"/>
      <c r="H6" s="61" t="n">
        <f aca="false">F6*G6*10000</f>
        <v>0</v>
      </c>
      <c r="J6" s="65" t="n">
        <f aca="false">J2+J4</f>
        <v>0</v>
      </c>
      <c r="K6" s="64"/>
      <c r="L6" s="46" t="s">
        <v>36</v>
      </c>
    </row>
    <row r="7" customFormat="false" ht="12" hidden="false" customHeight="false" outlineLevel="0" collapsed="false">
      <c r="B7" s="57"/>
      <c r="C7" s="58"/>
      <c r="D7" s="59" t="n">
        <f aca="false">B7*C7*10000</f>
        <v>0</v>
      </c>
      <c r="E7" s="46"/>
      <c r="F7" s="60"/>
      <c r="G7" s="58"/>
      <c r="H7" s="61" t="n">
        <f aca="false">F7*G7*10000</f>
        <v>0</v>
      </c>
      <c r="J7" s="63"/>
    </row>
    <row r="8" customFormat="false" ht="11.25" hidden="false" customHeight="false" outlineLevel="0" collapsed="false">
      <c r="B8" s="60"/>
      <c r="C8" s="58"/>
      <c r="D8" s="59" t="n">
        <f aca="false">B8*C8*10000</f>
        <v>0</v>
      </c>
      <c r="E8" s="46"/>
      <c r="F8" s="60"/>
      <c r="G8" s="58"/>
      <c r="H8" s="61" t="n">
        <f aca="false">F8*G8*10000</f>
        <v>0</v>
      </c>
      <c r="J8" s="63"/>
      <c r="L8" s="46"/>
    </row>
    <row r="9" customFormat="false" ht="11.25" hidden="false" customHeight="false" outlineLevel="0" collapsed="false">
      <c r="B9" s="60"/>
      <c r="C9" s="58"/>
      <c r="D9" s="59" t="n">
        <f aca="false">B9*C9*10000</f>
        <v>0</v>
      </c>
      <c r="E9" s="46"/>
      <c r="F9" s="60"/>
      <c r="G9" s="58"/>
      <c r="H9" s="61" t="n">
        <f aca="false">F9*G9*10000</f>
        <v>0</v>
      </c>
      <c r="J9" s="66" t="n">
        <f aca="false">F30-B2+F2</f>
        <v>0</v>
      </c>
      <c r="L9" s="37" t="s">
        <v>1</v>
      </c>
    </row>
    <row r="10" customFormat="false" ht="11.25" hidden="false" customHeight="false" outlineLevel="0" collapsed="false">
      <c r="B10" s="60"/>
      <c r="C10" s="58"/>
      <c r="D10" s="59" t="n">
        <f aca="false">B10*C10*10000</f>
        <v>0</v>
      </c>
      <c r="E10" s="46"/>
      <c r="F10" s="60"/>
      <c r="G10" s="58"/>
      <c r="H10" s="61" t="n">
        <f aca="false">F10*G10*10000</f>
        <v>0</v>
      </c>
      <c r="J10" s="67" t="n">
        <f aca="false">IF($F$2&lt;1,(-1*$J$9/$A$3),$J$9/$A$3)</f>
        <v>-0</v>
      </c>
      <c r="L10" s="37" t="s">
        <v>2</v>
      </c>
    </row>
    <row r="11" customFormat="false" ht="11.25" hidden="false" customHeight="false" outlineLevel="0" collapsed="false">
      <c r="B11" s="60"/>
      <c r="C11" s="58"/>
      <c r="D11" s="59" t="n">
        <f aca="false">B11*C11*10000</f>
        <v>0</v>
      </c>
      <c r="E11" s="46"/>
      <c r="F11" s="60"/>
      <c r="G11" s="58"/>
      <c r="H11" s="61" t="n">
        <f aca="false">F11*G11*10000</f>
        <v>0</v>
      </c>
      <c r="J11" s="68" t="n">
        <f aca="false">J9</f>
        <v>0</v>
      </c>
      <c r="L11" s="37" t="s">
        <v>37</v>
      </c>
    </row>
    <row r="12" customFormat="false" ht="11.25" hidden="false" customHeight="false" outlineLevel="0" collapsed="false">
      <c r="B12" s="60"/>
      <c r="C12" s="58"/>
      <c r="D12" s="59" t="n">
        <f aca="false">B12*C12*10000</f>
        <v>0</v>
      </c>
      <c r="E12" s="46"/>
      <c r="F12" s="60"/>
      <c r="G12" s="58"/>
      <c r="H12" s="61" t="n">
        <f aca="false">F12*G12*10000</f>
        <v>0</v>
      </c>
      <c r="J12" s="69"/>
    </row>
    <row r="13" customFormat="false" ht="11.25" hidden="false" customHeight="false" outlineLevel="0" collapsed="false">
      <c r="B13" s="60"/>
      <c r="C13" s="58"/>
      <c r="D13" s="59" t="n">
        <f aca="false">B13*C13*10000</f>
        <v>0</v>
      </c>
      <c r="E13" s="46"/>
      <c r="F13" s="60"/>
      <c r="G13" s="58"/>
      <c r="H13" s="61" t="n">
        <f aca="false">F13*G13*10000</f>
        <v>0</v>
      </c>
      <c r="J13" s="69" t="n">
        <f aca="false">J10*3</f>
        <v>-0</v>
      </c>
      <c r="L13" s="37" t="s">
        <v>38</v>
      </c>
    </row>
    <row r="14" customFormat="false" ht="11.25" hidden="false" customHeight="false" outlineLevel="0" collapsed="false">
      <c r="B14" s="60"/>
      <c r="C14" s="58"/>
      <c r="D14" s="59" t="n">
        <f aca="false">B14*C14*10000</f>
        <v>0</v>
      </c>
      <c r="E14" s="46"/>
      <c r="F14" s="60"/>
      <c r="G14" s="58"/>
      <c r="H14" s="61" t="n">
        <f aca="false">F14*G14*10000</f>
        <v>0</v>
      </c>
      <c r="J14" s="69"/>
    </row>
    <row r="15" customFormat="false" ht="11.25" hidden="false" customHeight="false" outlineLevel="0" collapsed="false">
      <c r="B15" s="60"/>
      <c r="C15" s="58"/>
      <c r="D15" s="59" t="n">
        <f aca="false">B15*C15*10000</f>
        <v>0</v>
      </c>
      <c r="E15" s="46"/>
      <c r="F15" s="60"/>
      <c r="G15" s="58"/>
      <c r="H15" s="61" t="n">
        <f aca="false">F15*G15*10000</f>
        <v>0</v>
      </c>
      <c r="J15" s="69"/>
    </row>
    <row r="16" customFormat="false" ht="11.25" hidden="false" customHeight="false" outlineLevel="0" collapsed="false">
      <c r="B16" s="60"/>
      <c r="C16" s="58"/>
      <c r="D16" s="59" t="n">
        <f aca="false">B16*C16*10000</f>
        <v>0</v>
      </c>
      <c r="E16" s="46"/>
      <c r="F16" s="60"/>
      <c r="G16" s="58"/>
      <c r="H16" s="61" t="n">
        <f aca="false">F16*G16*10000</f>
        <v>0</v>
      </c>
      <c r="J16" s="69"/>
      <c r="L16" s="37" t="n">
        <f aca="false">2000*31</f>
        <v>62000</v>
      </c>
    </row>
    <row r="17" customFormat="false" ht="11.25" hidden="false" customHeight="false" outlineLevel="0" collapsed="false">
      <c r="B17" s="60"/>
      <c r="C17" s="58"/>
      <c r="D17" s="59" t="n">
        <f aca="false">B17*C17*10000</f>
        <v>0</v>
      </c>
      <c r="E17" s="46"/>
      <c r="F17" s="60"/>
      <c r="G17" s="58"/>
      <c r="H17" s="61" t="n">
        <f aca="false">F17*G17*10000</f>
        <v>0</v>
      </c>
      <c r="J17" s="69"/>
    </row>
    <row r="18" customFormat="false" ht="11.25" hidden="false" customHeight="false" outlineLevel="0" collapsed="false">
      <c r="B18" s="60"/>
      <c r="C18" s="58"/>
      <c r="D18" s="59" t="n">
        <f aca="false">B18*C18*10000</f>
        <v>0</v>
      </c>
      <c r="E18" s="46"/>
      <c r="F18" s="60"/>
      <c r="G18" s="58"/>
      <c r="H18" s="61" t="n">
        <f aca="false">F18*G18*10000</f>
        <v>0</v>
      </c>
      <c r="J18" s="69"/>
    </row>
    <row r="19" customFormat="false" ht="11.25" hidden="false" customHeight="false" outlineLevel="0" collapsed="false">
      <c r="B19" s="60"/>
      <c r="C19" s="58"/>
      <c r="D19" s="59" t="n">
        <f aca="false">B19*C19*10000</f>
        <v>0</v>
      </c>
      <c r="E19" s="46"/>
      <c r="F19" s="60"/>
      <c r="G19" s="58"/>
      <c r="H19" s="61" t="n">
        <f aca="false">F19*G19*10000</f>
        <v>0</v>
      </c>
      <c r="J19" s="69"/>
    </row>
    <row r="20" customFormat="false" ht="11.25" hidden="false" customHeight="false" outlineLevel="0" collapsed="false">
      <c r="B20" s="60"/>
      <c r="C20" s="58"/>
      <c r="D20" s="59" t="n">
        <f aca="false">B20*C20*10000</f>
        <v>0</v>
      </c>
      <c r="E20" s="46"/>
      <c r="F20" s="60"/>
      <c r="G20" s="58"/>
      <c r="H20" s="61" t="n">
        <f aca="false">F20*G20*10000</f>
        <v>0</v>
      </c>
      <c r="J20" s="69"/>
    </row>
    <row r="21" customFormat="false" ht="11.25" hidden="false" customHeight="false" outlineLevel="0" collapsed="false">
      <c r="B21" s="60"/>
      <c r="C21" s="58"/>
      <c r="D21" s="59" t="n">
        <f aca="false">B21*C21*10000</f>
        <v>0</v>
      </c>
      <c r="E21" s="46"/>
      <c r="F21" s="60"/>
      <c r="G21" s="58"/>
      <c r="H21" s="61" t="n">
        <f aca="false">F21*G21*10000</f>
        <v>0</v>
      </c>
      <c r="J21" s="69"/>
    </row>
    <row r="22" customFormat="false" ht="11.25" hidden="false" customHeight="false" outlineLevel="0" collapsed="false">
      <c r="B22" s="60"/>
      <c r="C22" s="58"/>
      <c r="D22" s="59" t="n">
        <f aca="false">B22*C22*10000</f>
        <v>0</v>
      </c>
      <c r="E22" s="46"/>
      <c r="F22" s="60"/>
      <c r="G22" s="58"/>
      <c r="H22" s="61" t="n">
        <f aca="false">F22*G22*10000</f>
        <v>0</v>
      </c>
      <c r="J22" s="69"/>
    </row>
    <row r="23" customFormat="false" ht="11.25" hidden="false" customHeight="false" outlineLevel="0" collapsed="false">
      <c r="B23" s="60"/>
      <c r="C23" s="58"/>
      <c r="D23" s="59" t="n">
        <f aca="false">B23*C23*10000</f>
        <v>0</v>
      </c>
      <c r="E23" s="46"/>
      <c r="F23" s="60"/>
      <c r="G23" s="58"/>
      <c r="H23" s="61" t="n">
        <f aca="false">F23*G23*10000</f>
        <v>0</v>
      </c>
      <c r="J23" s="69"/>
    </row>
    <row r="24" customFormat="false" ht="11.25" hidden="false" customHeight="false" outlineLevel="0" collapsed="false">
      <c r="B24" s="60"/>
      <c r="C24" s="58"/>
      <c r="D24" s="59" t="n">
        <f aca="false">B24*C24*10000</f>
        <v>0</v>
      </c>
      <c r="E24" s="46"/>
      <c r="F24" s="60"/>
      <c r="G24" s="58"/>
      <c r="H24" s="61" t="n">
        <f aca="false">F24*G24*10000</f>
        <v>0</v>
      </c>
      <c r="J24" s="69"/>
    </row>
    <row r="25" customFormat="false" ht="11.25" hidden="false" customHeight="false" outlineLevel="0" collapsed="false">
      <c r="B25" s="60"/>
      <c r="C25" s="58"/>
      <c r="D25" s="59" t="n">
        <f aca="false">B25*C25*10000</f>
        <v>0</v>
      </c>
      <c r="E25" s="46"/>
      <c r="F25" s="60"/>
      <c r="G25" s="58"/>
      <c r="H25" s="61" t="n">
        <f aca="false">F25*G25*10000</f>
        <v>0</v>
      </c>
      <c r="J25" s="69"/>
    </row>
    <row r="26" customFormat="false" ht="11.25" hidden="false" customHeight="false" outlineLevel="0" collapsed="false">
      <c r="F26" s="38"/>
      <c r="H26" s="70"/>
      <c r="J26" s="69"/>
      <c r="K26" s="71"/>
      <c r="L26" s="71"/>
    </row>
    <row r="27" customFormat="false" ht="11.25" hidden="false" customHeight="false" outlineLevel="0" collapsed="false">
      <c r="B27" s="60" t="n">
        <f aca="false">SUM(B3:B26)</f>
        <v>0</v>
      </c>
      <c r="C27" s="72" t="n">
        <f aca="false">IF(B27=0,0,D27/B27/10000)</f>
        <v>0</v>
      </c>
      <c r="D27" s="59" t="n">
        <f aca="false">SUM(D2:D26)</f>
        <v>0</v>
      </c>
      <c r="F27" s="60" t="n">
        <f aca="false">SUM(F3:F26)</f>
        <v>0</v>
      </c>
      <c r="G27" s="58" t="n">
        <f aca="false">IF(F27=0,0,H27/F27/10000)</f>
        <v>0</v>
      </c>
      <c r="H27" s="61" t="n">
        <f aca="false">SUM(H2:H26)</f>
        <v>0</v>
      </c>
      <c r="K27" s="71"/>
      <c r="L27" s="71"/>
      <c r="M27" s="46"/>
      <c r="N27" s="46"/>
    </row>
    <row r="28" customFormat="false" ht="11.25" hidden="false" customHeight="false" outlineLevel="0" collapsed="false">
      <c r="K28" s="71"/>
      <c r="L28" s="71"/>
      <c r="M28" s="46"/>
      <c r="N28" s="46"/>
    </row>
    <row r="29" customFormat="false" ht="11.25" hidden="false" customHeight="false" outlineLevel="0" collapsed="false">
      <c r="F29" s="40" t="n">
        <f aca="false">-B27+F27</f>
        <v>0</v>
      </c>
      <c r="G29" s="37" t="n">
        <f aca="false">IF(F29&lt;0,C27,G27)</f>
        <v>0</v>
      </c>
      <c r="H29" s="41" t="n">
        <f aca="false">IF(F29&lt;0,(G29-C31)*ABS(F29)*10000,-1*(G29-C31)*ABS(F29)*10000)</f>
        <v>0</v>
      </c>
      <c r="K29" s="71"/>
      <c r="L29" s="71"/>
      <c r="M29" s="46"/>
      <c r="N29" s="46"/>
    </row>
    <row r="30" customFormat="false" ht="11.25" hidden="false" customHeight="false" outlineLevel="0" collapsed="false">
      <c r="C30" s="37" t="n">
        <f aca="false">POSTION!I13</f>
        <v>2.62</v>
      </c>
      <c r="D30" s="39" t="s">
        <v>39</v>
      </c>
      <c r="F30" s="73" t="n">
        <f aca="false">-B27+F27</f>
        <v>0</v>
      </c>
      <c r="G30" s="37" t="n">
        <f aca="false">IF(F30&lt;0,(C27+(J26/(ABS(F30)*10000))),IF(F30=0,0,(G27-(J26/(ABS(F30)*10000)))))</f>
        <v>0</v>
      </c>
      <c r="H30" s="41" t="n">
        <f aca="false">IF(F30&lt;0,(G30-C31)*ABS(F30)*10000,IF(F30=0,0,-1*(G30-C31)*ABS(F30)*10000))</f>
        <v>0</v>
      </c>
      <c r="K30" s="71"/>
      <c r="L30" s="71"/>
      <c r="M30" s="46"/>
      <c r="N30" s="46"/>
    </row>
    <row r="31" customFormat="false" ht="11.25" hidden="false" customHeight="false" outlineLevel="0" collapsed="false">
      <c r="C31" s="37" t="n">
        <f aca="false">POSTION!B4+0.033</f>
        <v>2.958</v>
      </c>
      <c r="D31" s="39" t="s">
        <v>40</v>
      </c>
      <c r="J31" s="74"/>
      <c r="K31" s="75"/>
      <c r="L31" s="75"/>
      <c r="M31" s="46"/>
      <c r="N31" s="46"/>
    </row>
    <row r="32" customFormat="false" ht="11.25" hidden="false" customHeight="false" outlineLevel="0" collapsed="false">
      <c r="F32" s="76" t="n">
        <f aca="false">MIN($B$27,$F$27)*($C$27-$G$27)*10000</f>
        <v>0</v>
      </c>
      <c r="G32" s="77"/>
      <c r="H32" s="77" t="s">
        <v>41</v>
      </c>
      <c r="M32" s="46"/>
      <c r="N32" s="46"/>
    </row>
    <row r="33" customFormat="false" ht="11.25" hidden="false" customHeight="false" outlineLevel="0" collapsed="false">
      <c r="F33" s="76"/>
      <c r="G33" s="77"/>
      <c r="H33" s="77"/>
    </row>
    <row r="34" customFormat="false" ht="11.25" hidden="false" customHeight="false" outlineLevel="0" collapsed="false">
      <c r="F34" s="76" t="n">
        <f aca="false">$H$29</f>
        <v>0</v>
      </c>
      <c r="G34" s="77"/>
      <c r="H34" s="77" t="s">
        <v>42</v>
      </c>
    </row>
    <row r="35" customFormat="false" ht="11.25" hidden="false" customHeight="false" outlineLevel="0" collapsed="false">
      <c r="A35" s="49"/>
      <c r="F35" s="62" t="n">
        <f aca="false">$H$30</f>
        <v>0</v>
      </c>
      <c r="G35" s="51"/>
      <c r="H35" s="51" t="s">
        <v>43</v>
      </c>
    </row>
    <row r="36" customFormat="false" ht="11.25" hidden="false" customHeight="false" outlineLevel="0" collapsed="false">
      <c r="F36" s="42"/>
      <c r="H36" s="37"/>
    </row>
    <row r="37" customFormat="false" ht="11.25" hidden="false" customHeight="false" outlineLevel="0" collapsed="false">
      <c r="F37" s="78" t="n">
        <f aca="false">F32+F34</f>
        <v>0</v>
      </c>
      <c r="G37" s="79"/>
      <c r="H37" s="79" t="s">
        <v>44</v>
      </c>
    </row>
    <row r="39" customFormat="false" ht="11.25" hidden="false" customHeight="false" outlineLevel="0" collapsed="false">
      <c r="B39" s="40"/>
    </row>
    <row r="42" customFormat="false" ht="11.25" hidden="false" customHeight="false" outlineLevel="0" collapsed="false">
      <c r="B42" s="4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42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M24" activeCellId="0" sqref="M24"/>
    </sheetView>
  </sheetViews>
  <sheetFormatPr defaultColWidth="9.13671875" defaultRowHeight="11.25" customHeight="true" zeroHeight="false" outlineLevelRow="0" outlineLevelCol="0"/>
  <cols>
    <col collapsed="false" customWidth="false" hidden="false" outlineLevel="0" max="1" min="1" style="37" width="9.14"/>
    <col collapsed="false" customWidth="true" hidden="false" outlineLevel="0" max="2" min="2" style="38" width="6.99"/>
    <col collapsed="false" customWidth="true" hidden="false" outlineLevel="0" max="3" min="3" style="37" width="8.7"/>
    <col collapsed="false" customWidth="true" hidden="false" outlineLevel="0" max="4" min="4" style="39" width="14.41"/>
    <col collapsed="false" customWidth="true" hidden="false" outlineLevel="0" max="5" min="5" style="37" width="3.14"/>
    <col collapsed="false" customWidth="true" hidden="false" outlineLevel="0" max="6" min="6" style="40" width="9.85"/>
    <col collapsed="false" customWidth="false" hidden="false" outlineLevel="0" max="7" min="7" style="37" width="9.14"/>
    <col collapsed="false" customWidth="true" hidden="false" outlineLevel="0" max="8" min="8" style="41" width="12.56"/>
    <col collapsed="false" customWidth="true" hidden="false" outlineLevel="0" max="9" min="9" style="37" width="2.84"/>
    <col collapsed="false" customWidth="true" hidden="false" outlineLevel="0" max="10" min="10" style="42" width="14.85"/>
    <col collapsed="false" customWidth="true" hidden="false" outlineLevel="0" max="11" min="11" style="37" width="2.13"/>
    <col collapsed="false" customWidth="true" hidden="false" outlineLevel="0" max="12" min="12" style="37" width="21.7"/>
    <col collapsed="false" customWidth="false" hidden="false" outlineLevel="0" max="257" min="13" style="37" width="9.14"/>
  </cols>
  <sheetData>
    <row r="1" customFormat="false" ht="11.25" hidden="false" customHeight="false" outlineLevel="0" collapsed="false">
      <c r="B1" s="38" t="s">
        <v>31</v>
      </c>
      <c r="F1" s="40" t="s">
        <v>32</v>
      </c>
    </row>
    <row r="2" customFormat="false" ht="11.25" hidden="false" customHeight="false" outlineLevel="0" collapsed="false">
      <c r="A2" s="37" t="s">
        <v>33</v>
      </c>
      <c r="B2" s="43"/>
      <c r="C2" s="44"/>
      <c r="D2" s="45"/>
      <c r="E2" s="46"/>
      <c r="F2" s="43"/>
      <c r="G2" s="44"/>
      <c r="H2" s="47"/>
      <c r="J2" s="48" t="n">
        <f aca="false">IF(F2&lt;1,(C2-C31)*(B2*10000),(C31-G2)*(F2*10000))</f>
        <v>-0</v>
      </c>
      <c r="L2" s="49" t="s">
        <v>0</v>
      </c>
    </row>
    <row r="3" customFormat="false" ht="11.25" hidden="false" customHeight="false" outlineLevel="0" collapsed="false">
      <c r="A3" s="37" t="n">
        <f aca="false">POSTION!$E$24</f>
        <v>21</v>
      </c>
      <c r="B3" s="50"/>
      <c r="C3" s="51"/>
      <c r="D3" s="52" t="n">
        <f aca="false">B3*C3*10000</f>
        <v>0</v>
      </c>
      <c r="E3" s="51"/>
      <c r="F3" s="53"/>
      <c r="G3" s="51"/>
      <c r="H3" s="54" t="n">
        <f aca="false">F3*G3*10000</f>
        <v>0</v>
      </c>
      <c r="J3" s="55" t="n">
        <f aca="false">IF(F2&lt;1,(J10*10000)*(C2-C30),(J10*10000)*(C30-G2))</f>
        <v>0</v>
      </c>
      <c r="L3" s="56" t="s">
        <v>34</v>
      </c>
    </row>
    <row r="4" customFormat="false" ht="11.25" hidden="false" customHeight="false" outlineLevel="0" collapsed="false">
      <c r="B4" s="57"/>
      <c r="C4" s="58"/>
      <c r="D4" s="59" t="n">
        <f aca="false">B4*C4*10000</f>
        <v>0</v>
      </c>
      <c r="E4" s="46"/>
      <c r="F4" s="60"/>
      <c r="G4" s="58"/>
      <c r="H4" s="61" t="n">
        <f aca="false">F4*G4*10000</f>
        <v>0</v>
      </c>
      <c r="J4" s="62" t="n">
        <f aca="false">F37</f>
        <v>0</v>
      </c>
      <c r="K4" s="63"/>
      <c r="L4" s="46" t="s">
        <v>35</v>
      </c>
    </row>
    <row r="5" customFormat="false" ht="11.25" hidden="false" customHeight="false" outlineLevel="0" collapsed="false">
      <c r="B5" s="57"/>
      <c r="C5" s="58"/>
      <c r="D5" s="59" t="n">
        <f aca="false">B5*C5*10000</f>
        <v>0</v>
      </c>
      <c r="E5" s="46"/>
      <c r="F5" s="60"/>
      <c r="G5" s="58"/>
      <c r="H5" s="61" t="n">
        <f aca="false">F5*G5*10000</f>
        <v>0</v>
      </c>
      <c r="J5" s="63"/>
      <c r="K5" s="64"/>
      <c r="L5" s="46"/>
    </row>
    <row r="6" customFormat="false" ht="12" hidden="false" customHeight="false" outlineLevel="0" collapsed="false">
      <c r="B6" s="57"/>
      <c r="C6" s="58"/>
      <c r="D6" s="59" t="n">
        <f aca="false">B6*C6*10000</f>
        <v>0</v>
      </c>
      <c r="E6" s="46"/>
      <c r="F6" s="60"/>
      <c r="G6" s="58"/>
      <c r="H6" s="61" t="n">
        <f aca="false">F6*G6*10000</f>
        <v>0</v>
      </c>
      <c r="J6" s="65" t="n">
        <f aca="false">J2+J4</f>
        <v>0</v>
      </c>
      <c r="K6" s="64"/>
      <c r="L6" s="46" t="s">
        <v>36</v>
      </c>
    </row>
    <row r="7" customFormat="false" ht="12" hidden="false" customHeight="false" outlineLevel="0" collapsed="false">
      <c r="B7" s="57"/>
      <c r="C7" s="58"/>
      <c r="D7" s="59" t="n">
        <f aca="false">B7*C7*10000</f>
        <v>0</v>
      </c>
      <c r="E7" s="46"/>
      <c r="F7" s="60"/>
      <c r="G7" s="58"/>
      <c r="H7" s="61" t="n">
        <f aca="false">F7*G7*10000</f>
        <v>0</v>
      </c>
      <c r="J7" s="63"/>
    </row>
    <row r="8" customFormat="false" ht="11.25" hidden="false" customHeight="false" outlineLevel="0" collapsed="false">
      <c r="B8" s="60"/>
      <c r="C8" s="58"/>
      <c r="D8" s="59" t="n">
        <f aca="false">B8*C8*10000</f>
        <v>0</v>
      </c>
      <c r="E8" s="46"/>
      <c r="F8" s="60"/>
      <c r="G8" s="58"/>
      <c r="H8" s="61" t="n">
        <f aca="false">F8*G8*10000</f>
        <v>0</v>
      </c>
      <c r="J8" s="63"/>
      <c r="L8" s="46"/>
    </row>
    <row r="9" customFormat="false" ht="11.25" hidden="false" customHeight="false" outlineLevel="0" collapsed="false">
      <c r="B9" s="60"/>
      <c r="C9" s="58"/>
      <c r="D9" s="59" t="n">
        <f aca="false">B9*C9*10000</f>
        <v>0</v>
      </c>
      <c r="E9" s="46"/>
      <c r="F9" s="60"/>
      <c r="G9" s="58"/>
      <c r="H9" s="61" t="n">
        <f aca="false">F9*G9*10000</f>
        <v>0</v>
      </c>
      <c r="J9" s="66" t="n">
        <f aca="false">F30-B2+F2</f>
        <v>0</v>
      </c>
      <c r="L9" s="37" t="s">
        <v>1</v>
      </c>
    </row>
    <row r="10" customFormat="false" ht="11.25" hidden="false" customHeight="false" outlineLevel="0" collapsed="false">
      <c r="B10" s="60"/>
      <c r="C10" s="58"/>
      <c r="D10" s="59" t="n">
        <f aca="false">B10*C10*10000</f>
        <v>0</v>
      </c>
      <c r="E10" s="46"/>
      <c r="F10" s="60"/>
      <c r="G10" s="58"/>
      <c r="H10" s="61" t="n">
        <f aca="false">F10*G10*10000</f>
        <v>0</v>
      </c>
      <c r="J10" s="67" t="n">
        <f aca="false">IF($F$2&lt;1,(-1*$J$9/$A$3),$J$9/$A$3)</f>
        <v>-0</v>
      </c>
      <c r="L10" s="37" t="s">
        <v>2</v>
      </c>
    </row>
    <row r="11" customFormat="false" ht="11.25" hidden="false" customHeight="false" outlineLevel="0" collapsed="false">
      <c r="B11" s="60"/>
      <c r="C11" s="58"/>
      <c r="D11" s="59" t="n">
        <f aca="false">B11*C11*10000</f>
        <v>0</v>
      </c>
      <c r="E11" s="46"/>
      <c r="F11" s="60"/>
      <c r="G11" s="58"/>
      <c r="H11" s="61" t="n">
        <f aca="false">F11*G11*10000</f>
        <v>0</v>
      </c>
      <c r="J11" s="68" t="n">
        <f aca="false">J9</f>
        <v>0</v>
      </c>
      <c r="L11" s="37" t="s">
        <v>37</v>
      </c>
    </row>
    <row r="12" customFormat="false" ht="11.25" hidden="false" customHeight="false" outlineLevel="0" collapsed="false">
      <c r="B12" s="60"/>
      <c r="C12" s="58"/>
      <c r="D12" s="59" t="n">
        <f aca="false">B12*C12*10000</f>
        <v>0</v>
      </c>
      <c r="E12" s="46"/>
      <c r="F12" s="60"/>
      <c r="G12" s="58"/>
      <c r="H12" s="61" t="n">
        <f aca="false">F12*G12*10000</f>
        <v>0</v>
      </c>
      <c r="J12" s="69"/>
    </row>
    <row r="13" customFormat="false" ht="11.25" hidden="false" customHeight="false" outlineLevel="0" collapsed="false">
      <c r="B13" s="60"/>
      <c r="C13" s="58"/>
      <c r="D13" s="59" t="n">
        <f aca="false">B13*C13*10000</f>
        <v>0</v>
      </c>
      <c r="E13" s="46"/>
      <c r="F13" s="60"/>
      <c r="G13" s="58"/>
      <c r="H13" s="61" t="n">
        <f aca="false">F13*G13*10000</f>
        <v>0</v>
      </c>
      <c r="J13" s="69" t="n">
        <f aca="false">J10*3</f>
        <v>-0</v>
      </c>
      <c r="L13" s="37" t="s">
        <v>38</v>
      </c>
    </row>
    <row r="14" customFormat="false" ht="11.25" hidden="false" customHeight="false" outlineLevel="0" collapsed="false">
      <c r="B14" s="60"/>
      <c r="C14" s="58"/>
      <c r="D14" s="59" t="n">
        <f aca="false">B14*C14*10000</f>
        <v>0</v>
      </c>
      <c r="E14" s="46"/>
      <c r="F14" s="60"/>
      <c r="G14" s="58"/>
      <c r="H14" s="61" t="n">
        <f aca="false">F14*G14*10000</f>
        <v>0</v>
      </c>
      <c r="J14" s="69"/>
    </row>
    <row r="15" customFormat="false" ht="11.25" hidden="false" customHeight="false" outlineLevel="0" collapsed="false">
      <c r="B15" s="60"/>
      <c r="C15" s="58"/>
      <c r="D15" s="59" t="n">
        <f aca="false">B15*C15*10000</f>
        <v>0</v>
      </c>
      <c r="E15" s="46"/>
      <c r="F15" s="60"/>
      <c r="G15" s="58"/>
      <c r="H15" s="61" t="n">
        <f aca="false">F15*G15*10000</f>
        <v>0</v>
      </c>
      <c r="J15" s="69"/>
    </row>
    <row r="16" customFormat="false" ht="11.25" hidden="false" customHeight="false" outlineLevel="0" collapsed="false">
      <c r="B16" s="60"/>
      <c r="C16" s="58"/>
      <c r="D16" s="59" t="n">
        <f aca="false">B16*C16*10000</f>
        <v>0</v>
      </c>
      <c r="E16" s="46"/>
      <c r="F16" s="60"/>
      <c r="G16" s="58"/>
      <c r="H16" s="61" t="n">
        <f aca="false">F16*G16*10000</f>
        <v>0</v>
      </c>
      <c r="J16" s="69"/>
    </row>
    <row r="17" customFormat="false" ht="11.25" hidden="false" customHeight="false" outlineLevel="0" collapsed="false">
      <c r="B17" s="60"/>
      <c r="C17" s="58"/>
      <c r="D17" s="59" t="n">
        <f aca="false">B17*C17*10000</f>
        <v>0</v>
      </c>
      <c r="E17" s="46"/>
      <c r="F17" s="60"/>
      <c r="G17" s="58"/>
      <c r="H17" s="61" t="n">
        <f aca="false">F17*G17*10000</f>
        <v>0</v>
      </c>
      <c r="J17" s="69"/>
    </row>
    <row r="18" customFormat="false" ht="11.25" hidden="false" customHeight="false" outlineLevel="0" collapsed="false">
      <c r="B18" s="60"/>
      <c r="C18" s="58"/>
      <c r="D18" s="59" t="n">
        <f aca="false">B18*C18*10000</f>
        <v>0</v>
      </c>
      <c r="E18" s="46"/>
      <c r="F18" s="60"/>
      <c r="G18" s="58"/>
      <c r="H18" s="61" t="n">
        <f aca="false">F18*G18*10000</f>
        <v>0</v>
      </c>
      <c r="J18" s="69"/>
    </row>
    <row r="19" customFormat="false" ht="11.25" hidden="false" customHeight="false" outlineLevel="0" collapsed="false">
      <c r="B19" s="60"/>
      <c r="C19" s="58"/>
      <c r="D19" s="59" t="n">
        <f aca="false">B19*C19*10000</f>
        <v>0</v>
      </c>
      <c r="E19" s="46"/>
      <c r="F19" s="60"/>
      <c r="G19" s="58"/>
      <c r="H19" s="61" t="n">
        <f aca="false">F19*G19*10000</f>
        <v>0</v>
      </c>
      <c r="J19" s="69"/>
    </row>
    <row r="20" customFormat="false" ht="11.25" hidden="false" customHeight="false" outlineLevel="0" collapsed="false">
      <c r="B20" s="60"/>
      <c r="C20" s="58"/>
      <c r="D20" s="59" t="n">
        <f aca="false">B20*C20*10000</f>
        <v>0</v>
      </c>
      <c r="E20" s="46"/>
      <c r="F20" s="60"/>
      <c r="G20" s="58"/>
      <c r="H20" s="61" t="n">
        <f aca="false">F20*G20*10000</f>
        <v>0</v>
      </c>
      <c r="J20" s="69"/>
      <c r="L20" s="37" t="n">
        <v>15.5</v>
      </c>
      <c r="M20" s="37" t="n">
        <v>3.445</v>
      </c>
      <c r="N20" s="37" t="n">
        <f aca="false">L20*M20</f>
        <v>53.3975</v>
      </c>
    </row>
    <row r="21" customFormat="false" ht="11.25" hidden="false" customHeight="false" outlineLevel="0" collapsed="false">
      <c r="B21" s="60"/>
      <c r="C21" s="58"/>
      <c r="D21" s="59" t="n">
        <f aca="false">B21*C21*10000</f>
        <v>0</v>
      </c>
      <c r="E21" s="46"/>
      <c r="F21" s="60"/>
      <c r="G21" s="58"/>
      <c r="H21" s="61" t="n">
        <f aca="false">F21*G21*10000</f>
        <v>0</v>
      </c>
      <c r="J21" s="69"/>
      <c r="L21" s="37" t="n">
        <v>22.5</v>
      </c>
      <c r="M21" s="37" t="n">
        <v>3.385</v>
      </c>
      <c r="N21" s="37" t="n">
        <f aca="false">L21*M21</f>
        <v>76.1625</v>
      </c>
    </row>
    <row r="22" customFormat="false" ht="11.25" hidden="false" customHeight="false" outlineLevel="0" collapsed="false">
      <c r="B22" s="60"/>
      <c r="C22" s="58"/>
      <c r="D22" s="59" t="n">
        <f aca="false">B22*C22*10000</f>
        <v>0</v>
      </c>
      <c r="E22" s="46"/>
      <c r="F22" s="60"/>
      <c r="G22" s="58"/>
      <c r="H22" s="61" t="n">
        <f aca="false">F22*G22*10000</f>
        <v>0</v>
      </c>
      <c r="J22" s="69"/>
      <c r="L22" s="37" t="n">
        <v>46.5</v>
      </c>
      <c r="M22" s="37" t="n">
        <v>3.35</v>
      </c>
      <c r="N22" s="37" t="n">
        <f aca="false">L22*M22</f>
        <v>155.775</v>
      </c>
    </row>
    <row r="23" customFormat="false" ht="11.25" hidden="false" customHeight="false" outlineLevel="0" collapsed="false">
      <c r="B23" s="60"/>
      <c r="C23" s="58"/>
      <c r="D23" s="59" t="n">
        <f aca="false">B23*C23*10000</f>
        <v>0</v>
      </c>
      <c r="E23" s="46"/>
      <c r="F23" s="60"/>
      <c r="G23" s="58"/>
      <c r="H23" s="61" t="n">
        <f aca="false">F23*G23*10000</f>
        <v>0</v>
      </c>
      <c r="J23" s="69"/>
      <c r="L23" s="37" t="n">
        <f aca="false">SUM(L20:L22)</f>
        <v>84.5</v>
      </c>
      <c r="N23" s="37" t="n">
        <f aca="false">SUM(N20:N22)</f>
        <v>285.335</v>
      </c>
    </row>
    <row r="24" customFormat="false" ht="11.25" hidden="false" customHeight="false" outlineLevel="0" collapsed="false">
      <c r="B24" s="60"/>
      <c r="C24" s="58"/>
      <c r="D24" s="59" t="n">
        <f aca="false">B24*C24*10000</f>
        <v>0</v>
      </c>
      <c r="E24" s="46"/>
      <c r="F24" s="60"/>
      <c r="G24" s="58"/>
      <c r="H24" s="61" t="n">
        <f aca="false">F24*G24*10000</f>
        <v>0</v>
      </c>
      <c r="J24" s="69"/>
      <c r="M24" s="37" t="n">
        <f aca="false">N23/L23</f>
        <v>3.37674556213018</v>
      </c>
    </row>
    <row r="25" customFormat="false" ht="11.25" hidden="false" customHeight="false" outlineLevel="0" collapsed="false">
      <c r="B25" s="60"/>
      <c r="C25" s="58"/>
      <c r="D25" s="59" t="n">
        <f aca="false">B25*C25*10000</f>
        <v>0</v>
      </c>
      <c r="E25" s="46"/>
      <c r="F25" s="60"/>
      <c r="G25" s="58"/>
      <c r="H25" s="61" t="n">
        <f aca="false">F25*G25*10000</f>
        <v>0</v>
      </c>
      <c r="J25" s="69"/>
    </row>
    <row r="26" customFormat="false" ht="11.25" hidden="false" customHeight="false" outlineLevel="0" collapsed="false">
      <c r="F26" s="38"/>
      <c r="H26" s="70"/>
      <c r="J26" s="69"/>
      <c r="K26" s="71"/>
      <c r="L26" s="71"/>
    </row>
    <row r="27" customFormat="false" ht="11.25" hidden="false" customHeight="false" outlineLevel="0" collapsed="false">
      <c r="B27" s="60" t="n">
        <f aca="false">SUM(B3:B26)</f>
        <v>0</v>
      </c>
      <c r="C27" s="72" t="n">
        <f aca="false">IF(B27=0,0,D27/B27/10000)</f>
        <v>0</v>
      </c>
      <c r="D27" s="59" t="n">
        <f aca="false">SUM(D2:D26)</f>
        <v>0</v>
      </c>
      <c r="F27" s="60" t="n">
        <f aca="false">SUM(F3:F26)</f>
        <v>0</v>
      </c>
      <c r="G27" s="58" t="n">
        <f aca="false">IF(F27=0,0,H27/F27/10000)</f>
        <v>0</v>
      </c>
      <c r="H27" s="61" t="n">
        <f aca="false">SUM(H2:H26)</f>
        <v>0</v>
      </c>
      <c r="K27" s="71"/>
      <c r="L27" s="71"/>
      <c r="M27" s="46"/>
      <c r="N27" s="46"/>
    </row>
    <row r="28" customFormat="false" ht="11.25" hidden="false" customHeight="false" outlineLevel="0" collapsed="false">
      <c r="K28" s="71"/>
      <c r="L28" s="71"/>
      <c r="M28" s="46"/>
      <c r="N28" s="46"/>
    </row>
    <row r="29" customFormat="false" ht="11.25" hidden="false" customHeight="false" outlineLevel="0" collapsed="false">
      <c r="F29" s="40" t="n">
        <f aca="false">-B27+F27</f>
        <v>0</v>
      </c>
      <c r="G29" s="37" t="n">
        <f aca="false">IF(F29&lt;0,C27,G27)</f>
        <v>0</v>
      </c>
      <c r="H29" s="41" t="n">
        <f aca="false">IF(F29&lt;0,(G29-C31)*ABS(F29)*10000,-1*(G29-C31)*ABS(F29)*10000)</f>
        <v>0</v>
      </c>
      <c r="K29" s="71"/>
      <c r="L29" s="71"/>
      <c r="M29" s="46"/>
      <c r="N29" s="46"/>
    </row>
    <row r="30" customFormat="false" ht="11.25" hidden="false" customHeight="false" outlineLevel="0" collapsed="false">
      <c r="C30" s="37" t="n">
        <f aca="false">POSTION!I13</f>
        <v>2.62</v>
      </c>
      <c r="D30" s="39" t="s">
        <v>39</v>
      </c>
      <c r="F30" s="73" t="n">
        <f aca="false">-B27+F27</f>
        <v>0</v>
      </c>
      <c r="G30" s="37" t="n">
        <f aca="false">IF(F30&lt;0,(C27+(J26/(ABS(F30)*10000))),IF(F30=0,0,(G27-(J26/(ABS(F30)*10000)))))</f>
        <v>0</v>
      </c>
      <c r="H30" s="41" t="n">
        <f aca="false">IF(F30&lt;0,(G30-C31)*ABS(F30)*10000,IF(F30=0,0,-1*(G30-C31)*ABS(F30)*10000))</f>
        <v>0</v>
      </c>
      <c r="K30" s="71"/>
      <c r="L30" s="71"/>
      <c r="M30" s="46"/>
      <c r="N30" s="46"/>
    </row>
    <row r="31" customFormat="false" ht="11.25" hidden="false" customHeight="false" outlineLevel="0" collapsed="false">
      <c r="C31" s="37" t="n">
        <f aca="false">POSTION!B4+0.025</f>
        <v>2.95</v>
      </c>
      <c r="D31" s="39" t="s">
        <v>40</v>
      </c>
      <c r="J31" s="74"/>
      <c r="K31" s="75"/>
      <c r="L31" s="75"/>
      <c r="M31" s="46"/>
      <c r="N31" s="46"/>
    </row>
    <row r="32" customFormat="false" ht="11.25" hidden="false" customHeight="false" outlineLevel="0" collapsed="false">
      <c r="F32" s="76" t="n">
        <f aca="false">MIN($B$27,$F$27)*($C$27-$G$27)*10000</f>
        <v>0</v>
      </c>
      <c r="G32" s="77"/>
      <c r="H32" s="77" t="s">
        <v>41</v>
      </c>
      <c r="M32" s="46"/>
      <c r="N32" s="46"/>
    </row>
    <row r="33" customFormat="false" ht="11.25" hidden="false" customHeight="false" outlineLevel="0" collapsed="false">
      <c r="F33" s="76"/>
      <c r="G33" s="77"/>
      <c r="H33" s="77"/>
    </row>
    <row r="34" customFormat="false" ht="11.25" hidden="false" customHeight="false" outlineLevel="0" collapsed="false">
      <c r="F34" s="76" t="n">
        <f aca="false">$H$29</f>
        <v>0</v>
      </c>
      <c r="G34" s="77"/>
      <c r="H34" s="77" t="s">
        <v>42</v>
      </c>
    </row>
    <row r="35" customFormat="false" ht="11.25" hidden="false" customHeight="false" outlineLevel="0" collapsed="false">
      <c r="A35" s="49"/>
      <c r="F35" s="62" t="n">
        <f aca="false">$H$30</f>
        <v>0</v>
      </c>
      <c r="G35" s="51"/>
      <c r="H35" s="51" t="s">
        <v>43</v>
      </c>
    </row>
    <row r="36" customFormat="false" ht="11.25" hidden="false" customHeight="false" outlineLevel="0" collapsed="false">
      <c r="F36" s="42"/>
      <c r="H36" s="37"/>
    </row>
    <row r="37" customFormat="false" ht="11.25" hidden="false" customHeight="false" outlineLevel="0" collapsed="false">
      <c r="F37" s="78" t="n">
        <f aca="false">F32+F34</f>
        <v>0</v>
      </c>
      <c r="G37" s="79"/>
      <c r="H37" s="79" t="s">
        <v>44</v>
      </c>
    </row>
    <row r="39" customFormat="false" ht="11.25" hidden="false" customHeight="false" outlineLevel="0" collapsed="false">
      <c r="B39" s="40"/>
    </row>
    <row r="42" customFormat="false" ht="11.25" hidden="false" customHeight="false" outlineLevel="0" collapsed="false">
      <c r="B42" s="4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I14" activeCellId="0" sqref="I14"/>
    </sheetView>
  </sheetViews>
  <sheetFormatPr defaultColWidth="7.9921875" defaultRowHeight="12.75" customHeight="true" zeroHeight="false" outlineLevelRow="0" outlineLevelCol="0"/>
  <cols>
    <col collapsed="false" customWidth="true" hidden="false" outlineLevel="0" max="4" min="1" style="0" width="10.71"/>
    <col collapsed="false" customWidth="true" hidden="false" outlineLevel="0" max="5" min="5" style="0" width="9.06"/>
    <col collapsed="false" customWidth="true" hidden="false" outlineLevel="0" max="10" min="6" style="0" width="10.71"/>
  </cols>
  <sheetData>
    <row r="1" customFormat="false" ht="12.75" hidden="false" customHeight="false" outlineLevel="0" collapsed="false">
      <c r="A1" s="90" t="s">
        <v>45</v>
      </c>
      <c r="B1" s="90" t="s">
        <v>46</v>
      </c>
      <c r="C1" s="90" t="s">
        <v>47</v>
      </c>
      <c r="D1" s="90" t="s">
        <v>48</v>
      </c>
      <c r="E1" s="90" t="s">
        <v>49</v>
      </c>
      <c r="F1" s="90" t="s">
        <v>50</v>
      </c>
      <c r="G1" s="90" t="s">
        <v>51</v>
      </c>
      <c r="H1" s="90" t="s">
        <v>52</v>
      </c>
      <c r="I1" s="90" t="s">
        <v>53</v>
      </c>
      <c r="J1" s="90" t="s">
        <v>54</v>
      </c>
    </row>
    <row r="2" customFormat="false" ht="12.75" hidden="false" customHeight="false" outlineLevel="0" collapsed="false">
      <c r="A2" s="0" t="n">
        <v>64000</v>
      </c>
      <c r="B2" s="0" t="n">
        <f aca="false">B7</f>
        <v>0</v>
      </c>
      <c r="C2" s="0" t="n">
        <v>-20000</v>
      </c>
      <c r="D2" s="11" t="n">
        <f aca="false">(D7*10000)/31</f>
        <v>0</v>
      </c>
      <c r="F2" s="11" t="n">
        <f aca="false">POSTION!D4</f>
        <v>-32.5</v>
      </c>
      <c r="G2" s="11" t="n">
        <f aca="false">POSTION!D5</f>
        <v>7.75</v>
      </c>
      <c r="H2" s="11" t="n">
        <f aca="false">POSTION!D6</f>
        <v>0</v>
      </c>
      <c r="I2" s="11" t="n">
        <f aca="false">POSTION!D7</f>
        <v>0</v>
      </c>
      <c r="J2" s="11" t="n">
        <f aca="false">POSTION!D8</f>
        <v>0</v>
      </c>
    </row>
    <row r="3" customFormat="false" ht="12.75" hidden="false" customHeight="false" outlineLevel="0" collapsed="false">
      <c r="A3" s="0" t="n">
        <v>10000</v>
      </c>
      <c r="C3" s="0" t="n">
        <v>20000</v>
      </c>
      <c r="I3" s="0" t="n">
        <v>-7.75</v>
      </c>
    </row>
    <row r="4" customFormat="false" ht="12.75" hidden="false" customHeight="false" outlineLevel="0" collapsed="false">
      <c r="I4" s="0" t="n">
        <v>-46</v>
      </c>
    </row>
    <row r="7" customFormat="false" ht="12.75" hidden="false" customHeight="false" outlineLevel="0" collapsed="false">
      <c r="A7" s="0" t="n">
        <f aca="false">SUM(A2:A6)</f>
        <v>74000</v>
      </c>
      <c r="B7" s="0" t="n">
        <f aca="false">(B8*10000)/31</f>
        <v>0</v>
      </c>
      <c r="C7" s="0" t="n">
        <f aca="false">SUM(C2:C6)</f>
        <v>0</v>
      </c>
      <c r="D7" s="11" t="n">
        <f aca="false">'J-V_SWAP'!J11</f>
        <v>0</v>
      </c>
      <c r="E7" s="11" t="n">
        <f aca="false">hsc_aug!J11</f>
        <v>0</v>
      </c>
    </row>
    <row r="8" customFormat="false" ht="12.75" hidden="false" customHeight="false" outlineLevel="0" collapsed="false">
      <c r="A8" s="0" t="n">
        <f aca="false">(A7*31)/10000</f>
        <v>229.4</v>
      </c>
      <c r="B8" s="11" t="n">
        <f aca="false">KATY_aug!J11</f>
        <v>0</v>
      </c>
      <c r="C8" s="0" t="n">
        <f aca="false">(C7*31)/10000</f>
        <v>0</v>
      </c>
      <c r="D8" s="11" t="n">
        <f aca="false">D7</f>
        <v>0</v>
      </c>
      <c r="E8" s="11" t="n">
        <f aca="false">E7</f>
        <v>0</v>
      </c>
      <c r="F8" s="11" t="n">
        <f aca="false">SUM(F2:F7)</f>
        <v>-32.5</v>
      </c>
      <c r="G8" s="11" t="n">
        <f aca="false">SUM(G2:G7)</f>
        <v>7.75</v>
      </c>
      <c r="H8" s="11" t="n">
        <f aca="false">SUM(H2:H7)</f>
        <v>0</v>
      </c>
      <c r="I8" s="11" t="n">
        <f aca="false">SUM(I2:I7)</f>
        <v>-53.75</v>
      </c>
      <c r="J8" s="11" t="n">
        <f aca="false">SUM(J2:J7)</f>
        <v>0</v>
      </c>
    </row>
    <row r="10" customFormat="false" ht="12.75" hidden="false" customHeight="false" outlineLevel="0" collapsed="false">
      <c r="B10" s="91" t="n">
        <f aca="false">SUM(A8:E8)+SUM(G8:J8)</f>
        <v>183.4</v>
      </c>
    </row>
    <row r="12" customFormat="false" ht="12.75" hidden="false" customHeight="false" outlineLevel="0" collapsed="false">
      <c r="A12" s="0" t="n">
        <v>75000</v>
      </c>
      <c r="B12" s="0" t="s">
        <v>55</v>
      </c>
    </row>
    <row r="15" customFormat="false" ht="12.75" hidden="false" customHeight="false" outlineLevel="0" collapsed="false">
      <c r="C15" s="0" t="n">
        <f aca="false">6.4*31</f>
        <v>198.4</v>
      </c>
    </row>
    <row r="16" customFormat="false" ht="12.75" hidden="false" customHeight="false" outlineLevel="0" collapsed="false">
      <c r="F16" s="0" t="n">
        <v>3.182</v>
      </c>
      <c r="G16" s="0" t="n">
        <v>3.286</v>
      </c>
    </row>
    <row r="17" customFormat="false" ht="12.75" hidden="false" customHeight="false" outlineLevel="0" collapsed="false">
      <c r="F17" s="0" t="n">
        <v>0.05</v>
      </c>
    </row>
    <row r="18" customFormat="false" ht="12.75" hidden="false" customHeight="false" outlineLevel="0" collapsed="false">
      <c r="F18" s="0" t="n">
        <f aca="false">SUM(F16:F17)</f>
        <v>3.232</v>
      </c>
      <c r="G18" s="0" t="n">
        <v>2.235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3:P43"/>
  <sheetViews>
    <sheetView showFormulas="false" showGridLines="true" showRowColHeaders="true" showZeros="true" rightToLeft="false" tabSelected="false" showOutlineSymbols="true" defaultGridColor="true" view="normal" topLeftCell="A1" colorId="64" zoomScale="80" zoomScaleNormal="8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28"/>
    <col collapsed="false" customWidth="true" hidden="false" outlineLevel="0" max="2" min="2" style="0" width="8.7"/>
    <col collapsed="false" customWidth="true" hidden="false" outlineLevel="0" max="3" min="3" style="0" width="18.14"/>
    <col collapsed="false" customWidth="true" hidden="false" outlineLevel="0" max="4" min="4" style="0" width="16.28"/>
    <col collapsed="false" customWidth="true" hidden="false" outlineLevel="0" max="6" min="6" style="0" width="11.7"/>
    <col collapsed="false" customWidth="true" hidden="false" outlineLevel="0" max="7" min="7" style="0" width="14.85"/>
    <col collapsed="false" customWidth="true" hidden="false" outlineLevel="0" max="8" min="8" style="0" width="13.41"/>
    <col collapsed="false" customWidth="true" hidden="false" outlineLevel="0" max="9" min="9" style="0" width="9.41"/>
    <col collapsed="false" customWidth="true" hidden="false" outlineLevel="0" max="10" min="10" style="0" width="8.56"/>
    <col collapsed="false" customWidth="true" hidden="false" outlineLevel="0" max="11" min="11" style="0" width="9.85"/>
    <col collapsed="false" customWidth="true" hidden="false" outlineLevel="0" max="12" min="12" style="0" width="10.99"/>
    <col collapsed="false" customWidth="true" hidden="false" outlineLevel="0" max="15" min="15" style="0" width="9.85"/>
  </cols>
  <sheetData>
    <row r="3" customFormat="false" ht="25.5" hidden="false" customHeight="false" outlineLevel="0" collapsed="false">
      <c r="A3" s="1"/>
      <c r="B3" s="1" t="s">
        <v>0</v>
      </c>
      <c r="C3" s="1"/>
      <c r="D3" s="2" t="s">
        <v>1</v>
      </c>
      <c r="E3" s="3" t="s">
        <v>2</v>
      </c>
      <c r="F3" s="1" t="s">
        <v>3</v>
      </c>
      <c r="G3" s="1" t="s">
        <v>0</v>
      </c>
      <c r="H3" s="1" t="s">
        <v>4</v>
      </c>
      <c r="I3" s="1"/>
      <c r="J3" s="4" t="s">
        <v>5</v>
      </c>
      <c r="K3" s="1"/>
      <c r="L3" s="1" t="s">
        <v>6</v>
      </c>
      <c r="M3" s="5" t="s">
        <v>7</v>
      </c>
      <c r="N3" s="1" t="s">
        <v>8</v>
      </c>
      <c r="O3" s="1"/>
    </row>
    <row r="4" customFormat="false" ht="12.75" hidden="false" customHeight="false" outlineLevel="0" collapsed="false">
      <c r="B4" s="6" t="n">
        <v>2.96</v>
      </c>
      <c r="C4" s="7" t="s">
        <v>9</v>
      </c>
      <c r="D4" s="8" t="n">
        <v>-48</v>
      </c>
      <c r="F4" s="9" t="n">
        <v>58512.4999999999</v>
      </c>
      <c r="G4" s="9" t="n">
        <v>-15300</v>
      </c>
      <c r="H4" s="9" t="n">
        <v>43212.4999999999</v>
      </c>
      <c r="K4" s="0" t="n">
        <v>2.88</v>
      </c>
      <c r="L4" s="10" t="n">
        <v>0.0800000000000001</v>
      </c>
      <c r="M4" s="8" t="n">
        <v>-46.5</v>
      </c>
      <c r="N4" s="11" t="n">
        <v>-1.5</v>
      </c>
      <c r="O4" s="12" t="n">
        <v>37043</v>
      </c>
    </row>
    <row r="5" customFormat="false" ht="12.75" hidden="false" customHeight="false" outlineLevel="0" collapsed="false">
      <c r="B5" s="13" t="n">
        <v>3.132</v>
      </c>
      <c r="C5" s="7" t="s">
        <v>10</v>
      </c>
      <c r="D5" s="8" t="n">
        <v>0</v>
      </c>
      <c r="F5" s="9" t="n">
        <v>0</v>
      </c>
      <c r="G5" s="9" t="n">
        <v>0</v>
      </c>
      <c r="H5" s="9" t="n">
        <v>0</v>
      </c>
      <c r="K5" s="0" t="n">
        <v>3.054</v>
      </c>
      <c r="L5" s="10" t="n">
        <v>0.0780000000000003</v>
      </c>
      <c r="M5" s="8" t="n">
        <v>-9.3</v>
      </c>
      <c r="N5" s="11" t="n">
        <v>9.3</v>
      </c>
      <c r="O5" s="12" t="n">
        <v>37044</v>
      </c>
    </row>
    <row r="6" customFormat="false" ht="12.75" hidden="false" customHeight="false" outlineLevel="0" collapsed="false">
      <c r="B6" s="13" t="n">
        <v>3.147</v>
      </c>
      <c r="C6" s="7" t="s">
        <v>11</v>
      </c>
      <c r="D6" s="8" t="n">
        <v>0</v>
      </c>
      <c r="F6" s="9" t="n">
        <v>0</v>
      </c>
      <c r="G6" s="9" t="n">
        <v>0</v>
      </c>
      <c r="H6" s="9" t="n">
        <v>0</v>
      </c>
      <c r="K6" s="0" t="n">
        <v>3.036</v>
      </c>
      <c r="L6" s="10" t="n">
        <v>0.111</v>
      </c>
      <c r="M6" s="8" t="n">
        <v>-3.1</v>
      </c>
      <c r="N6" s="11" t="n">
        <v>3.1</v>
      </c>
      <c r="O6" s="12" t="n">
        <v>37045</v>
      </c>
    </row>
    <row r="7" customFormat="false" ht="12.75" hidden="false" customHeight="false" outlineLevel="0" collapsed="false">
      <c r="B7" s="13" t="n">
        <v>3.112</v>
      </c>
      <c r="C7" s="7" t="s">
        <v>12</v>
      </c>
      <c r="D7" s="8" t="n">
        <v>0</v>
      </c>
      <c r="F7" s="9" t="n">
        <v>0</v>
      </c>
      <c r="G7" s="9" t="n">
        <v>0</v>
      </c>
      <c r="H7" s="9" t="n">
        <v>0</v>
      </c>
      <c r="K7" s="0" t="n">
        <v>2.996</v>
      </c>
      <c r="L7" s="10" t="n">
        <v>0.116</v>
      </c>
      <c r="M7" s="8" t="n">
        <v>0</v>
      </c>
      <c r="N7" s="11" t="n">
        <v>0</v>
      </c>
      <c r="O7" s="12" t="n">
        <v>37046</v>
      </c>
    </row>
    <row r="8" customFormat="false" ht="12.75" hidden="false" customHeight="false" outlineLevel="0" collapsed="false">
      <c r="B8" s="13" t="n">
        <v>3.08775</v>
      </c>
      <c r="C8" s="7" t="s">
        <v>13</v>
      </c>
      <c r="D8" s="8" t="n">
        <v>0</v>
      </c>
      <c r="F8" s="9" t="n">
        <v>-25712.5000000001</v>
      </c>
      <c r="G8" s="9" t="n">
        <v>0</v>
      </c>
      <c r="H8" s="9" t="n">
        <v>-25712.5000000001</v>
      </c>
      <c r="K8" s="0" t="n">
        <v>3.0095</v>
      </c>
      <c r="L8" s="10" t="n">
        <v>0.0782499999999997</v>
      </c>
      <c r="M8" s="8" t="n">
        <v>0</v>
      </c>
      <c r="N8" s="11" t="n">
        <v>0</v>
      </c>
      <c r="O8" s="12" t="n">
        <v>37047</v>
      </c>
    </row>
    <row r="9" customFormat="false" ht="12.75" hidden="false" customHeight="false" outlineLevel="0" collapsed="false">
      <c r="B9" s="13" t="n">
        <v>3.16675</v>
      </c>
      <c r="C9" s="7" t="s">
        <v>14</v>
      </c>
      <c r="D9" s="8" t="n">
        <v>0</v>
      </c>
      <c r="F9" s="9" t="n">
        <v>0</v>
      </c>
      <c r="G9" s="9" t="n">
        <v>0</v>
      </c>
      <c r="H9" s="9" t="n">
        <v>0</v>
      </c>
      <c r="K9" s="0" t="n">
        <v>3.0565</v>
      </c>
      <c r="L9" s="10" t="n">
        <v>0.11025</v>
      </c>
      <c r="M9" s="8" t="n">
        <v>1</v>
      </c>
      <c r="N9" s="11" t="n">
        <v>-1</v>
      </c>
      <c r="O9" s="12"/>
    </row>
    <row r="10" customFormat="false" ht="12.75" hidden="false" customHeight="false" outlineLevel="0" collapsed="false">
      <c r="B10" s="13" t="n">
        <v>3.21775</v>
      </c>
      <c r="C10" s="7" t="s">
        <v>15</v>
      </c>
      <c r="D10" s="8" t="n">
        <v>0</v>
      </c>
      <c r="F10" s="9"/>
      <c r="G10" s="9"/>
      <c r="H10" s="9" t="n">
        <v>0</v>
      </c>
      <c r="K10" s="0" t="n">
        <v>3.1195</v>
      </c>
      <c r="L10" s="10" t="n">
        <v>0.0982499999999997</v>
      </c>
      <c r="M10" s="8" t="n">
        <v>2</v>
      </c>
      <c r="N10" s="11" t="n">
        <v>-2</v>
      </c>
      <c r="O10" s="12"/>
    </row>
    <row r="11" customFormat="false" ht="12.75" hidden="false" customHeight="false" outlineLevel="0" collapsed="false">
      <c r="B11" s="14" t="n">
        <v>2.71</v>
      </c>
      <c r="C11" s="15" t="s">
        <v>16</v>
      </c>
      <c r="D11" s="8" t="n">
        <v>0</v>
      </c>
      <c r="E11" s="16" t="n">
        <v>0</v>
      </c>
      <c r="F11" s="9" t="n">
        <v>0</v>
      </c>
      <c r="G11" s="9" t="n">
        <v>0</v>
      </c>
      <c r="H11" s="9" t="n">
        <v>0</v>
      </c>
      <c r="I11" s="0" t="n">
        <v>2.71</v>
      </c>
      <c r="J11" s="17"/>
      <c r="K11" s="0" t="n">
        <v>2.725</v>
      </c>
      <c r="L11" s="10" t="n">
        <v>-0.0150000000000001</v>
      </c>
      <c r="M11" s="8" t="n">
        <v>-69.7</v>
      </c>
      <c r="N11" s="11" t="n">
        <v>69.7</v>
      </c>
      <c r="O11" s="12" t="n">
        <v>37048</v>
      </c>
    </row>
    <row r="12" customFormat="false" ht="12.75" hidden="false" customHeight="false" outlineLevel="0" collapsed="false">
      <c r="B12" s="18" t="n">
        <v>2.68</v>
      </c>
      <c r="C12" s="15" t="s">
        <v>17</v>
      </c>
      <c r="D12" s="8" t="n">
        <v>0</v>
      </c>
      <c r="E12" s="16" t="n">
        <v>0</v>
      </c>
      <c r="F12" s="9" t="n">
        <v>0</v>
      </c>
      <c r="G12" s="9" t="n">
        <v>0</v>
      </c>
      <c r="H12" s="9" t="n">
        <v>0</v>
      </c>
      <c r="I12" s="0" t="n">
        <v>3.115</v>
      </c>
      <c r="J12" s="17" t="n">
        <v>3.115</v>
      </c>
      <c r="K12" s="0" t="n">
        <v>2.695</v>
      </c>
      <c r="L12" s="10" t="n">
        <v>-0.0149999999999997</v>
      </c>
      <c r="M12" s="8" t="n">
        <v>0</v>
      </c>
      <c r="N12" s="11" t="n">
        <v>0</v>
      </c>
      <c r="O12" s="12" t="n">
        <v>37049</v>
      </c>
    </row>
    <row r="13" customFormat="false" ht="12.75" hidden="false" customHeight="false" outlineLevel="0" collapsed="false">
      <c r="B13" s="18" t="n">
        <v>2.63</v>
      </c>
      <c r="C13" s="15" t="s">
        <v>18</v>
      </c>
      <c r="D13" s="8" t="n">
        <v>0</v>
      </c>
      <c r="E13" s="16" t="n">
        <v>0</v>
      </c>
      <c r="F13" s="9" t="n">
        <v>0</v>
      </c>
      <c r="G13" s="9" t="n">
        <v>0</v>
      </c>
      <c r="H13" s="9" t="n">
        <v>0</v>
      </c>
      <c r="I13" s="0" t="n">
        <v>2.63</v>
      </c>
      <c r="J13" s="17"/>
      <c r="K13" s="0" t="n">
        <v>2.645</v>
      </c>
      <c r="L13" s="10" t="n">
        <v>-0.0149999999999997</v>
      </c>
      <c r="M13" s="8" t="n">
        <v>15.5</v>
      </c>
      <c r="N13" s="11" t="n">
        <v>-15.5</v>
      </c>
      <c r="O13" s="12" t="n">
        <v>37050</v>
      </c>
    </row>
    <row r="14" customFormat="false" ht="12.75" hidden="false" customHeight="false" outlineLevel="0" collapsed="false">
      <c r="B14" s="18" t="n">
        <v>2.46</v>
      </c>
      <c r="C14" s="15" t="s">
        <v>19</v>
      </c>
      <c r="D14" s="8" t="n">
        <v>0</v>
      </c>
      <c r="E14" s="16" t="n">
        <v>0</v>
      </c>
      <c r="F14" s="9" t="n">
        <v>0</v>
      </c>
      <c r="G14" s="9" t="n">
        <v>0</v>
      </c>
      <c r="H14" s="9" t="n">
        <v>0</v>
      </c>
      <c r="I14" s="0" t="n">
        <v>2.46</v>
      </c>
      <c r="J14" s="17"/>
      <c r="K14" s="0" t="n">
        <v>2.475</v>
      </c>
      <c r="L14" s="10" t="n">
        <v>-0.0150000000000001</v>
      </c>
      <c r="M14" s="8" t="n">
        <v>0</v>
      </c>
      <c r="N14" s="11" t="n">
        <v>0</v>
      </c>
      <c r="O14" s="12" t="n">
        <v>37051</v>
      </c>
    </row>
    <row r="15" customFormat="false" ht="12.75" hidden="false" customHeight="false" outlineLevel="0" collapsed="false">
      <c r="B15" s="14" t="n">
        <v>2.495</v>
      </c>
      <c r="C15" s="15" t="s">
        <v>20</v>
      </c>
      <c r="D15" s="8" t="n">
        <v>0</v>
      </c>
      <c r="E15" s="16" t="n">
        <v>0</v>
      </c>
      <c r="F15" s="9" t="n">
        <v>0</v>
      </c>
      <c r="G15" s="9" t="n">
        <v>0</v>
      </c>
      <c r="H15" s="9" t="n">
        <v>0</v>
      </c>
      <c r="I15" s="0" t="n">
        <v>2.495</v>
      </c>
      <c r="J15" s="17"/>
      <c r="K15" s="0" t="n">
        <v>2.51</v>
      </c>
      <c r="L15" s="10" t="n">
        <v>-0.0149999999999997</v>
      </c>
      <c r="M15" s="8" t="n">
        <v>0</v>
      </c>
      <c r="N15" s="11" t="n">
        <v>0</v>
      </c>
      <c r="O15" s="12" t="n">
        <v>37052</v>
      </c>
    </row>
    <row r="16" customFormat="false" ht="12.75" hidden="false" customHeight="false" outlineLevel="0" collapsed="false">
      <c r="A16" s="11" t="n">
        <v>0</v>
      </c>
      <c r="B16" s="18" t="n">
        <v>2.63</v>
      </c>
      <c r="C16" s="15" t="s">
        <v>21</v>
      </c>
      <c r="D16" s="8" t="n">
        <v>0</v>
      </c>
      <c r="E16" s="16" t="n">
        <v>0</v>
      </c>
      <c r="F16" s="9" t="n">
        <v>0</v>
      </c>
      <c r="G16" s="9" t="n">
        <v>0</v>
      </c>
      <c r="H16" s="9" t="n">
        <v>0</v>
      </c>
      <c r="I16" s="0" t="n">
        <v>2.63</v>
      </c>
      <c r="J16" s="17"/>
      <c r="K16" s="0" t="n">
        <v>2.645</v>
      </c>
      <c r="L16" s="10" t="n">
        <v>-0.0149999999999997</v>
      </c>
      <c r="M16" s="8" t="n">
        <v>58.9</v>
      </c>
      <c r="N16" s="11" t="n">
        <v>-58.9</v>
      </c>
      <c r="O16" s="12" t="n">
        <v>37053</v>
      </c>
    </row>
    <row r="17" customFormat="false" ht="12.75" hidden="false" customHeight="false" outlineLevel="0" collapsed="false">
      <c r="C17" s="0" t="s">
        <v>22</v>
      </c>
      <c r="D17" s="19" t="n">
        <v>-48</v>
      </c>
      <c r="E17" s="16" t="n">
        <v>0</v>
      </c>
      <c r="F17" s="20" t="n">
        <v>32799.9999999998</v>
      </c>
      <c r="G17" s="20" t="n">
        <v>-15300</v>
      </c>
      <c r="H17" s="21" t="n">
        <v>17499.9999999998</v>
      </c>
      <c r="M17" s="22" t="n">
        <v>-54.2</v>
      </c>
      <c r="N17" s="23" t="n">
        <v>6.2</v>
      </c>
      <c r="O17" s="12" t="n">
        <v>37054</v>
      </c>
    </row>
    <row r="18" customFormat="false" ht="12.75" hidden="false" customHeight="false" outlineLevel="0" collapsed="false">
      <c r="B18" s="24" t="n">
        <v>2.993</v>
      </c>
      <c r="C18" s="24" t="s">
        <v>23</v>
      </c>
      <c r="D18" s="25" t="n">
        <v>0</v>
      </c>
      <c r="F18" s="21"/>
      <c r="G18" s="26"/>
      <c r="H18" s="27"/>
      <c r="M18" s="0" t="n">
        <v>0</v>
      </c>
      <c r="N18" s="23" t="n">
        <v>0</v>
      </c>
      <c r="O18" s="12" t="n">
        <v>37055</v>
      </c>
    </row>
    <row r="19" customFormat="false" ht="12.75" hidden="false" customHeight="false" outlineLevel="0" collapsed="false">
      <c r="B19" s="24" t="n">
        <v>2.945</v>
      </c>
      <c r="C19" s="24" t="s">
        <v>24</v>
      </c>
      <c r="D19" s="25" t="s">
        <v>25</v>
      </c>
      <c r="F19" s="21"/>
      <c r="G19" s="28" t="n">
        <v>17499.9999999998</v>
      </c>
      <c r="H19" s="28"/>
      <c r="J19" s="0" t="n">
        <v>3.447</v>
      </c>
      <c r="M19" s="0" t="n">
        <v>0</v>
      </c>
      <c r="N19" s="23" t="e">
        <f aca="false"/>
        <v>#VALUE!</v>
      </c>
      <c r="O19" s="12" t="n">
        <v>37056</v>
      </c>
    </row>
    <row r="20" customFormat="false" ht="12.75" hidden="false" customHeight="false" outlineLevel="0" collapsed="false">
      <c r="B20" s="24" t="n">
        <v>2.985</v>
      </c>
      <c r="C20" s="24" t="s">
        <v>26</v>
      </c>
      <c r="D20" s="25" t="n">
        <v>0</v>
      </c>
      <c r="F20" s="0" t="s">
        <v>27</v>
      </c>
      <c r="G20" s="29" t="n">
        <v>-4223</v>
      </c>
      <c r="H20" s="21"/>
      <c r="J20" s="0" t="n">
        <v>3.51</v>
      </c>
      <c r="M20" s="0" t="n">
        <v>0</v>
      </c>
      <c r="O20" s="12" t="n">
        <v>37057</v>
      </c>
    </row>
    <row r="21" customFormat="false" ht="12.75" hidden="false" customHeight="false" outlineLevel="0" collapsed="false">
      <c r="J21" s="0" t="n">
        <v>3.475</v>
      </c>
      <c r="O21" s="12" t="n">
        <v>37058</v>
      </c>
    </row>
    <row r="22" customFormat="false" ht="12.75" hidden="false" customHeight="false" outlineLevel="0" collapsed="false">
      <c r="C22" s="30" t="s">
        <v>22</v>
      </c>
      <c r="D22" s="31" t="n">
        <v>-48</v>
      </c>
      <c r="G22" s="29" t="n">
        <v>13276.9999999998</v>
      </c>
      <c r="J22" s="0" t="n">
        <v>3.39</v>
      </c>
      <c r="M22" s="11" t="n">
        <v>75.65</v>
      </c>
      <c r="N22" s="11" t="e">
        <f aca="false"/>
        <v>#VALUE!</v>
      </c>
      <c r="O22" s="12" t="n">
        <v>37059</v>
      </c>
      <c r="P22" s="0" t="n">
        <v>25000</v>
      </c>
    </row>
    <row r="23" customFormat="false" ht="12.75" hidden="false" customHeight="false" outlineLevel="0" collapsed="false">
      <c r="J23" s="0" t="n">
        <v>3.39</v>
      </c>
      <c r="O23" s="12" t="n">
        <v>37060</v>
      </c>
      <c r="P23" s="0" t="n">
        <v>25000</v>
      </c>
    </row>
    <row r="24" customFormat="false" ht="12.75" hidden="false" customHeight="false" outlineLevel="0" collapsed="false">
      <c r="C24" s="0" t="s">
        <v>28</v>
      </c>
      <c r="E24" s="0" t="n">
        <v>29</v>
      </c>
      <c r="F24" s="0" t="n">
        <v>1</v>
      </c>
      <c r="G24" s="17" t="n">
        <v>29</v>
      </c>
      <c r="J24" s="0" t="n">
        <v>3.475</v>
      </c>
      <c r="L24" s="0" t="n">
        <v>43.5</v>
      </c>
      <c r="O24" s="12" t="n">
        <v>37061</v>
      </c>
      <c r="P24" s="0" t="n">
        <v>25000</v>
      </c>
    </row>
    <row r="25" customFormat="false" ht="12.75" hidden="false" customHeight="false" outlineLevel="0" collapsed="false">
      <c r="E25" s="11" t="n">
        <v>0</v>
      </c>
      <c r="F25" s="0" t="n">
        <v>0</v>
      </c>
      <c r="G25" s="0" t="n">
        <v>0</v>
      </c>
      <c r="O25" s="12" t="n">
        <v>37062</v>
      </c>
      <c r="P25" s="0" t="n">
        <v>25000</v>
      </c>
    </row>
    <row r="26" customFormat="false" ht="12.75" hidden="false" customHeight="false" outlineLevel="0" collapsed="false">
      <c r="I26" s="0" t="s">
        <v>29</v>
      </c>
      <c r="O26" s="12" t="n">
        <v>37063</v>
      </c>
      <c r="P26" s="0" t="n">
        <v>25000</v>
      </c>
    </row>
    <row r="27" customFormat="false" ht="12.75" hidden="false" customHeight="false" outlineLevel="0" collapsed="false">
      <c r="C27" s="32"/>
      <c r="D27" s="17"/>
      <c r="I27" s="0" t="n">
        <v>3.397</v>
      </c>
      <c r="J27" s="0" t="n">
        <v>-3.397</v>
      </c>
      <c r="O27" s="12" t="n">
        <v>37064</v>
      </c>
      <c r="P27" s="0" t="n">
        <v>25000</v>
      </c>
    </row>
    <row r="28" customFormat="false" ht="12.75" hidden="false" customHeight="false" outlineLevel="0" collapsed="false">
      <c r="A28" s="0" t="n">
        <v>1</v>
      </c>
      <c r="B28" s="0" t="n">
        <v>3.446</v>
      </c>
      <c r="C28" s="33" t="n">
        <v>37226</v>
      </c>
      <c r="D28" s="0" t="n">
        <v>2.96</v>
      </c>
      <c r="E28" s="34"/>
      <c r="H28" s="0" t="n">
        <v>2.552</v>
      </c>
      <c r="I28" s="0" t="n">
        <v>2.369</v>
      </c>
      <c r="J28" s="0" t="e">
        <f aca="false"/>
        <v>#REF!</v>
      </c>
      <c r="O28" s="12" t="n">
        <v>37065</v>
      </c>
      <c r="P28" s="0" t="n">
        <v>25000</v>
      </c>
    </row>
    <row r="29" customFormat="false" ht="12.75" hidden="false" customHeight="false" outlineLevel="0" collapsed="false">
      <c r="A29" s="0" t="n">
        <v>2</v>
      </c>
      <c r="B29" s="0" t="n">
        <v>3.397</v>
      </c>
      <c r="C29" s="33" t="n">
        <v>37257</v>
      </c>
      <c r="D29" s="0" t="n">
        <v>3.132</v>
      </c>
      <c r="E29" s="34" t="n">
        <v>0.172</v>
      </c>
      <c r="H29" s="0" t="n">
        <v>2.902</v>
      </c>
      <c r="I29" s="0" t="n">
        <v>2.753</v>
      </c>
      <c r="J29" s="0" t="e">
        <f aca="false"/>
        <v>#REF!</v>
      </c>
      <c r="L29" s="0" t="n">
        <v>217000</v>
      </c>
      <c r="O29" s="12" t="n">
        <v>37066</v>
      </c>
      <c r="P29" s="0" t="n">
        <v>25000</v>
      </c>
    </row>
    <row r="30" customFormat="false" ht="12.75" hidden="false" customHeight="false" outlineLevel="0" collapsed="false">
      <c r="A30" s="0" t="n">
        <v>3</v>
      </c>
      <c r="B30" s="0" t="n">
        <v>3.422</v>
      </c>
      <c r="C30" s="33" t="n">
        <v>37288</v>
      </c>
      <c r="D30" s="0" t="n">
        <v>3.147</v>
      </c>
      <c r="E30" s="34" t="n">
        <v>0.0149999999999997</v>
      </c>
      <c r="F30" s="35"/>
      <c r="G30" s="10"/>
      <c r="H30" s="0" t="n">
        <v>3.252</v>
      </c>
      <c r="I30" s="0" t="n">
        <v>3.125</v>
      </c>
      <c r="J30" s="0" t="n">
        <v>-0.165</v>
      </c>
      <c r="O30" s="12" t="n">
        <v>37067</v>
      </c>
      <c r="P30" s="0" t="n">
        <v>25000</v>
      </c>
    </row>
    <row r="31" customFormat="false" ht="12.75" hidden="false" customHeight="false" outlineLevel="0" collapsed="false">
      <c r="B31" s="0" t="n">
        <v>3.42166666666667</v>
      </c>
      <c r="C31" s="33" t="n">
        <v>37316</v>
      </c>
      <c r="D31" s="0" t="n">
        <v>3.112</v>
      </c>
      <c r="E31" s="34" t="n">
        <v>-0.0349999999999997</v>
      </c>
      <c r="H31" s="0" t="n">
        <v>3.422</v>
      </c>
      <c r="I31" s="0" t="n">
        <v>3.303</v>
      </c>
      <c r="J31" s="0" t="n">
        <v>-0.171</v>
      </c>
      <c r="M31" s="0" t="n">
        <v>105000</v>
      </c>
      <c r="O31" s="12" t="n">
        <v>37068</v>
      </c>
      <c r="P31" s="0" t="n">
        <v>25000</v>
      </c>
    </row>
    <row r="32" customFormat="false" ht="12.75" hidden="false" customHeight="false" outlineLevel="0" collapsed="false">
      <c r="C32" s="33" t="n">
        <v>37347</v>
      </c>
      <c r="D32" s="0" t="n">
        <v>3.057</v>
      </c>
      <c r="E32" s="34" t="n">
        <v>-0.0550000000000002</v>
      </c>
      <c r="H32" s="0" t="n">
        <v>3.394</v>
      </c>
      <c r="I32" s="0" t="n">
        <v>3.28</v>
      </c>
      <c r="J32" s="0" t="n">
        <v>-0.133</v>
      </c>
      <c r="O32" s="12" t="n">
        <v>37069</v>
      </c>
      <c r="P32" s="0" t="n">
        <v>25000</v>
      </c>
    </row>
    <row r="33" customFormat="false" ht="12.75" hidden="false" customHeight="false" outlineLevel="0" collapsed="false">
      <c r="C33" s="33" t="n">
        <v>37377</v>
      </c>
      <c r="D33" s="0" t="n">
        <v>3.092</v>
      </c>
      <c r="E33" s="34" t="n">
        <v>0.0350000000000001</v>
      </c>
      <c r="H33" s="0" t="n">
        <v>3.325</v>
      </c>
      <c r="I33" s="0" t="n">
        <v>3.215</v>
      </c>
      <c r="J33" s="0" t="n">
        <v>-0.103</v>
      </c>
      <c r="O33" s="12" t="n">
        <v>37070</v>
      </c>
      <c r="P33" s="0" t="n">
        <v>25000</v>
      </c>
    </row>
    <row r="34" customFormat="false" ht="12.75" hidden="false" customHeight="false" outlineLevel="0" collapsed="false">
      <c r="C34" s="33" t="n">
        <v>37408</v>
      </c>
      <c r="D34" s="0" t="n">
        <v>3.137</v>
      </c>
      <c r="E34" s="34" t="n">
        <v>0.0449999999999999</v>
      </c>
      <c r="F34" s="35" t="n">
        <v>3.08775</v>
      </c>
      <c r="G34" s="0" t="n">
        <v>0.12775</v>
      </c>
      <c r="H34" s="0" t="n">
        <v>3.232</v>
      </c>
      <c r="I34" s="0" t="n">
        <v>3.125</v>
      </c>
      <c r="J34" s="0" t="n">
        <v>-0.0680000000000001</v>
      </c>
      <c r="L34" s="0" t="n">
        <v>122</v>
      </c>
      <c r="O34" s="12" t="n">
        <v>37071</v>
      </c>
      <c r="P34" s="0" t="n">
        <v>25000</v>
      </c>
    </row>
    <row r="35" customFormat="false" ht="12.75" hidden="false" customHeight="false" outlineLevel="0" collapsed="false">
      <c r="C35" s="33" t="n">
        <v>37438</v>
      </c>
      <c r="D35" s="0" t="n">
        <v>3.177</v>
      </c>
      <c r="E35" s="34" t="n">
        <v>0.04</v>
      </c>
      <c r="F35" s="10"/>
      <c r="H35" s="0" t="n">
        <v>3.252</v>
      </c>
      <c r="I35" s="0" t="n">
        <v>3.15</v>
      </c>
      <c r="J35" s="0" t="n">
        <v>-0.0579999999999998</v>
      </c>
      <c r="O35" s="12" t="n">
        <v>37072</v>
      </c>
      <c r="P35" s="0" t="n">
        <v>25000</v>
      </c>
    </row>
    <row r="36" customFormat="false" ht="12.75" hidden="false" customHeight="false" outlineLevel="0" collapsed="false">
      <c r="C36" s="33" t="n">
        <v>37469</v>
      </c>
      <c r="D36" s="0" t="n">
        <v>3.217</v>
      </c>
      <c r="E36" s="34" t="n">
        <v>0.04</v>
      </c>
      <c r="F36" s="10"/>
      <c r="H36" s="0" t="n">
        <v>3.285</v>
      </c>
      <c r="I36" s="0" t="n">
        <v>3.185</v>
      </c>
      <c r="J36" s="0" t="n">
        <v>-0.048</v>
      </c>
      <c r="L36" s="0" t="s">
        <v>30</v>
      </c>
      <c r="P36" s="0" t="n">
        <v>25000</v>
      </c>
    </row>
    <row r="37" customFormat="false" ht="12.75" hidden="false" customHeight="false" outlineLevel="0" collapsed="false">
      <c r="C37" s="33" t="n">
        <v>37500</v>
      </c>
      <c r="D37" s="0" t="n">
        <v>3.222</v>
      </c>
      <c r="E37" s="34" t="n">
        <v>0.00499999999999989</v>
      </c>
      <c r="F37" s="10"/>
      <c r="H37" s="0" t="n">
        <v>3.325</v>
      </c>
      <c r="I37" s="0" t="n">
        <v>3.225</v>
      </c>
      <c r="J37" s="0" t="n">
        <v>-0.048</v>
      </c>
    </row>
    <row r="38" customFormat="false" ht="12.75" hidden="false" customHeight="false" outlineLevel="0" collapsed="false">
      <c r="C38" s="33" t="n">
        <v>37530</v>
      </c>
      <c r="D38" s="0" t="n">
        <v>3.262</v>
      </c>
      <c r="E38" s="34" t="n">
        <v>0.04</v>
      </c>
      <c r="F38" s="10"/>
      <c r="H38" s="0" t="n">
        <v>3.362</v>
      </c>
      <c r="I38" s="0" t="n">
        <v>3.262</v>
      </c>
      <c r="J38" s="0" t="n">
        <v>-0.0449999999999999</v>
      </c>
    </row>
    <row r="39" customFormat="false" ht="12.75" hidden="false" customHeight="false" outlineLevel="0" collapsed="false">
      <c r="C39" s="33" t="n">
        <v>37561</v>
      </c>
      <c r="D39" s="0" t="n">
        <v>3.459</v>
      </c>
      <c r="E39" s="34" t="n">
        <v>0.197</v>
      </c>
      <c r="F39" s="10"/>
      <c r="H39" s="0" t="n">
        <v>3.36</v>
      </c>
      <c r="I39" s="0" t="n">
        <v>3.26</v>
      </c>
      <c r="J39" s="0" t="n">
        <v>-0.0379999999999998</v>
      </c>
    </row>
    <row r="40" customFormat="false" ht="12.75" hidden="false" customHeight="false" outlineLevel="0" collapsed="false">
      <c r="C40" s="33" t="n">
        <v>37591</v>
      </c>
      <c r="D40" s="0" t="n">
        <v>3.654</v>
      </c>
      <c r="E40" s="34" t="n">
        <v>0.195</v>
      </c>
      <c r="F40" s="35" t="n">
        <v>3.16628571428571</v>
      </c>
      <c r="G40" s="10" t="n">
        <v>0.0785357142857142</v>
      </c>
      <c r="H40" s="0" t="n">
        <v>3.372</v>
      </c>
      <c r="I40" s="0" t="n">
        <v>3.272</v>
      </c>
      <c r="J40" s="0" t="n">
        <v>-0.00999999999999979</v>
      </c>
    </row>
    <row r="41" customFormat="false" ht="12.75" hidden="false" customHeight="false" outlineLevel="0" collapsed="false">
      <c r="C41" s="33"/>
      <c r="E41" s="34"/>
      <c r="H41" s="0" t="n">
        <v>3.532</v>
      </c>
      <c r="I41" s="0" t="n">
        <v>3.432</v>
      </c>
      <c r="J41" s="0" t="n">
        <v>0.0270000000000001</v>
      </c>
    </row>
    <row r="42" customFormat="false" ht="12.75" hidden="false" customHeight="false" outlineLevel="0" collapsed="false">
      <c r="C42" s="33"/>
      <c r="E42" s="34"/>
      <c r="F42" s="36" t="n">
        <v>3.22233333333333</v>
      </c>
      <c r="G42" s="16" t="n">
        <v>0.134583333333334</v>
      </c>
      <c r="H42" s="0" t="n">
        <v>3.695</v>
      </c>
      <c r="I42" s="0" t="n">
        <v>3.595</v>
      </c>
      <c r="J42" s="0" t="n">
        <v>0.0589999999999997</v>
      </c>
    </row>
    <row r="43" customFormat="false" ht="12.75" hidden="false" customHeight="false" outlineLevel="0" collapsed="false">
      <c r="C43" s="33"/>
    </row>
  </sheetData>
  <mergeCells count="1">
    <mergeCell ref="G19:H19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42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C6" activeCellId="0" sqref="C6"/>
    </sheetView>
  </sheetViews>
  <sheetFormatPr defaultColWidth="9.13671875" defaultRowHeight="11.25" customHeight="true" zeroHeight="false" outlineLevelRow="0" outlineLevelCol="0"/>
  <cols>
    <col collapsed="false" customWidth="false" hidden="false" outlineLevel="0" max="1" min="1" style="37" width="9.14"/>
    <col collapsed="false" customWidth="true" hidden="false" outlineLevel="0" max="2" min="2" style="38" width="6.99"/>
    <col collapsed="false" customWidth="true" hidden="false" outlineLevel="0" max="3" min="3" style="37" width="8.7"/>
    <col collapsed="false" customWidth="true" hidden="false" outlineLevel="0" max="4" min="4" style="39" width="14.41"/>
    <col collapsed="false" customWidth="true" hidden="false" outlineLevel="0" max="5" min="5" style="37" width="3.14"/>
    <col collapsed="false" customWidth="true" hidden="false" outlineLevel="0" max="6" min="6" style="40" width="9.85"/>
    <col collapsed="false" customWidth="false" hidden="false" outlineLevel="0" max="7" min="7" style="37" width="9.14"/>
    <col collapsed="false" customWidth="true" hidden="false" outlineLevel="0" max="8" min="8" style="41" width="12.56"/>
    <col collapsed="false" customWidth="true" hidden="false" outlineLevel="0" max="9" min="9" style="37" width="2.84"/>
    <col collapsed="false" customWidth="true" hidden="false" outlineLevel="0" max="10" min="10" style="42" width="14.85"/>
    <col collapsed="false" customWidth="true" hidden="false" outlineLevel="0" max="11" min="11" style="37" width="2.13"/>
    <col collapsed="false" customWidth="true" hidden="false" outlineLevel="0" max="12" min="12" style="37" width="21.7"/>
    <col collapsed="false" customWidth="false" hidden="false" outlineLevel="0" max="257" min="13" style="37" width="9.14"/>
  </cols>
  <sheetData>
    <row r="1" customFormat="false" ht="11.25" hidden="false" customHeight="false" outlineLevel="0" collapsed="false">
      <c r="B1" s="38" t="s">
        <v>31</v>
      </c>
      <c r="F1" s="40" t="s">
        <v>32</v>
      </c>
    </row>
    <row r="2" customFormat="false" ht="11.25" hidden="false" customHeight="false" outlineLevel="0" collapsed="false">
      <c r="A2" s="37" t="s">
        <v>33</v>
      </c>
      <c r="B2" s="43"/>
      <c r="C2" s="44"/>
      <c r="D2" s="45"/>
      <c r="E2" s="46"/>
      <c r="F2" s="43"/>
      <c r="G2" s="44"/>
      <c r="H2" s="47"/>
      <c r="J2" s="48" t="n">
        <f aca="false">IF(F2&lt;1,(C2-C31)*(B2*10000),(C31-G2)*(F2*10000))</f>
        <v>-0</v>
      </c>
      <c r="L2" s="49" t="s">
        <v>0</v>
      </c>
    </row>
    <row r="3" customFormat="false" ht="11.25" hidden="false" customHeight="false" outlineLevel="0" collapsed="false">
      <c r="A3" s="37" t="n">
        <f aca="false">POSTION!$E$24</f>
        <v>21</v>
      </c>
      <c r="B3" s="57" t="n">
        <v>23.75</v>
      </c>
      <c r="C3" s="58" t="n">
        <v>3.29</v>
      </c>
      <c r="D3" s="59" t="n">
        <f aca="false">B3*C3*10000</f>
        <v>781375</v>
      </c>
      <c r="E3" s="46"/>
      <c r="F3" s="60"/>
      <c r="G3" s="58"/>
      <c r="H3" s="61" t="n">
        <f aca="false">F3*G3*10000</f>
        <v>0</v>
      </c>
      <c r="J3" s="55"/>
      <c r="L3" s="56" t="s">
        <v>34</v>
      </c>
    </row>
    <row r="4" customFormat="false" ht="11.25" hidden="false" customHeight="false" outlineLevel="0" collapsed="false">
      <c r="B4" s="57" t="n">
        <v>23.75</v>
      </c>
      <c r="C4" s="58" t="n">
        <v>3.3</v>
      </c>
      <c r="D4" s="59" t="n">
        <f aca="false">B4*C4*10000</f>
        <v>783750</v>
      </c>
      <c r="E4" s="46"/>
      <c r="F4" s="60"/>
      <c r="G4" s="58"/>
      <c r="H4" s="61" t="n">
        <f aca="false">F4*G4*10000</f>
        <v>0</v>
      </c>
      <c r="J4" s="62" t="n">
        <f aca="false">F37</f>
        <v>-19724.9999999998</v>
      </c>
      <c r="K4" s="63"/>
      <c r="L4" s="46" t="s">
        <v>35</v>
      </c>
    </row>
    <row r="5" customFormat="false" ht="11.25" hidden="false" customHeight="false" outlineLevel="0" collapsed="false">
      <c r="B5" s="57" t="n">
        <v>15.5</v>
      </c>
      <c r="C5" s="58" t="n">
        <v>3.31</v>
      </c>
      <c r="D5" s="59" t="n">
        <f aca="false">B5*C5*10000</f>
        <v>513050</v>
      </c>
      <c r="E5" s="46"/>
      <c r="F5" s="60"/>
      <c r="G5" s="58"/>
      <c r="H5" s="61" t="n">
        <f aca="false">F5*G5*10000</f>
        <v>0</v>
      </c>
      <c r="J5" s="63"/>
      <c r="K5" s="64"/>
      <c r="L5" s="46"/>
    </row>
    <row r="6" customFormat="false" ht="12" hidden="false" customHeight="false" outlineLevel="0" collapsed="false">
      <c r="B6" s="57"/>
      <c r="C6" s="58"/>
      <c r="D6" s="59" t="n">
        <f aca="false">B6*C6*10000</f>
        <v>0</v>
      </c>
      <c r="E6" s="46"/>
      <c r="F6" s="60"/>
      <c r="G6" s="58"/>
      <c r="H6" s="61" t="n">
        <f aca="false">F6*G6*10000</f>
        <v>0</v>
      </c>
      <c r="J6" s="65" t="n">
        <f aca="false">J2+J3+J4</f>
        <v>-19724.9999999998</v>
      </c>
      <c r="K6" s="64"/>
      <c r="L6" s="46" t="s">
        <v>36</v>
      </c>
    </row>
    <row r="7" customFormat="false" ht="12" hidden="false" customHeight="false" outlineLevel="0" collapsed="false">
      <c r="B7" s="57"/>
      <c r="C7" s="58"/>
      <c r="D7" s="59" t="n">
        <f aca="false">B7*C7*10000</f>
        <v>0</v>
      </c>
      <c r="E7" s="46"/>
      <c r="F7" s="60"/>
      <c r="G7" s="58"/>
      <c r="H7" s="61" t="n">
        <f aca="false">F7*G7*10000</f>
        <v>0</v>
      </c>
      <c r="J7" s="63"/>
    </row>
    <row r="8" customFormat="false" ht="11.25" hidden="false" customHeight="false" outlineLevel="0" collapsed="false">
      <c r="B8" s="60"/>
      <c r="C8" s="58"/>
      <c r="D8" s="59" t="n">
        <f aca="false">B8*C8*10000</f>
        <v>0</v>
      </c>
      <c r="E8" s="46"/>
      <c r="F8" s="60"/>
      <c r="G8" s="58"/>
      <c r="H8" s="61" t="n">
        <f aca="false">F8*G8*10000</f>
        <v>0</v>
      </c>
      <c r="J8" s="63"/>
      <c r="L8" s="46"/>
    </row>
    <row r="9" customFormat="false" ht="11.25" hidden="false" customHeight="false" outlineLevel="0" collapsed="false">
      <c r="B9" s="60"/>
      <c r="C9" s="58"/>
      <c r="D9" s="59" t="n">
        <f aca="false">B9*C9*10000</f>
        <v>0</v>
      </c>
      <c r="E9" s="46"/>
      <c r="F9" s="60"/>
      <c r="G9" s="58"/>
      <c r="H9" s="61" t="n">
        <f aca="false">F9*G9*10000</f>
        <v>0</v>
      </c>
      <c r="J9" s="66" t="n">
        <f aca="false">F30-B2+F2</f>
        <v>-63</v>
      </c>
      <c r="L9" s="37" t="s">
        <v>1</v>
      </c>
    </row>
    <row r="10" customFormat="false" ht="11.25" hidden="false" customHeight="false" outlineLevel="0" collapsed="false">
      <c r="B10" s="60"/>
      <c r="C10" s="58"/>
      <c r="D10" s="59" t="n">
        <f aca="false">B10*C10*10000</f>
        <v>0</v>
      </c>
      <c r="E10" s="46"/>
      <c r="F10" s="60"/>
      <c r="G10" s="58"/>
      <c r="H10" s="61" t="n">
        <f aca="false">F10*G10*10000</f>
        <v>0</v>
      </c>
      <c r="J10" s="67"/>
      <c r="L10" s="37" t="s">
        <v>2</v>
      </c>
    </row>
    <row r="11" customFormat="false" ht="11.25" hidden="false" customHeight="false" outlineLevel="0" collapsed="false">
      <c r="B11" s="60"/>
      <c r="C11" s="58"/>
      <c r="D11" s="59" t="n">
        <f aca="false">B11*C11*10000</f>
        <v>0</v>
      </c>
      <c r="E11" s="46"/>
      <c r="F11" s="60"/>
      <c r="G11" s="58"/>
      <c r="H11" s="61" t="n">
        <f aca="false">F11*G11*10000</f>
        <v>0</v>
      </c>
      <c r="J11" s="68" t="n">
        <f aca="false">J9-J10</f>
        <v>-63</v>
      </c>
      <c r="L11" s="37" t="s">
        <v>37</v>
      </c>
    </row>
    <row r="12" customFormat="false" ht="11.25" hidden="false" customHeight="false" outlineLevel="0" collapsed="false">
      <c r="B12" s="60"/>
      <c r="C12" s="58"/>
      <c r="D12" s="59" t="n">
        <f aca="false">B12*C12*10000</f>
        <v>0</v>
      </c>
      <c r="E12" s="46"/>
      <c r="F12" s="60"/>
      <c r="G12" s="58"/>
      <c r="H12" s="61" t="n">
        <f aca="false">F12*G12*10000</f>
        <v>0</v>
      </c>
      <c r="J12" s="69"/>
    </row>
    <row r="13" customFormat="false" ht="11.25" hidden="false" customHeight="false" outlineLevel="0" collapsed="false">
      <c r="B13" s="60"/>
      <c r="C13" s="58"/>
      <c r="D13" s="59" t="n">
        <f aca="false">B13*C13*10000</f>
        <v>0</v>
      </c>
      <c r="E13" s="46"/>
      <c r="F13" s="60"/>
      <c r="G13" s="58"/>
      <c r="H13" s="61" t="n">
        <f aca="false">F13*G13*10000</f>
        <v>0</v>
      </c>
      <c r="J13" s="69"/>
    </row>
    <row r="14" customFormat="false" ht="11.25" hidden="false" customHeight="false" outlineLevel="0" collapsed="false">
      <c r="B14" s="60"/>
      <c r="C14" s="58"/>
      <c r="D14" s="59" t="n">
        <f aca="false">B14*C14*10000</f>
        <v>0</v>
      </c>
      <c r="E14" s="46"/>
      <c r="F14" s="60"/>
      <c r="G14" s="58"/>
      <c r="H14" s="61" t="n">
        <f aca="false">F14*G14*10000</f>
        <v>0</v>
      </c>
      <c r="J14" s="69"/>
    </row>
    <row r="15" customFormat="false" ht="11.25" hidden="false" customHeight="false" outlineLevel="0" collapsed="false">
      <c r="B15" s="60"/>
      <c r="C15" s="58"/>
      <c r="D15" s="59" t="n">
        <f aca="false">B15*C15*10000</f>
        <v>0</v>
      </c>
      <c r="E15" s="46"/>
      <c r="F15" s="60"/>
      <c r="G15" s="58"/>
      <c r="H15" s="61" t="n">
        <f aca="false">F15*G15*10000</f>
        <v>0</v>
      </c>
      <c r="J15" s="69"/>
      <c r="M15" s="37" t="n">
        <v>31</v>
      </c>
    </row>
    <row r="16" customFormat="false" ht="11.25" hidden="false" customHeight="false" outlineLevel="0" collapsed="false">
      <c r="B16" s="60"/>
      <c r="C16" s="58"/>
      <c r="D16" s="59" t="n">
        <f aca="false">B16*C16*10000</f>
        <v>0</v>
      </c>
      <c r="E16" s="46"/>
      <c r="F16" s="60"/>
      <c r="G16" s="58"/>
      <c r="H16" s="61" t="n">
        <f aca="false">F16*G16*10000</f>
        <v>0</v>
      </c>
      <c r="J16" s="69"/>
      <c r="L16" s="37" t="n">
        <v>2500</v>
      </c>
      <c r="M16" s="89" t="n">
        <f aca="false">L16*$M$15/10000</f>
        <v>7.75</v>
      </c>
    </row>
    <row r="17" customFormat="false" ht="11.25" hidden="false" customHeight="false" outlineLevel="0" collapsed="false">
      <c r="B17" s="60"/>
      <c r="C17" s="58"/>
      <c r="D17" s="59" t="n">
        <f aca="false">B17*C17*10000</f>
        <v>0</v>
      </c>
      <c r="E17" s="46"/>
      <c r="F17" s="60"/>
      <c r="G17" s="58"/>
      <c r="H17" s="61" t="n">
        <f aca="false">F17*G17*10000</f>
        <v>0</v>
      </c>
      <c r="J17" s="69"/>
      <c r="L17" s="37" t="n">
        <v>5000</v>
      </c>
      <c r="M17" s="89" t="n">
        <f aca="false">L17*$M$15/10000</f>
        <v>15.5</v>
      </c>
    </row>
    <row r="18" customFormat="false" ht="11.25" hidden="false" customHeight="false" outlineLevel="0" collapsed="false">
      <c r="B18" s="60"/>
      <c r="C18" s="58"/>
      <c r="D18" s="59" t="n">
        <f aca="false">B18*C18*10000</f>
        <v>0</v>
      </c>
      <c r="E18" s="46"/>
      <c r="F18" s="60"/>
      <c r="G18" s="58"/>
      <c r="H18" s="61" t="n">
        <f aca="false">F18*G18*10000</f>
        <v>0</v>
      </c>
      <c r="J18" s="69"/>
      <c r="L18" s="37" t="n">
        <v>7500</v>
      </c>
      <c r="M18" s="89" t="n">
        <f aca="false">L18*$M$15/10000</f>
        <v>23.25</v>
      </c>
    </row>
    <row r="19" customFormat="false" ht="11.25" hidden="false" customHeight="false" outlineLevel="0" collapsed="false">
      <c r="B19" s="60"/>
      <c r="C19" s="58"/>
      <c r="D19" s="59" t="n">
        <f aca="false">B19*C19*10000</f>
        <v>0</v>
      </c>
      <c r="E19" s="46"/>
      <c r="F19" s="60"/>
      <c r="G19" s="58"/>
      <c r="H19" s="61" t="n">
        <f aca="false">F19*G19*10000</f>
        <v>0</v>
      </c>
      <c r="J19" s="69"/>
      <c r="L19" s="37" t="n">
        <v>10000</v>
      </c>
      <c r="M19" s="89" t="n">
        <f aca="false">L19*$M$15/10000</f>
        <v>31</v>
      </c>
    </row>
    <row r="20" customFormat="false" ht="11.25" hidden="false" customHeight="false" outlineLevel="0" collapsed="false">
      <c r="B20" s="60"/>
      <c r="C20" s="58"/>
      <c r="D20" s="59" t="n">
        <f aca="false">B20*C20*10000</f>
        <v>0</v>
      </c>
      <c r="E20" s="46"/>
      <c r="F20" s="60"/>
      <c r="G20" s="58"/>
      <c r="H20" s="61" t="n">
        <f aca="false">F20*G20*10000</f>
        <v>0</v>
      </c>
      <c r="J20" s="69"/>
      <c r="L20" s="37" t="n">
        <v>12500</v>
      </c>
      <c r="M20" s="89" t="n">
        <f aca="false">L20*$M$15/10000</f>
        <v>38.75</v>
      </c>
    </row>
    <row r="21" customFormat="false" ht="11.25" hidden="false" customHeight="false" outlineLevel="0" collapsed="false">
      <c r="B21" s="60"/>
      <c r="C21" s="58"/>
      <c r="D21" s="59" t="n">
        <f aca="false">B21*C21*10000</f>
        <v>0</v>
      </c>
      <c r="E21" s="46"/>
      <c r="F21" s="60"/>
      <c r="G21" s="58"/>
      <c r="H21" s="61" t="n">
        <f aca="false">F21*G21*10000</f>
        <v>0</v>
      </c>
      <c r="J21" s="69"/>
      <c r="L21" s="37" t="n">
        <v>15000</v>
      </c>
      <c r="M21" s="89" t="n">
        <f aca="false">L21*$M$15/10000</f>
        <v>46.5</v>
      </c>
    </row>
    <row r="22" customFormat="false" ht="11.25" hidden="false" customHeight="false" outlineLevel="0" collapsed="false">
      <c r="B22" s="60"/>
      <c r="C22" s="58"/>
      <c r="D22" s="59" t="n">
        <f aca="false">B22*C22*10000</f>
        <v>0</v>
      </c>
      <c r="E22" s="46"/>
      <c r="F22" s="60"/>
      <c r="G22" s="58"/>
      <c r="H22" s="61" t="n">
        <f aca="false">F22*G22*10000</f>
        <v>0</v>
      </c>
      <c r="J22" s="69"/>
      <c r="L22" s="37" t="n">
        <v>17500</v>
      </c>
      <c r="M22" s="89" t="n">
        <f aca="false">L22*$M$15/10000</f>
        <v>54.25</v>
      </c>
    </row>
    <row r="23" customFormat="false" ht="11.25" hidden="false" customHeight="false" outlineLevel="0" collapsed="false">
      <c r="B23" s="60"/>
      <c r="C23" s="58"/>
      <c r="D23" s="59" t="n">
        <f aca="false">B23*C23*10000</f>
        <v>0</v>
      </c>
      <c r="E23" s="46"/>
      <c r="F23" s="60"/>
      <c r="G23" s="58"/>
      <c r="H23" s="61" t="n">
        <f aca="false">F23*G23*10000</f>
        <v>0</v>
      </c>
      <c r="J23" s="69"/>
      <c r="L23" s="37" t="n">
        <v>20000</v>
      </c>
      <c r="M23" s="37" t="n">
        <f aca="false">L23*$M$15/10000</f>
        <v>62</v>
      </c>
    </row>
    <row r="24" customFormat="false" ht="11.25" hidden="false" customHeight="false" outlineLevel="0" collapsed="false">
      <c r="B24" s="60"/>
      <c r="C24" s="58"/>
      <c r="D24" s="59" t="n">
        <f aca="false">B24*C24*10000</f>
        <v>0</v>
      </c>
      <c r="E24" s="46"/>
      <c r="F24" s="60"/>
      <c r="G24" s="58"/>
      <c r="H24" s="61" t="n">
        <f aca="false">F24*G24*10000</f>
        <v>0</v>
      </c>
      <c r="J24" s="69"/>
    </row>
    <row r="25" customFormat="false" ht="11.25" hidden="false" customHeight="false" outlineLevel="0" collapsed="false">
      <c r="B25" s="60"/>
      <c r="C25" s="58"/>
      <c r="D25" s="59" t="n">
        <f aca="false">B25*C25*10000</f>
        <v>0</v>
      </c>
      <c r="E25" s="46"/>
      <c r="F25" s="60"/>
      <c r="G25" s="58"/>
      <c r="H25" s="61" t="n">
        <f aca="false">F25*G25*10000</f>
        <v>0</v>
      </c>
      <c r="J25" s="69"/>
    </row>
    <row r="26" customFormat="false" ht="11.25" hidden="false" customHeight="false" outlineLevel="0" collapsed="false">
      <c r="F26" s="38"/>
      <c r="H26" s="70"/>
      <c r="J26" s="69"/>
      <c r="K26" s="71"/>
      <c r="L26" s="71"/>
    </row>
    <row r="27" customFormat="false" ht="11.25" hidden="false" customHeight="false" outlineLevel="0" collapsed="false">
      <c r="B27" s="60" t="n">
        <f aca="false">SUM(B3:B26)</f>
        <v>63</v>
      </c>
      <c r="C27" s="72" t="n">
        <f aca="false">IF(B27=0,0,D27/B27/10000)</f>
        <v>3.29869047619048</v>
      </c>
      <c r="D27" s="59" t="n">
        <f aca="false">SUM(D2:D26)</f>
        <v>2078175</v>
      </c>
      <c r="F27" s="60" t="n">
        <f aca="false">SUM(F3:F26)</f>
        <v>0</v>
      </c>
      <c r="G27" s="58" t="n">
        <f aca="false">IF(F27=0,0,H27/F27/10000)</f>
        <v>0</v>
      </c>
      <c r="H27" s="61" t="n">
        <f aca="false">SUM(H2:H26)</f>
        <v>0</v>
      </c>
      <c r="K27" s="71"/>
      <c r="L27" s="71"/>
      <c r="M27" s="46"/>
      <c r="N27" s="46"/>
    </row>
    <row r="28" customFormat="false" ht="11.25" hidden="false" customHeight="false" outlineLevel="0" collapsed="false">
      <c r="K28" s="71"/>
      <c r="L28" s="71"/>
      <c r="M28" s="46"/>
      <c r="N28" s="46"/>
    </row>
    <row r="29" customFormat="false" ht="11.25" hidden="false" customHeight="false" outlineLevel="0" collapsed="false">
      <c r="F29" s="40" t="n">
        <f aca="false">-B27+F27</f>
        <v>-63</v>
      </c>
      <c r="G29" s="37" t="n">
        <f aca="false">IF(F29&lt;0,C27,G27)</f>
        <v>3.29869047619048</v>
      </c>
      <c r="H29" s="41" t="n">
        <f aca="false">IF(F29&lt;0,(G29-C31)*ABS(F29)*10000,-1*(G29-C31)*ABS(F29)*10000)</f>
        <v>-19724.9999999998</v>
      </c>
      <c r="K29" s="71"/>
      <c r="L29" s="71"/>
      <c r="M29" s="46"/>
      <c r="N29" s="46"/>
    </row>
    <row r="30" customFormat="false" ht="11.25" hidden="false" customHeight="false" outlineLevel="0" collapsed="false">
      <c r="F30" s="73" t="n">
        <f aca="false">-B27+F27</f>
        <v>-63</v>
      </c>
      <c r="G30" s="37" t="n">
        <f aca="false">IF(F30&lt;0,(C27+(J26/(ABS(F30)*10000))),IF(F30=0,0,(G27-(J26/(ABS(F30)*10000)))))</f>
        <v>3.29869047619048</v>
      </c>
      <c r="H30" s="41" t="n">
        <f aca="false">IF(F30&lt;0,(G30-C31)*ABS(F30)*10000,IF(F30=0,0,-1*(G30-C31)*ABS(F30)*10000))</f>
        <v>-19724.9999999998</v>
      </c>
      <c r="K30" s="71"/>
      <c r="L30" s="71"/>
      <c r="M30" s="46"/>
      <c r="N30" s="46"/>
    </row>
    <row r="31" customFormat="false" ht="11.25" hidden="false" customHeight="false" outlineLevel="0" collapsed="false">
      <c r="C31" s="37" t="n">
        <v>3.33</v>
      </c>
      <c r="D31" s="39" t="s">
        <v>40</v>
      </c>
      <c r="J31" s="74"/>
      <c r="K31" s="75"/>
      <c r="L31" s="75"/>
      <c r="M31" s="46"/>
      <c r="N31" s="46"/>
    </row>
    <row r="32" customFormat="false" ht="11.25" hidden="false" customHeight="false" outlineLevel="0" collapsed="false">
      <c r="F32" s="76" t="n">
        <f aca="false">MIN($B$27,$F$27)*($C$27-$G$27)*10000</f>
        <v>0</v>
      </c>
      <c r="G32" s="77"/>
      <c r="H32" s="77" t="s">
        <v>41</v>
      </c>
      <c r="M32" s="46"/>
      <c r="N32" s="46"/>
    </row>
    <row r="33" customFormat="false" ht="11.25" hidden="false" customHeight="false" outlineLevel="0" collapsed="false">
      <c r="F33" s="76"/>
      <c r="G33" s="77"/>
      <c r="H33" s="77"/>
    </row>
    <row r="34" customFormat="false" ht="11.25" hidden="false" customHeight="false" outlineLevel="0" collapsed="false">
      <c r="F34" s="76" t="n">
        <f aca="false">$H$29</f>
        <v>-19724.9999999998</v>
      </c>
      <c r="G34" s="77"/>
      <c r="H34" s="77" t="s">
        <v>42</v>
      </c>
    </row>
    <row r="35" customFormat="false" ht="11.25" hidden="false" customHeight="false" outlineLevel="0" collapsed="false">
      <c r="A35" s="49"/>
      <c r="F35" s="62" t="n">
        <f aca="false">$H$30</f>
        <v>-19724.9999999998</v>
      </c>
      <c r="G35" s="51"/>
      <c r="H35" s="51" t="s">
        <v>43</v>
      </c>
    </row>
    <row r="36" customFormat="false" ht="11.25" hidden="false" customHeight="false" outlineLevel="0" collapsed="false">
      <c r="F36" s="42"/>
      <c r="H36" s="37"/>
    </row>
    <row r="37" customFormat="false" ht="11.25" hidden="false" customHeight="false" outlineLevel="0" collapsed="false">
      <c r="F37" s="78" t="n">
        <f aca="false">F32+F34</f>
        <v>-19724.9999999998</v>
      </c>
      <c r="G37" s="79"/>
      <c r="H37" s="79" t="s">
        <v>44</v>
      </c>
    </row>
    <row r="39" customFormat="false" ht="11.25" hidden="false" customHeight="false" outlineLevel="0" collapsed="false">
      <c r="B39" s="40"/>
    </row>
    <row r="42" customFormat="false" ht="11.25" hidden="false" customHeight="false" outlineLevel="0" collapsed="false">
      <c r="B42" s="4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42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D35" activeCellId="0" sqref="D35"/>
    </sheetView>
  </sheetViews>
  <sheetFormatPr defaultColWidth="9.13671875" defaultRowHeight="11.25" customHeight="true" zeroHeight="false" outlineLevelRow="0" outlineLevelCol="0"/>
  <cols>
    <col collapsed="false" customWidth="false" hidden="false" outlineLevel="0" max="1" min="1" style="37" width="9.14"/>
    <col collapsed="false" customWidth="true" hidden="false" outlineLevel="0" max="2" min="2" style="38" width="6.99"/>
    <col collapsed="false" customWidth="true" hidden="false" outlineLevel="0" max="3" min="3" style="37" width="8.7"/>
    <col collapsed="false" customWidth="true" hidden="false" outlineLevel="0" max="4" min="4" style="39" width="14.41"/>
    <col collapsed="false" customWidth="true" hidden="false" outlineLevel="0" max="5" min="5" style="37" width="3.14"/>
    <col collapsed="false" customWidth="true" hidden="false" outlineLevel="0" max="6" min="6" style="40" width="9.85"/>
    <col collapsed="false" customWidth="false" hidden="false" outlineLevel="0" max="7" min="7" style="37" width="9.14"/>
    <col collapsed="false" customWidth="true" hidden="false" outlineLevel="0" max="8" min="8" style="41" width="12.56"/>
    <col collapsed="false" customWidth="true" hidden="false" outlineLevel="0" max="9" min="9" style="37" width="2.84"/>
    <col collapsed="false" customWidth="true" hidden="false" outlineLevel="0" max="10" min="10" style="42" width="14.85"/>
    <col collapsed="false" customWidth="true" hidden="false" outlineLevel="0" max="11" min="11" style="37" width="2.13"/>
    <col collapsed="false" customWidth="true" hidden="false" outlineLevel="0" max="12" min="12" style="37" width="21.7"/>
    <col collapsed="false" customWidth="false" hidden="false" outlineLevel="0" max="257" min="13" style="37" width="9.14"/>
  </cols>
  <sheetData>
    <row r="1" customFormat="false" ht="11.25" hidden="false" customHeight="false" outlineLevel="0" collapsed="false">
      <c r="B1" s="38" t="s">
        <v>31</v>
      </c>
      <c r="F1" s="40" t="s">
        <v>32</v>
      </c>
    </row>
    <row r="2" customFormat="false" ht="11.25" hidden="false" customHeight="false" outlineLevel="0" collapsed="false">
      <c r="A2" s="37" t="s">
        <v>33</v>
      </c>
      <c r="B2" s="43"/>
      <c r="C2" s="44"/>
      <c r="D2" s="45"/>
      <c r="E2" s="46"/>
      <c r="F2" s="43"/>
      <c r="G2" s="44"/>
      <c r="H2" s="47"/>
      <c r="J2" s="48" t="n">
        <f aca="false">IF(F2&lt;1,(C2-C31)*(B2*10000),(C31-G2)*(F2*10000))</f>
        <v>-0</v>
      </c>
      <c r="L2" s="49" t="s">
        <v>0</v>
      </c>
    </row>
    <row r="3" customFormat="false" ht="11.25" hidden="false" customHeight="false" outlineLevel="0" collapsed="false">
      <c r="A3" s="37" t="n">
        <f aca="false">POSTION!$E$24</f>
        <v>21</v>
      </c>
      <c r="B3" s="50"/>
      <c r="C3" s="51"/>
      <c r="D3" s="52" t="n">
        <f aca="false">B3*C3*10000</f>
        <v>0</v>
      </c>
      <c r="E3" s="51"/>
      <c r="F3" s="53"/>
      <c r="G3" s="51"/>
      <c r="H3" s="54" t="n">
        <f aca="false">F3*G3*10000</f>
        <v>0</v>
      </c>
      <c r="J3" s="55" t="n">
        <f aca="false">IF(F2&lt;1,(J10*10000)*(C2-C30),(J10*10000)*(C30-G2))</f>
        <v>-0</v>
      </c>
      <c r="L3" s="56" t="s">
        <v>34</v>
      </c>
    </row>
    <row r="4" customFormat="false" ht="11.25" hidden="false" customHeight="false" outlineLevel="0" collapsed="false">
      <c r="B4" s="57"/>
      <c r="C4" s="58"/>
      <c r="D4" s="59" t="n">
        <f aca="false">B4*C4*10000</f>
        <v>0</v>
      </c>
      <c r="E4" s="46"/>
      <c r="F4" s="60"/>
      <c r="G4" s="58"/>
      <c r="H4" s="61" t="n">
        <f aca="false">F4*G4*10000</f>
        <v>0</v>
      </c>
      <c r="J4" s="62" t="n">
        <f aca="false">F37</f>
        <v>0</v>
      </c>
      <c r="K4" s="63"/>
      <c r="L4" s="46" t="s">
        <v>35</v>
      </c>
    </row>
    <row r="5" customFormat="false" ht="11.25" hidden="false" customHeight="false" outlineLevel="0" collapsed="false">
      <c r="B5" s="57"/>
      <c r="C5" s="58"/>
      <c r="D5" s="59" t="n">
        <f aca="false">B5*C5*10000</f>
        <v>0</v>
      </c>
      <c r="E5" s="46"/>
      <c r="F5" s="60"/>
      <c r="G5" s="58"/>
      <c r="H5" s="61" t="n">
        <f aca="false">F5*G5*10000</f>
        <v>0</v>
      </c>
      <c r="J5" s="63"/>
      <c r="K5" s="64"/>
      <c r="L5" s="46"/>
    </row>
    <row r="6" customFormat="false" ht="12" hidden="false" customHeight="false" outlineLevel="0" collapsed="false">
      <c r="B6" s="57"/>
      <c r="C6" s="58"/>
      <c r="D6" s="59" t="n">
        <f aca="false">B6*C6*10000</f>
        <v>0</v>
      </c>
      <c r="E6" s="46"/>
      <c r="F6" s="60"/>
      <c r="G6" s="58"/>
      <c r="H6" s="61" t="n">
        <f aca="false">F6*G6*10000</f>
        <v>0</v>
      </c>
      <c r="J6" s="65" t="n">
        <f aca="false">J2+J4</f>
        <v>0</v>
      </c>
      <c r="K6" s="64"/>
      <c r="L6" s="46" t="s">
        <v>36</v>
      </c>
    </row>
    <row r="7" customFormat="false" ht="12" hidden="false" customHeight="false" outlineLevel="0" collapsed="false">
      <c r="B7" s="57"/>
      <c r="C7" s="58"/>
      <c r="D7" s="59" t="n">
        <f aca="false">B7*C7*10000</f>
        <v>0</v>
      </c>
      <c r="E7" s="46"/>
      <c r="F7" s="60"/>
      <c r="G7" s="58"/>
      <c r="H7" s="61" t="n">
        <f aca="false">F7*G7*10000</f>
        <v>0</v>
      </c>
      <c r="J7" s="63"/>
    </row>
    <row r="8" customFormat="false" ht="11.25" hidden="false" customHeight="false" outlineLevel="0" collapsed="false">
      <c r="B8" s="60"/>
      <c r="C8" s="58"/>
      <c r="D8" s="59" t="n">
        <f aca="false">B8*C8*10000</f>
        <v>0</v>
      </c>
      <c r="E8" s="46"/>
      <c r="F8" s="60"/>
      <c r="G8" s="58"/>
      <c r="H8" s="61" t="n">
        <f aca="false">F8*G8*10000</f>
        <v>0</v>
      </c>
      <c r="J8" s="63"/>
      <c r="L8" s="46"/>
    </row>
    <row r="9" customFormat="false" ht="11.25" hidden="false" customHeight="false" outlineLevel="0" collapsed="false">
      <c r="B9" s="60"/>
      <c r="C9" s="58"/>
      <c r="D9" s="59" t="n">
        <f aca="false">B9*C9*10000</f>
        <v>0</v>
      </c>
      <c r="E9" s="46"/>
      <c r="F9" s="60"/>
      <c r="G9" s="58"/>
      <c r="H9" s="61" t="n">
        <f aca="false">F9*G9*10000</f>
        <v>0</v>
      </c>
      <c r="J9" s="66" t="n">
        <f aca="false">F30-B2+F2</f>
        <v>0</v>
      </c>
      <c r="L9" s="37" t="s">
        <v>1</v>
      </c>
    </row>
    <row r="10" customFormat="false" ht="11.25" hidden="false" customHeight="false" outlineLevel="0" collapsed="false">
      <c r="B10" s="60"/>
      <c r="C10" s="58"/>
      <c r="D10" s="59" t="n">
        <f aca="false">B10*C10*10000</f>
        <v>0</v>
      </c>
      <c r="E10" s="46"/>
      <c r="F10" s="60"/>
      <c r="G10" s="58"/>
      <c r="H10" s="61" t="n">
        <f aca="false">F10*G10*10000</f>
        <v>0</v>
      </c>
      <c r="J10" s="67" t="n">
        <f aca="false">IF($F$2&lt;1,($J$9/$A$3),$J$9/$A$3)</f>
        <v>0</v>
      </c>
      <c r="L10" s="37" t="s">
        <v>2</v>
      </c>
    </row>
    <row r="11" customFormat="false" ht="11.25" hidden="false" customHeight="false" outlineLevel="0" collapsed="false">
      <c r="B11" s="60"/>
      <c r="C11" s="58"/>
      <c r="D11" s="59" t="n">
        <f aca="false">B11*C11*10000</f>
        <v>0</v>
      </c>
      <c r="E11" s="46"/>
      <c r="F11" s="60"/>
      <c r="G11" s="58"/>
      <c r="H11" s="61" t="n">
        <f aca="false">F11*G11*10000</f>
        <v>0</v>
      </c>
      <c r="J11" s="68" t="n">
        <f aca="false">J9</f>
        <v>0</v>
      </c>
      <c r="L11" s="37" t="s">
        <v>37</v>
      </c>
    </row>
    <row r="12" customFormat="false" ht="11.25" hidden="false" customHeight="false" outlineLevel="0" collapsed="false">
      <c r="B12" s="60"/>
      <c r="C12" s="58"/>
      <c r="D12" s="59" t="n">
        <f aca="false">B12*C12*10000</f>
        <v>0</v>
      </c>
      <c r="E12" s="46"/>
      <c r="F12" s="60"/>
      <c r="G12" s="58"/>
      <c r="H12" s="61" t="n">
        <f aca="false">F12*G12*10000</f>
        <v>0</v>
      </c>
      <c r="J12" s="69"/>
    </row>
    <row r="13" customFormat="false" ht="11.25" hidden="false" customHeight="false" outlineLevel="0" collapsed="false">
      <c r="B13" s="60"/>
      <c r="C13" s="58"/>
      <c r="D13" s="59" t="n">
        <f aca="false">B13*C13*10000</f>
        <v>0</v>
      </c>
      <c r="E13" s="46"/>
      <c r="F13" s="60"/>
      <c r="G13" s="58"/>
      <c r="H13" s="61" t="n">
        <f aca="false">F13*G13*10000</f>
        <v>0</v>
      </c>
      <c r="J13" s="69" t="n">
        <f aca="false">J10*3</f>
        <v>0</v>
      </c>
      <c r="L13" s="37" t="s">
        <v>38</v>
      </c>
    </row>
    <row r="14" customFormat="false" ht="11.25" hidden="false" customHeight="false" outlineLevel="0" collapsed="false">
      <c r="B14" s="60"/>
      <c r="C14" s="58"/>
      <c r="D14" s="59" t="n">
        <f aca="false">B14*C14*10000</f>
        <v>0</v>
      </c>
      <c r="E14" s="46"/>
      <c r="F14" s="60"/>
      <c r="G14" s="58"/>
      <c r="H14" s="61" t="n">
        <f aca="false">F14*G14*10000</f>
        <v>0</v>
      </c>
      <c r="J14" s="69"/>
    </row>
    <row r="15" customFormat="false" ht="11.25" hidden="false" customHeight="false" outlineLevel="0" collapsed="false">
      <c r="B15" s="60"/>
      <c r="C15" s="58"/>
      <c r="D15" s="59" t="n">
        <f aca="false">B15*C15*10000</f>
        <v>0</v>
      </c>
      <c r="E15" s="46"/>
      <c r="F15" s="60"/>
      <c r="G15" s="58"/>
      <c r="H15" s="61" t="n">
        <f aca="false">F15*G15*10000</f>
        <v>0</v>
      </c>
      <c r="J15" s="69"/>
    </row>
    <row r="16" customFormat="false" ht="11.25" hidden="false" customHeight="false" outlineLevel="0" collapsed="false">
      <c r="B16" s="60"/>
      <c r="C16" s="58"/>
      <c r="D16" s="59" t="n">
        <f aca="false">B16*C16*10000</f>
        <v>0</v>
      </c>
      <c r="E16" s="46"/>
      <c r="F16" s="60"/>
      <c r="G16" s="58"/>
      <c r="H16" s="61" t="n">
        <f aca="false">F16*G16*10000</f>
        <v>0</v>
      </c>
      <c r="J16" s="69"/>
    </row>
    <row r="17" customFormat="false" ht="11.25" hidden="false" customHeight="false" outlineLevel="0" collapsed="false">
      <c r="B17" s="60"/>
      <c r="C17" s="58"/>
      <c r="D17" s="59" t="n">
        <f aca="false">B17*C17*10000</f>
        <v>0</v>
      </c>
      <c r="E17" s="46"/>
      <c r="F17" s="60"/>
      <c r="G17" s="58"/>
      <c r="H17" s="61" t="n">
        <f aca="false">F17*G17*10000</f>
        <v>0</v>
      </c>
      <c r="J17" s="69"/>
    </row>
    <row r="18" customFormat="false" ht="11.25" hidden="false" customHeight="false" outlineLevel="0" collapsed="false">
      <c r="B18" s="60"/>
      <c r="C18" s="58"/>
      <c r="D18" s="59" t="n">
        <f aca="false">B18*C18*10000</f>
        <v>0</v>
      </c>
      <c r="E18" s="46"/>
      <c r="F18" s="60"/>
      <c r="G18" s="58"/>
      <c r="H18" s="61" t="n">
        <f aca="false">F18*G18*10000</f>
        <v>0</v>
      </c>
      <c r="J18" s="69"/>
    </row>
    <row r="19" customFormat="false" ht="11.25" hidden="false" customHeight="false" outlineLevel="0" collapsed="false">
      <c r="B19" s="60"/>
      <c r="C19" s="58"/>
      <c r="D19" s="59" t="n">
        <f aca="false">B19*C19*10000</f>
        <v>0</v>
      </c>
      <c r="E19" s="46"/>
      <c r="F19" s="60"/>
      <c r="G19" s="58"/>
      <c r="H19" s="61" t="n">
        <f aca="false">F19*G19*10000</f>
        <v>0</v>
      </c>
      <c r="J19" s="69"/>
    </row>
    <row r="20" customFormat="false" ht="11.25" hidden="false" customHeight="false" outlineLevel="0" collapsed="false">
      <c r="B20" s="60"/>
      <c r="C20" s="58"/>
      <c r="D20" s="59" t="n">
        <f aca="false">B20*C20*10000</f>
        <v>0</v>
      </c>
      <c r="E20" s="46"/>
      <c r="F20" s="60"/>
      <c r="G20" s="58"/>
      <c r="H20" s="61" t="n">
        <f aca="false">F20*G20*10000</f>
        <v>0</v>
      </c>
      <c r="J20" s="69"/>
    </row>
    <row r="21" customFormat="false" ht="11.25" hidden="false" customHeight="false" outlineLevel="0" collapsed="false">
      <c r="B21" s="60"/>
      <c r="C21" s="58"/>
      <c r="D21" s="59" t="n">
        <f aca="false">B21*C21*10000</f>
        <v>0</v>
      </c>
      <c r="E21" s="46"/>
      <c r="F21" s="60"/>
      <c r="G21" s="58"/>
      <c r="H21" s="61" t="n">
        <f aca="false">F21*G21*10000</f>
        <v>0</v>
      </c>
      <c r="J21" s="69"/>
    </row>
    <row r="22" customFormat="false" ht="11.25" hidden="false" customHeight="false" outlineLevel="0" collapsed="false">
      <c r="B22" s="60"/>
      <c r="C22" s="58"/>
      <c r="D22" s="59" t="n">
        <f aca="false">B22*C22*10000</f>
        <v>0</v>
      </c>
      <c r="E22" s="46"/>
      <c r="F22" s="60"/>
      <c r="G22" s="58"/>
      <c r="H22" s="61" t="n">
        <f aca="false">F22*G22*10000</f>
        <v>0</v>
      </c>
      <c r="J22" s="69"/>
    </row>
    <row r="23" customFormat="false" ht="11.25" hidden="false" customHeight="false" outlineLevel="0" collapsed="false">
      <c r="B23" s="60"/>
      <c r="C23" s="58"/>
      <c r="D23" s="59" t="n">
        <f aca="false">B23*C23*10000</f>
        <v>0</v>
      </c>
      <c r="E23" s="46"/>
      <c r="F23" s="60"/>
      <c r="G23" s="58"/>
      <c r="H23" s="61" t="n">
        <f aca="false">F23*G23*10000</f>
        <v>0</v>
      </c>
      <c r="J23" s="69"/>
    </row>
    <row r="24" customFormat="false" ht="11.25" hidden="false" customHeight="false" outlineLevel="0" collapsed="false">
      <c r="B24" s="60"/>
      <c r="C24" s="58"/>
      <c r="D24" s="59" t="n">
        <f aca="false">B24*C24*10000</f>
        <v>0</v>
      </c>
      <c r="E24" s="46"/>
      <c r="F24" s="60"/>
      <c r="G24" s="58"/>
      <c r="H24" s="61" t="n">
        <f aca="false">F24*G24*10000</f>
        <v>0</v>
      </c>
      <c r="J24" s="69"/>
    </row>
    <row r="25" customFormat="false" ht="11.25" hidden="false" customHeight="false" outlineLevel="0" collapsed="false">
      <c r="B25" s="60"/>
      <c r="C25" s="58"/>
      <c r="D25" s="59" t="n">
        <f aca="false">B25*C25*10000</f>
        <v>0</v>
      </c>
      <c r="E25" s="46"/>
      <c r="F25" s="60"/>
      <c r="G25" s="58"/>
      <c r="H25" s="61" t="n">
        <f aca="false">F25*G25*10000</f>
        <v>0</v>
      </c>
      <c r="J25" s="69"/>
    </row>
    <row r="26" customFormat="false" ht="11.25" hidden="false" customHeight="false" outlineLevel="0" collapsed="false">
      <c r="F26" s="38"/>
      <c r="H26" s="70"/>
      <c r="J26" s="69"/>
      <c r="K26" s="71"/>
      <c r="L26" s="71"/>
    </row>
    <row r="27" customFormat="false" ht="11.25" hidden="false" customHeight="false" outlineLevel="0" collapsed="false">
      <c r="B27" s="60" t="n">
        <f aca="false">SUM(B3:B26)</f>
        <v>0</v>
      </c>
      <c r="C27" s="72" t="n">
        <f aca="false">IF(B27=0,0,D27/B27/10000)</f>
        <v>0</v>
      </c>
      <c r="D27" s="59" t="n">
        <f aca="false">SUM(D2:D26)</f>
        <v>0</v>
      </c>
      <c r="F27" s="60" t="n">
        <f aca="false">SUM(F3:F26)</f>
        <v>0</v>
      </c>
      <c r="G27" s="58" t="n">
        <f aca="false">IF(F27=0,0,H27/F27/10000)</f>
        <v>0</v>
      </c>
      <c r="H27" s="61" t="n">
        <f aca="false">SUM(H2:H26)</f>
        <v>0</v>
      </c>
      <c r="K27" s="71"/>
      <c r="L27" s="71"/>
      <c r="M27" s="46"/>
      <c r="N27" s="46"/>
    </row>
    <row r="28" customFormat="false" ht="11.25" hidden="false" customHeight="false" outlineLevel="0" collapsed="false">
      <c r="K28" s="71"/>
      <c r="L28" s="71"/>
      <c r="M28" s="46"/>
      <c r="N28" s="46"/>
    </row>
    <row r="29" customFormat="false" ht="11.25" hidden="false" customHeight="false" outlineLevel="0" collapsed="false">
      <c r="F29" s="40" t="n">
        <f aca="false">-B27+F27</f>
        <v>0</v>
      </c>
      <c r="G29" s="37" t="n">
        <f aca="false">IF(F29&lt;0,C27,G27)</f>
        <v>0</v>
      </c>
      <c r="H29" s="41" t="n">
        <f aca="false">IF(F29&lt;0,(G29-C31)*ABS(F29)*10000,-1*(G29-C31)*ABS(F29)*10000)</f>
        <v>0</v>
      </c>
      <c r="K29" s="71"/>
      <c r="L29" s="71"/>
      <c r="M29" s="46"/>
      <c r="N29" s="46"/>
    </row>
    <row r="30" customFormat="false" ht="11.25" hidden="false" customHeight="false" outlineLevel="0" collapsed="false">
      <c r="C30" s="37" t="n">
        <f aca="false">POSTION!I13</f>
        <v>2.62</v>
      </c>
      <c r="D30" s="39" t="s">
        <v>39</v>
      </c>
      <c r="F30" s="73" t="n">
        <f aca="false">-B27+F27</f>
        <v>0</v>
      </c>
      <c r="G30" s="37" t="n">
        <f aca="false">IF(F30&lt;0,(C27+(J26/(ABS(F30)*10000))),IF(F30=0,0,(G27-(J26/(ABS(F30)*10000)))))</f>
        <v>0</v>
      </c>
      <c r="H30" s="41" t="n">
        <f aca="false">IF(F30&lt;0,(G30-C31)*ABS(F30)*10000,IF(F30=0,0,-1*(G30-C31)*ABS(F30)*10000))</f>
        <v>0</v>
      </c>
      <c r="K30" s="71"/>
      <c r="L30" s="71"/>
      <c r="M30" s="46"/>
      <c r="N30" s="46"/>
    </row>
    <row r="31" customFormat="false" ht="11.25" hidden="false" customHeight="false" outlineLevel="0" collapsed="false">
      <c r="C31" s="37" t="n">
        <f aca="false">POSTION!B13</f>
        <v>2.62</v>
      </c>
      <c r="D31" s="39" t="s">
        <v>40</v>
      </c>
      <c r="J31" s="74"/>
      <c r="K31" s="75"/>
      <c r="L31" s="75"/>
      <c r="M31" s="46"/>
      <c r="N31" s="46"/>
    </row>
    <row r="32" customFormat="false" ht="11.25" hidden="false" customHeight="false" outlineLevel="0" collapsed="false">
      <c r="F32" s="76" t="n">
        <f aca="false">MIN($B$27,$F$27)*($C$27-$G$27)*10000</f>
        <v>0</v>
      </c>
      <c r="G32" s="77"/>
      <c r="H32" s="77" t="s">
        <v>41</v>
      </c>
      <c r="M32" s="46"/>
      <c r="N32" s="46"/>
    </row>
    <row r="33" customFormat="false" ht="11.25" hidden="false" customHeight="false" outlineLevel="0" collapsed="false">
      <c r="F33" s="76"/>
      <c r="G33" s="77"/>
      <c r="H33" s="77"/>
    </row>
    <row r="34" customFormat="false" ht="11.25" hidden="false" customHeight="false" outlineLevel="0" collapsed="false">
      <c r="F34" s="76" t="n">
        <f aca="false">$H$29</f>
        <v>0</v>
      </c>
      <c r="G34" s="77"/>
      <c r="H34" s="77" t="s">
        <v>42</v>
      </c>
    </row>
    <row r="35" customFormat="false" ht="11.25" hidden="false" customHeight="false" outlineLevel="0" collapsed="false">
      <c r="A35" s="49"/>
      <c r="F35" s="62" t="n">
        <f aca="false">$H$30</f>
        <v>0</v>
      </c>
      <c r="G35" s="51"/>
      <c r="H35" s="51" t="s">
        <v>43</v>
      </c>
    </row>
    <row r="36" customFormat="false" ht="11.25" hidden="false" customHeight="false" outlineLevel="0" collapsed="false">
      <c r="F36" s="42"/>
      <c r="H36" s="37"/>
    </row>
    <row r="37" customFormat="false" ht="11.25" hidden="false" customHeight="false" outlineLevel="0" collapsed="false">
      <c r="F37" s="78" t="n">
        <f aca="false">F32+F34</f>
        <v>0</v>
      </c>
      <c r="G37" s="79"/>
      <c r="H37" s="79" t="s">
        <v>44</v>
      </c>
    </row>
    <row r="39" customFormat="false" ht="11.25" hidden="false" customHeight="false" outlineLevel="0" collapsed="false">
      <c r="B39" s="40"/>
    </row>
    <row r="42" customFormat="false" ht="11.25" hidden="false" customHeight="false" outlineLevel="0" collapsed="false">
      <c r="B42" s="4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R42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C5" activeCellId="0" sqref="C5"/>
    </sheetView>
  </sheetViews>
  <sheetFormatPr defaultColWidth="9.13671875" defaultRowHeight="11.25" customHeight="true" zeroHeight="false" outlineLevelRow="0" outlineLevelCol="0"/>
  <cols>
    <col collapsed="false" customWidth="false" hidden="false" outlineLevel="0" max="1" min="1" style="37" width="9.14"/>
    <col collapsed="false" customWidth="true" hidden="false" outlineLevel="0" max="2" min="2" style="38" width="6.99"/>
    <col collapsed="false" customWidth="true" hidden="false" outlineLevel="0" max="3" min="3" style="37" width="8.7"/>
    <col collapsed="false" customWidth="true" hidden="false" outlineLevel="0" max="4" min="4" style="39" width="14.41"/>
    <col collapsed="false" customWidth="true" hidden="false" outlineLevel="0" max="5" min="5" style="37" width="3.14"/>
    <col collapsed="false" customWidth="true" hidden="false" outlineLevel="0" max="6" min="6" style="40" width="9.85"/>
    <col collapsed="false" customWidth="false" hidden="false" outlineLevel="0" max="7" min="7" style="37" width="9.14"/>
    <col collapsed="false" customWidth="true" hidden="false" outlineLevel="0" max="8" min="8" style="41" width="12.56"/>
    <col collapsed="false" customWidth="true" hidden="false" outlineLevel="0" max="9" min="9" style="37" width="2.84"/>
    <col collapsed="false" customWidth="true" hidden="false" outlineLevel="0" max="10" min="10" style="42" width="14.85"/>
    <col collapsed="false" customWidth="true" hidden="false" outlineLevel="0" max="11" min="11" style="37" width="2.13"/>
    <col collapsed="false" customWidth="true" hidden="false" outlineLevel="0" max="12" min="12" style="37" width="21.7"/>
    <col collapsed="false" customWidth="true" hidden="false" outlineLevel="0" max="13" min="13" style="37" width="9.7"/>
    <col collapsed="false" customWidth="false" hidden="false" outlineLevel="0" max="257" min="14" style="37" width="9.14"/>
  </cols>
  <sheetData>
    <row r="1" customFormat="false" ht="11.25" hidden="false" customHeight="false" outlineLevel="0" collapsed="false">
      <c r="B1" s="38" t="s">
        <v>31</v>
      </c>
      <c r="F1" s="40" t="s">
        <v>32</v>
      </c>
      <c r="N1" s="37" t="n">
        <v>10</v>
      </c>
      <c r="O1" s="37" t="n">
        <v>2</v>
      </c>
      <c r="P1" s="37" t="n">
        <v>1.5</v>
      </c>
      <c r="Q1" s="37" t="n">
        <v>1</v>
      </c>
      <c r="R1" s="37" t="n">
        <v>0.5</v>
      </c>
    </row>
    <row r="2" customFormat="false" ht="11.25" hidden="false" customHeight="false" outlineLevel="0" collapsed="false">
      <c r="A2" s="37" t="s">
        <v>33</v>
      </c>
      <c r="B2" s="43"/>
      <c r="C2" s="44"/>
      <c r="D2" s="45"/>
      <c r="E2" s="46"/>
      <c r="F2" s="43" t="n">
        <v>31.5</v>
      </c>
      <c r="G2" s="44" t="n">
        <v>2.7</v>
      </c>
      <c r="H2" s="47"/>
      <c r="J2" s="48" t="n">
        <f aca="false">IF(F2&lt;1,(C2-C31)*(B2*10000),(C31-G2)*(F2*10000))</f>
        <v>0</v>
      </c>
      <c r="L2" s="49" t="s">
        <v>0</v>
      </c>
    </row>
    <row r="3" customFormat="false" ht="11.25" hidden="false" customHeight="false" outlineLevel="0" collapsed="false">
      <c r="A3" s="37" t="n">
        <f aca="false">POSTION!$E$24</f>
        <v>21</v>
      </c>
      <c r="B3" s="50"/>
      <c r="C3" s="51"/>
      <c r="D3" s="52" t="n">
        <f aca="false">B3*C3*10000</f>
        <v>0</v>
      </c>
      <c r="E3" s="46"/>
      <c r="F3" s="53"/>
      <c r="G3" s="51"/>
      <c r="H3" s="54" t="n">
        <f aca="false">F3*G3*10000</f>
        <v>0</v>
      </c>
      <c r="J3" s="55" t="n">
        <f aca="false">IF(F2&lt;1,(J10*10000)*(C30-C2),(J10*10000)*(C30-G2))</f>
        <v>-3428.57142857143</v>
      </c>
      <c r="L3" s="56" t="s">
        <v>34</v>
      </c>
      <c r="M3" s="80" t="n">
        <v>37043</v>
      </c>
      <c r="N3" s="81" t="n">
        <v>30</v>
      </c>
      <c r="O3" s="82" t="n">
        <f aca="false">N3*O$1</f>
        <v>60</v>
      </c>
      <c r="P3" s="82" t="n">
        <f aca="false">N3*P$1</f>
        <v>45</v>
      </c>
      <c r="Q3" s="82" t="n">
        <f aca="false">N3*Q$1</f>
        <v>30</v>
      </c>
      <c r="R3" s="82" t="n">
        <f aca="false">N3*R$1</f>
        <v>15</v>
      </c>
    </row>
    <row r="4" customFormat="false" ht="11.25" hidden="false" customHeight="false" outlineLevel="0" collapsed="false">
      <c r="B4" s="57"/>
      <c r="C4" s="58"/>
      <c r="D4" s="59" t="n">
        <f aca="false">B4*C4*10000</f>
        <v>0</v>
      </c>
      <c r="E4" s="46"/>
      <c r="F4" s="60"/>
      <c r="G4" s="58"/>
      <c r="H4" s="61" t="n">
        <f aca="false">F4*G4*10000</f>
        <v>0</v>
      </c>
      <c r="J4" s="62" t="n">
        <f aca="false">F37</f>
        <v>-7200.00000000001</v>
      </c>
      <c r="K4" s="63"/>
      <c r="L4" s="46" t="s">
        <v>35</v>
      </c>
      <c r="M4" s="80" t="n">
        <v>37044</v>
      </c>
      <c r="N4" s="81" t="n">
        <v>29</v>
      </c>
      <c r="O4" s="82" t="n">
        <f aca="false">N4*O$1</f>
        <v>58</v>
      </c>
      <c r="P4" s="82" t="n">
        <f aca="false">N4*P$1</f>
        <v>43.5</v>
      </c>
      <c r="Q4" s="82" t="n">
        <f aca="false">N4*Q$1</f>
        <v>29</v>
      </c>
      <c r="R4" s="82" t="n">
        <f aca="false">N4*R$1</f>
        <v>14.5</v>
      </c>
    </row>
    <row r="5" customFormat="false" ht="11.25" hidden="false" customHeight="false" outlineLevel="0" collapsed="false">
      <c r="B5" s="57" t="n">
        <v>4.5</v>
      </c>
      <c r="C5" s="58" t="n">
        <v>2.54</v>
      </c>
      <c r="D5" s="59" t="n">
        <f aca="false">B5*C5*10000</f>
        <v>114300</v>
      </c>
      <c r="E5" s="46"/>
      <c r="F5" s="60" t="n">
        <v>18</v>
      </c>
      <c r="G5" s="58" t="n">
        <v>2.7</v>
      </c>
      <c r="H5" s="61" t="n">
        <f aca="false">F5*G5*10000</f>
        <v>486000</v>
      </c>
      <c r="J5" s="63"/>
      <c r="K5" s="64"/>
      <c r="L5" s="46"/>
      <c r="M5" s="80" t="n">
        <v>37045</v>
      </c>
      <c r="N5" s="81" t="n">
        <v>28</v>
      </c>
      <c r="O5" s="82" t="n">
        <f aca="false">N5*O$1</f>
        <v>56</v>
      </c>
      <c r="P5" s="82" t="n">
        <f aca="false">N5*P$1</f>
        <v>42</v>
      </c>
      <c r="Q5" s="82" t="n">
        <f aca="false">N5*Q$1</f>
        <v>28</v>
      </c>
      <c r="R5" s="82" t="n">
        <f aca="false">N5*R$1</f>
        <v>14</v>
      </c>
    </row>
    <row r="6" customFormat="false" ht="12" hidden="false" customHeight="false" outlineLevel="0" collapsed="false">
      <c r="B6" s="57"/>
      <c r="C6" s="58"/>
      <c r="D6" s="59" t="n">
        <f aca="false">B6*C6*10000</f>
        <v>0</v>
      </c>
      <c r="E6" s="46"/>
      <c r="F6" s="60"/>
      <c r="G6" s="58"/>
      <c r="H6" s="61" t="n">
        <f aca="false">F6*G6*10000</f>
        <v>0</v>
      </c>
      <c r="J6" s="65" t="n">
        <f aca="false">J2+J4</f>
        <v>-7200.00000000001</v>
      </c>
      <c r="K6" s="64"/>
      <c r="L6" s="46" t="s">
        <v>36</v>
      </c>
      <c r="M6" s="80" t="n">
        <v>37046</v>
      </c>
      <c r="N6" s="81" t="n">
        <v>27</v>
      </c>
      <c r="O6" s="82" t="n">
        <f aca="false">N6*O$1</f>
        <v>54</v>
      </c>
      <c r="P6" s="82" t="n">
        <f aca="false">N6*P$1</f>
        <v>40.5</v>
      </c>
      <c r="Q6" s="82" t="n">
        <f aca="false">N6*Q$1</f>
        <v>27</v>
      </c>
      <c r="R6" s="82" t="n">
        <f aca="false">N6*R$1</f>
        <v>13.5</v>
      </c>
    </row>
    <row r="7" customFormat="false" ht="12" hidden="false" customHeight="false" outlineLevel="0" collapsed="false">
      <c r="B7" s="57"/>
      <c r="C7" s="58"/>
      <c r="D7" s="59" t="n">
        <f aca="false">B7*C7*10000</f>
        <v>0</v>
      </c>
      <c r="E7" s="46"/>
      <c r="F7" s="60"/>
      <c r="G7" s="58"/>
      <c r="H7" s="61" t="n">
        <f aca="false">F7*G7*10000</f>
        <v>0</v>
      </c>
      <c r="J7" s="63"/>
      <c r="M7" s="80" t="n">
        <v>37047</v>
      </c>
      <c r="N7" s="81" t="n">
        <v>26</v>
      </c>
      <c r="O7" s="82" t="n">
        <f aca="false">N7*O$1</f>
        <v>52</v>
      </c>
      <c r="P7" s="82" t="n">
        <f aca="false">N7*P$1</f>
        <v>39</v>
      </c>
      <c r="Q7" s="82" t="n">
        <f aca="false">N7*Q$1</f>
        <v>26</v>
      </c>
      <c r="R7" s="82" t="n">
        <f aca="false">N7*R$1</f>
        <v>13</v>
      </c>
    </row>
    <row r="8" customFormat="false" ht="11.25" hidden="false" customHeight="false" outlineLevel="0" collapsed="false">
      <c r="B8" s="60"/>
      <c r="C8" s="58"/>
      <c r="D8" s="59" t="n">
        <f aca="false">B8*C8*10000</f>
        <v>0</v>
      </c>
      <c r="E8" s="46"/>
      <c r="F8" s="60"/>
      <c r="G8" s="58"/>
      <c r="H8" s="61" t="n">
        <f aca="false">F8*G8*10000</f>
        <v>0</v>
      </c>
      <c r="J8" s="63"/>
      <c r="L8" s="46"/>
      <c r="M8" s="80" t="n">
        <v>37048</v>
      </c>
      <c r="N8" s="81" t="n">
        <v>25</v>
      </c>
      <c r="O8" s="82" t="n">
        <f aca="false">N8*O$1</f>
        <v>50</v>
      </c>
      <c r="P8" s="82" t="n">
        <f aca="false">N8*P$1</f>
        <v>37.5</v>
      </c>
      <c r="Q8" s="82" t="n">
        <f aca="false">N8*Q$1</f>
        <v>25</v>
      </c>
      <c r="R8" s="82" t="n">
        <f aca="false">N8*R$1</f>
        <v>12.5</v>
      </c>
    </row>
    <row r="9" customFormat="false" ht="11.25" hidden="false" customHeight="false" outlineLevel="0" collapsed="false">
      <c r="B9" s="60"/>
      <c r="C9" s="58"/>
      <c r="D9" s="59" t="n">
        <f aca="false">B9*C9*10000</f>
        <v>0</v>
      </c>
      <c r="E9" s="46"/>
      <c r="F9" s="60"/>
      <c r="G9" s="58"/>
      <c r="H9" s="61" t="n">
        <f aca="false">F9*G9*10000</f>
        <v>0</v>
      </c>
      <c r="J9" s="66" t="n">
        <f aca="false">F30-B2+F2</f>
        <v>45</v>
      </c>
      <c r="L9" s="37" t="s">
        <v>1</v>
      </c>
      <c r="M9" s="80" t="n">
        <v>37049</v>
      </c>
      <c r="N9" s="81" t="n">
        <v>24</v>
      </c>
      <c r="O9" s="82" t="n">
        <f aca="false">N9*O$1</f>
        <v>48</v>
      </c>
      <c r="P9" s="82" t="n">
        <f aca="false">N9*P$1</f>
        <v>36</v>
      </c>
      <c r="Q9" s="82" t="n">
        <f aca="false">N9*Q$1</f>
        <v>24</v>
      </c>
      <c r="R9" s="82" t="n">
        <f aca="false">N9*R$1</f>
        <v>12</v>
      </c>
    </row>
    <row r="10" customFormat="false" ht="11.25" hidden="false" customHeight="false" outlineLevel="0" collapsed="false">
      <c r="B10" s="60"/>
      <c r="C10" s="58"/>
      <c r="D10" s="59" t="n">
        <f aca="false">B10*C10*10000</f>
        <v>0</v>
      </c>
      <c r="E10" s="46"/>
      <c r="F10" s="60"/>
      <c r="G10" s="58"/>
      <c r="H10" s="61" t="n">
        <f aca="false">F10*G10*10000</f>
        <v>0</v>
      </c>
      <c r="J10" s="67" t="n">
        <f aca="false">IF($F$2&lt;1,($J$9/$A$3),$J$9/$A$3)</f>
        <v>2.14285714285714</v>
      </c>
      <c r="L10" s="37" t="s">
        <v>2</v>
      </c>
      <c r="M10" s="80" t="n">
        <v>37050</v>
      </c>
      <c r="N10" s="81" t="n">
        <v>23</v>
      </c>
      <c r="O10" s="82" t="n">
        <f aca="false">N10*O$1</f>
        <v>46</v>
      </c>
      <c r="P10" s="82" t="n">
        <f aca="false">N10*P$1</f>
        <v>34.5</v>
      </c>
      <c r="Q10" s="82" t="n">
        <f aca="false">N10*Q$1</f>
        <v>23</v>
      </c>
      <c r="R10" s="82" t="n">
        <f aca="false">N10*R$1</f>
        <v>11.5</v>
      </c>
    </row>
    <row r="11" customFormat="false" ht="11.25" hidden="false" customHeight="false" outlineLevel="0" collapsed="false">
      <c r="B11" s="60"/>
      <c r="C11" s="58"/>
      <c r="D11" s="59" t="n">
        <f aca="false">B11*C11*10000</f>
        <v>0</v>
      </c>
      <c r="E11" s="46"/>
      <c r="F11" s="60"/>
      <c r="G11" s="58"/>
      <c r="H11" s="61" t="n">
        <f aca="false">F11*G11*10000</f>
        <v>0</v>
      </c>
      <c r="J11" s="68" t="n">
        <f aca="false">J9</f>
        <v>45</v>
      </c>
      <c r="L11" s="37" t="s">
        <v>37</v>
      </c>
      <c r="M11" s="80" t="n">
        <v>37051</v>
      </c>
      <c r="N11" s="81" t="n">
        <v>22</v>
      </c>
      <c r="O11" s="82" t="n">
        <f aca="false">N11*O$1</f>
        <v>44</v>
      </c>
      <c r="P11" s="82" t="n">
        <f aca="false">N11*P$1</f>
        <v>33</v>
      </c>
      <c r="Q11" s="82" t="n">
        <f aca="false">N11*Q$1</f>
        <v>22</v>
      </c>
      <c r="R11" s="82" t="n">
        <f aca="false">N11*R$1</f>
        <v>11</v>
      </c>
    </row>
    <row r="12" customFormat="false" ht="11.25" hidden="false" customHeight="false" outlineLevel="0" collapsed="false">
      <c r="B12" s="60"/>
      <c r="C12" s="58"/>
      <c r="D12" s="59" t="n">
        <f aca="false">B12*C12*10000</f>
        <v>0</v>
      </c>
      <c r="E12" s="46"/>
      <c r="F12" s="60"/>
      <c r="G12" s="58"/>
      <c r="H12" s="61" t="n">
        <f aca="false">F12*G12*10000</f>
        <v>0</v>
      </c>
      <c r="J12" s="69"/>
      <c r="M12" s="80" t="n">
        <v>37052</v>
      </c>
      <c r="N12" s="81" t="n">
        <v>21</v>
      </c>
      <c r="O12" s="82" t="n">
        <f aca="false">N12*O$1</f>
        <v>42</v>
      </c>
      <c r="P12" s="82" t="n">
        <f aca="false">N12*P$1</f>
        <v>31.5</v>
      </c>
      <c r="Q12" s="82" t="n">
        <f aca="false">N12*Q$1</f>
        <v>21</v>
      </c>
      <c r="R12" s="82" t="n">
        <f aca="false">N12*R$1</f>
        <v>10.5</v>
      </c>
    </row>
    <row r="13" customFormat="false" ht="11.25" hidden="false" customHeight="false" outlineLevel="0" collapsed="false">
      <c r="B13" s="60"/>
      <c r="C13" s="58"/>
      <c r="D13" s="59" t="n">
        <f aca="false">B13*C13*10000</f>
        <v>0</v>
      </c>
      <c r="E13" s="46"/>
      <c r="F13" s="60"/>
      <c r="G13" s="58"/>
      <c r="H13" s="61" t="n">
        <f aca="false">F13*G13*10000</f>
        <v>0</v>
      </c>
      <c r="J13" s="69" t="n">
        <f aca="false">J10*3</f>
        <v>6.42857142857143</v>
      </c>
      <c r="L13" s="37" t="s">
        <v>38</v>
      </c>
      <c r="M13" s="80" t="n">
        <v>37053</v>
      </c>
      <c r="N13" s="81" t="n">
        <v>20</v>
      </c>
      <c r="O13" s="82" t="n">
        <f aca="false">N13*O$1</f>
        <v>40</v>
      </c>
      <c r="P13" s="82" t="n">
        <f aca="false">N13*P$1</f>
        <v>30</v>
      </c>
      <c r="Q13" s="82" t="n">
        <f aca="false">N13*Q$1</f>
        <v>20</v>
      </c>
      <c r="R13" s="82" t="n">
        <f aca="false">N13*R$1</f>
        <v>10</v>
      </c>
    </row>
    <row r="14" customFormat="false" ht="11.25" hidden="false" customHeight="false" outlineLevel="0" collapsed="false">
      <c r="B14" s="60"/>
      <c r="C14" s="58"/>
      <c r="D14" s="59" t="n">
        <f aca="false">B14*C14*10000</f>
        <v>0</v>
      </c>
      <c r="E14" s="46"/>
      <c r="F14" s="60"/>
      <c r="G14" s="58"/>
      <c r="H14" s="61" t="n">
        <f aca="false">F14*G14*10000</f>
        <v>0</v>
      </c>
      <c r="J14" s="69"/>
      <c r="M14" s="80" t="n">
        <v>37054</v>
      </c>
      <c r="N14" s="81" t="n">
        <v>19</v>
      </c>
      <c r="O14" s="82" t="n">
        <f aca="false">N14*O$1</f>
        <v>38</v>
      </c>
      <c r="P14" s="82" t="n">
        <f aca="false">N14*P$1</f>
        <v>28.5</v>
      </c>
      <c r="Q14" s="82" t="n">
        <f aca="false">N14*Q$1</f>
        <v>19</v>
      </c>
      <c r="R14" s="82" t="n">
        <f aca="false">N14*R$1</f>
        <v>9.5</v>
      </c>
    </row>
    <row r="15" customFormat="false" ht="11.25" hidden="false" customHeight="false" outlineLevel="0" collapsed="false">
      <c r="B15" s="60"/>
      <c r="C15" s="58"/>
      <c r="D15" s="59" t="n">
        <f aca="false">B15*C15*10000</f>
        <v>0</v>
      </c>
      <c r="E15" s="46"/>
      <c r="F15" s="60"/>
      <c r="G15" s="58"/>
      <c r="H15" s="61" t="n">
        <f aca="false">F15*G15*10000</f>
        <v>0</v>
      </c>
      <c r="J15" s="69"/>
      <c r="M15" s="80" t="n">
        <v>37055</v>
      </c>
      <c r="N15" s="81" t="n">
        <v>18</v>
      </c>
      <c r="O15" s="82" t="n">
        <f aca="false">N15*O$1</f>
        <v>36</v>
      </c>
      <c r="P15" s="82" t="n">
        <f aca="false">N15*P$1</f>
        <v>27</v>
      </c>
      <c r="Q15" s="82" t="n">
        <f aca="false">N15*Q$1</f>
        <v>18</v>
      </c>
      <c r="R15" s="82" t="n">
        <f aca="false">N15*R$1</f>
        <v>9</v>
      </c>
    </row>
    <row r="16" customFormat="false" ht="11.25" hidden="false" customHeight="false" outlineLevel="0" collapsed="false">
      <c r="B16" s="60"/>
      <c r="C16" s="58"/>
      <c r="D16" s="59" t="n">
        <f aca="false">B16*C16*10000</f>
        <v>0</v>
      </c>
      <c r="E16" s="46"/>
      <c r="F16" s="60"/>
      <c r="G16" s="58"/>
      <c r="H16" s="61" t="n">
        <f aca="false">F16*G16*10000</f>
        <v>0</v>
      </c>
      <c r="J16" s="69" t="n">
        <f aca="false">1.5*21</f>
        <v>31.5</v>
      </c>
      <c r="M16" s="80" t="n">
        <v>37056</v>
      </c>
      <c r="N16" s="81" t="n">
        <v>17</v>
      </c>
      <c r="O16" s="82" t="n">
        <f aca="false">N16*O$1</f>
        <v>34</v>
      </c>
      <c r="P16" s="82" t="n">
        <f aca="false">N16*P$1</f>
        <v>25.5</v>
      </c>
      <c r="Q16" s="82" t="n">
        <f aca="false">N16*Q$1</f>
        <v>17</v>
      </c>
      <c r="R16" s="82" t="n">
        <f aca="false">N16*R$1</f>
        <v>8.5</v>
      </c>
    </row>
    <row r="17" customFormat="false" ht="11.25" hidden="false" customHeight="false" outlineLevel="0" collapsed="false">
      <c r="B17" s="60"/>
      <c r="C17" s="58"/>
      <c r="D17" s="59" t="n">
        <f aca="false">B17*C17*10000</f>
        <v>0</v>
      </c>
      <c r="E17" s="46"/>
      <c r="F17" s="60"/>
      <c r="G17" s="58"/>
      <c r="H17" s="61" t="n">
        <f aca="false">F17*G17*10000</f>
        <v>0</v>
      </c>
      <c r="J17" s="69"/>
      <c r="M17" s="80" t="n">
        <v>37057</v>
      </c>
      <c r="N17" s="81" t="n">
        <v>16</v>
      </c>
      <c r="O17" s="82" t="n">
        <f aca="false">N17*O$1</f>
        <v>32</v>
      </c>
      <c r="P17" s="82" t="n">
        <f aca="false">N17*P$1</f>
        <v>24</v>
      </c>
      <c r="Q17" s="82" t="n">
        <f aca="false">N17*Q$1</f>
        <v>16</v>
      </c>
      <c r="R17" s="82" t="n">
        <f aca="false">N17*R$1</f>
        <v>8</v>
      </c>
    </row>
    <row r="18" customFormat="false" ht="11.25" hidden="false" customHeight="false" outlineLevel="0" collapsed="false">
      <c r="B18" s="60"/>
      <c r="C18" s="58"/>
      <c r="D18" s="59" t="n">
        <f aca="false">B18*C18*10000</f>
        <v>0</v>
      </c>
      <c r="E18" s="46"/>
      <c r="F18" s="60"/>
      <c r="G18" s="58"/>
      <c r="H18" s="61" t="n">
        <f aca="false">F18*G18*10000</f>
        <v>0</v>
      </c>
      <c r="J18" s="69"/>
      <c r="L18" s="37" t="n">
        <f aca="false">28*1.5</f>
        <v>42</v>
      </c>
      <c r="M18" s="80" t="n">
        <v>37058</v>
      </c>
      <c r="N18" s="81" t="n">
        <v>15</v>
      </c>
      <c r="O18" s="82" t="n">
        <f aca="false">N18*O$1</f>
        <v>30</v>
      </c>
      <c r="P18" s="82" t="n">
        <f aca="false">N18*P$1</f>
        <v>22.5</v>
      </c>
      <c r="Q18" s="82" t="n">
        <f aca="false">N18*Q$1</f>
        <v>15</v>
      </c>
      <c r="R18" s="82" t="n">
        <f aca="false">N18*R$1</f>
        <v>7.5</v>
      </c>
    </row>
    <row r="19" customFormat="false" ht="11.25" hidden="false" customHeight="false" outlineLevel="0" collapsed="false">
      <c r="B19" s="60"/>
      <c r="C19" s="58"/>
      <c r="D19" s="59" t="n">
        <f aca="false">B19*C19*10000</f>
        <v>0</v>
      </c>
      <c r="E19" s="46"/>
      <c r="F19" s="60"/>
      <c r="G19" s="58"/>
      <c r="H19" s="61" t="n">
        <f aca="false">F19*G19*10000</f>
        <v>0</v>
      </c>
      <c r="J19" s="69"/>
      <c r="M19" s="80" t="n">
        <v>37059</v>
      </c>
      <c r="N19" s="81" t="n">
        <v>14</v>
      </c>
      <c r="O19" s="82" t="n">
        <f aca="false">N19*O$1</f>
        <v>28</v>
      </c>
      <c r="P19" s="82" t="n">
        <f aca="false">N19*P$1</f>
        <v>21</v>
      </c>
      <c r="Q19" s="82" t="n">
        <f aca="false">N19*Q$1</f>
        <v>14</v>
      </c>
      <c r="R19" s="82" t="n">
        <f aca="false">N19*R$1</f>
        <v>7</v>
      </c>
    </row>
    <row r="20" customFormat="false" ht="11.25" hidden="false" customHeight="false" outlineLevel="0" collapsed="false">
      <c r="B20" s="60"/>
      <c r="C20" s="58"/>
      <c r="D20" s="59" t="n">
        <f aca="false">B20*C20*10000</f>
        <v>0</v>
      </c>
      <c r="E20" s="46"/>
      <c r="F20" s="60"/>
      <c r="G20" s="58"/>
      <c r="H20" s="61" t="n">
        <f aca="false">F20*G20*10000</f>
        <v>0</v>
      </c>
      <c r="J20" s="69"/>
      <c r="L20" s="37" t="n">
        <f aca="false">1.5*21</f>
        <v>31.5</v>
      </c>
      <c r="M20" s="80" t="n">
        <v>37060</v>
      </c>
      <c r="N20" s="81" t="n">
        <v>13</v>
      </c>
      <c r="O20" s="82" t="n">
        <f aca="false">N20*O$1</f>
        <v>26</v>
      </c>
      <c r="P20" s="82" t="n">
        <f aca="false">N20*P$1</f>
        <v>19.5</v>
      </c>
      <c r="Q20" s="82" t="n">
        <f aca="false">N20*Q$1</f>
        <v>13</v>
      </c>
      <c r="R20" s="82" t="n">
        <f aca="false">N20*R$1</f>
        <v>6.5</v>
      </c>
    </row>
    <row r="21" customFormat="false" ht="11.25" hidden="false" customHeight="false" outlineLevel="0" collapsed="false">
      <c r="B21" s="60"/>
      <c r="C21" s="58"/>
      <c r="D21" s="59" t="n">
        <f aca="false">B21*C21*10000</f>
        <v>0</v>
      </c>
      <c r="E21" s="46"/>
      <c r="F21" s="60"/>
      <c r="G21" s="58"/>
      <c r="H21" s="61" t="n">
        <f aca="false">F21*G21*10000</f>
        <v>0</v>
      </c>
      <c r="J21" s="69"/>
      <c r="M21" s="80" t="n">
        <v>37061</v>
      </c>
      <c r="N21" s="81" t="n">
        <v>12</v>
      </c>
      <c r="O21" s="82" t="n">
        <f aca="false">N21*O$1</f>
        <v>24</v>
      </c>
      <c r="P21" s="82" t="n">
        <f aca="false">N21*P$1</f>
        <v>18</v>
      </c>
      <c r="Q21" s="82" t="n">
        <f aca="false">N21*Q$1</f>
        <v>12</v>
      </c>
      <c r="R21" s="82" t="n">
        <f aca="false">N21*R$1</f>
        <v>6</v>
      </c>
    </row>
    <row r="22" customFormat="false" ht="11.25" hidden="false" customHeight="false" outlineLevel="0" collapsed="false">
      <c r="B22" s="60"/>
      <c r="C22" s="58"/>
      <c r="D22" s="59" t="n">
        <f aca="false">B22*C22*10000</f>
        <v>0</v>
      </c>
      <c r="E22" s="46"/>
      <c r="F22" s="60"/>
      <c r="G22" s="58"/>
      <c r="H22" s="61" t="n">
        <f aca="false">F22*G22*10000</f>
        <v>0</v>
      </c>
      <c r="J22" s="69"/>
      <c r="M22" s="80" t="n">
        <v>37062</v>
      </c>
      <c r="N22" s="81" t="n">
        <v>11</v>
      </c>
      <c r="O22" s="82" t="n">
        <f aca="false">N22*O$1</f>
        <v>22</v>
      </c>
      <c r="P22" s="82" t="n">
        <f aca="false">N22*P$1</f>
        <v>16.5</v>
      </c>
      <c r="Q22" s="82" t="n">
        <f aca="false">N22*Q$1</f>
        <v>11</v>
      </c>
      <c r="R22" s="82" t="n">
        <f aca="false">N22*R$1</f>
        <v>5.5</v>
      </c>
    </row>
    <row r="23" customFormat="false" ht="11.25" hidden="false" customHeight="false" outlineLevel="0" collapsed="false">
      <c r="B23" s="60"/>
      <c r="C23" s="58"/>
      <c r="D23" s="59" t="n">
        <f aca="false">B23*C23*10000</f>
        <v>0</v>
      </c>
      <c r="E23" s="46"/>
      <c r="F23" s="60"/>
      <c r="G23" s="58"/>
      <c r="H23" s="61" t="n">
        <f aca="false">F23*G23*10000</f>
        <v>0</v>
      </c>
      <c r="J23" s="69"/>
      <c r="M23" s="80" t="n">
        <v>37063</v>
      </c>
      <c r="N23" s="81" t="n">
        <v>10</v>
      </c>
      <c r="O23" s="82" t="n">
        <f aca="false">N23*O$1</f>
        <v>20</v>
      </c>
      <c r="P23" s="82" t="n">
        <f aca="false">N23*P$1</f>
        <v>15</v>
      </c>
      <c r="Q23" s="82" t="n">
        <f aca="false">N23*Q$1</f>
        <v>10</v>
      </c>
      <c r="R23" s="82" t="n">
        <f aca="false">N23*R$1</f>
        <v>5</v>
      </c>
    </row>
    <row r="24" customFormat="false" ht="11.25" hidden="false" customHeight="false" outlineLevel="0" collapsed="false">
      <c r="B24" s="60"/>
      <c r="C24" s="58"/>
      <c r="D24" s="59" t="n">
        <f aca="false">B24*C24*10000</f>
        <v>0</v>
      </c>
      <c r="E24" s="46"/>
      <c r="F24" s="60"/>
      <c r="G24" s="58"/>
      <c r="H24" s="61" t="n">
        <f aca="false">F24*G24*10000</f>
        <v>0</v>
      </c>
      <c r="J24" s="69"/>
      <c r="L24" s="37" t="n">
        <f aca="false">1.5*21</f>
        <v>31.5</v>
      </c>
      <c r="M24" s="80" t="n">
        <v>37064</v>
      </c>
      <c r="N24" s="81" t="n">
        <v>9</v>
      </c>
      <c r="O24" s="82" t="n">
        <f aca="false">N24*O$1</f>
        <v>18</v>
      </c>
      <c r="P24" s="82" t="n">
        <f aca="false">N24*P$1</f>
        <v>13.5</v>
      </c>
      <c r="Q24" s="82" t="n">
        <f aca="false">N24*Q$1</f>
        <v>9</v>
      </c>
      <c r="R24" s="82" t="n">
        <f aca="false">N24*R$1</f>
        <v>4.5</v>
      </c>
    </row>
    <row r="25" customFormat="false" ht="11.25" hidden="false" customHeight="false" outlineLevel="0" collapsed="false">
      <c r="B25" s="60"/>
      <c r="C25" s="58"/>
      <c r="D25" s="59" t="n">
        <f aca="false">B25*C25*10000</f>
        <v>0</v>
      </c>
      <c r="E25" s="46"/>
      <c r="F25" s="60"/>
      <c r="G25" s="58"/>
      <c r="H25" s="61" t="n">
        <f aca="false">F25*G25*10000</f>
        <v>0</v>
      </c>
      <c r="J25" s="69"/>
      <c r="M25" s="80" t="n">
        <v>37065</v>
      </c>
      <c r="N25" s="81" t="n">
        <v>8</v>
      </c>
      <c r="O25" s="82" t="n">
        <f aca="false">N25*O$1</f>
        <v>16</v>
      </c>
      <c r="P25" s="82" t="n">
        <f aca="false">N25*P$1</f>
        <v>12</v>
      </c>
      <c r="Q25" s="82" t="n">
        <f aca="false">N25*Q$1</f>
        <v>8</v>
      </c>
      <c r="R25" s="82" t="n">
        <f aca="false">N25*R$1</f>
        <v>4</v>
      </c>
    </row>
    <row r="26" customFormat="false" ht="11.25" hidden="false" customHeight="false" outlineLevel="0" collapsed="false">
      <c r="F26" s="38"/>
      <c r="H26" s="70"/>
      <c r="J26" s="69"/>
      <c r="K26" s="71"/>
      <c r="L26" s="71" t="n">
        <f aca="false">1.5*13</f>
        <v>19.5</v>
      </c>
      <c r="M26" s="80" t="n">
        <v>37066</v>
      </c>
      <c r="N26" s="81" t="n">
        <v>7</v>
      </c>
      <c r="O26" s="82" t="n">
        <f aca="false">N26*O$1</f>
        <v>14</v>
      </c>
      <c r="P26" s="82" t="n">
        <f aca="false">N26*P$1</f>
        <v>10.5</v>
      </c>
      <c r="Q26" s="82" t="n">
        <f aca="false">N26*Q$1</f>
        <v>7</v>
      </c>
      <c r="R26" s="82" t="n">
        <f aca="false">N26*R$1</f>
        <v>3.5</v>
      </c>
    </row>
    <row r="27" customFormat="false" ht="11.25" hidden="false" customHeight="false" outlineLevel="0" collapsed="false">
      <c r="B27" s="60" t="n">
        <f aca="false">SUM(B3:B26)</f>
        <v>4.5</v>
      </c>
      <c r="C27" s="72" t="n">
        <f aca="false">IF(B27=0,0,D27/B27/10000)</f>
        <v>2.54</v>
      </c>
      <c r="D27" s="59" t="n">
        <f aca="false">SUM(D2:D26)</f>
        <v>114300</v>
      </c>
      <c r="F27" s="60" t="n">
        <f aca="false">SUM(F3:F26)</f>
        <v>18</v>
      </c>
      <c r="G27" s="58" t="n">
        <f aca="false">IF(F27=0,0,H27/F27/10000)</f>
        <v>2.7</v>
      </c>
      <c r="H27" s="61" t="n">
        <f aca="false">SUM(H2:H26)</f>
        <v>486000</v>
      </c>
      <c r="K27" s="71"/>
      <c r="L27" s="71"/>
      <c r="M27" s="80" t="n">
        <v>37067</v>
      </c>
      <c r="N27" s="81" t="n">
        <v>6</v>
      </c>
      <c r="O27" s="82" t="n">
        <f aca="false">N27*O$1</f>
        <v>12</v>
      </c>
      <c r="P27" s="82" t="n">
        <f aca="false">N27*P$1</f>
        <v>9</v>
      </c>
      <c r="Q27" s="82" t="n">
        <f aca="false">N27*Q$1</f>
        <v>6</v>
      </c>
      <c r="R27" s="82" t="n">
        <f aca="false">N27*R$1</f>
        <v>3</v>
      </c>
    </row>
    <row r="28" customFormat="false" ht="11.25" hidden="false" customHeight="false" outlineLevel="0" collapsed="false">
      <c r="K28" s="71"/>
      <c r="L28" s="71"/>
      <c r="M28" s="80" t="n">
        <v>37068</v>
      </c>
      <c r="N28" s="81" t="n">
        <v>5</v>
      </c>
      <c r="O28" s="82" t="n">
        <f aca="false">N28*O$1</f>
        <v>10</v>
      </c>
      <c r="P28" s="82" t="n">
        <f aca="false">N28*P$1</f>
        <v>7.5</v>
      </c>
      <c r="Q28" s="82" t="n">
        <f aca="false">N28*Q$1</f>
        <v>5</v>
      </c>
      <c r="R28" s="82" t="n">
        <f aca="false">N28*R$1</f>
        <v>2.5</v>
      </c>
    </row>
    <row r="29" customFormat="false" ht="11.25" hidden="false" customHeight="false" outlineLevel="0" collapsed="false">
      <c r="F29" s="40" t="n">
        <f aca="false">-B27+F27</f>
        <v>13.5</v>
      </c>
      <c r="G29" s="37" t="n">
        <f aca="false">IF(F29&lt;0,C27,G27)</f>
        <v>2.7</v>
      </c>
      <c r="H29" s="41" t="n">
        <f aca="false">IF(F29&lt;0,(G29-C31)*ABS(F29)*10000,-1*(G29-C31)*ABS(F29)*10000)</f>
        <v>-0</v>
      </c>
      <c r="K29" s="71"/>
      <c r="L29" s="71"/>
      <c r="M29" s="80" t="n">
        <v>37069</v>
      </c>
      <c r="N29" s="81" t="n">
        <v>4</v>
      </c>
      <c r="O29" s="82" t="n">
        <f aca="false">N29*O$1</f>
        <v>8</v>
      </c>
      <c r="P29" s="82" t="n">
        <f aca="false">N29*P$1</f>
        <v>6</v>
      </c>
      <c r="Q29" s="82" t="n">
        <f aca="false">N29*Q$1</f>
        <v>4</v>
      </c>
      <c r="R29" s="82" t="n">
        <f aca="false">N29*R$1</f>
        <v>2</v>
      </c>
    </row>
    <row r="30" customFormat="false" ht="12.75" hidden="false" customHeight="false" outlineLevel="0" collapsed="false">
      <c r="C30" s="37" t="n">
        <f aca="false">POSTION!I11</f>
        <v>2.54</v>
      </c>
      <c r="D30" s="39" t="s">
        <v>39</v>
      </c>
      <c r="F30" s="73" t="n">
        <f aca="false">-B27+F27</f>
        <v>13.5</v>
      </c>
      <c r="G30" s="37" t="n">
        <f aca="false">IF(F30&lt;0,(C27+(J26/(ABS(F30)*10000))),IF(F30=0,0,(G27-(J26/(ABS(F30)*10000)))))</f>
        <v>2.7</v>
      </c>
      <c r="H30" s="41" t="n">
        <f aca="false">IF(F30&lt;0,(G30-C31)*ABS(F30)*10000,IF(F30=0,0,-1*(G30-C31)*ABS(F30)*10000))</f>
        <v>-0</v>
      </c>
      <c r="K30" s="71"/>
      <c r="L30" s="83" t="n">
        <f aca="false">POSTION!D22</f>
        <v>-24.75</v>
      </c>
      <c r="M30" s="80" t="n">
        <v>37070</v>
      </c>
      <c r="N30" s="81" t="n">
        <v>3</v>
      </c>
      <c r="O30" s="82" t="n">
        <f aca="false">N30*O$1</f>
        <v>6</v>
      </c>
      <c r="P30" s="82" t="n">
        <f aca="false">N30*P$1</f>
        <v>4.5</v>
      </c>
      <c r="Q30" s="82" t="n">
        <f aca="false">N30*Q$1</f>
        <v>3</v>
      </c>
      <c r="R30" s="82" t="n">
        <f aca="false">N30*R$1</f>
        <v>1.5</v>
      </c>
    </row>
    <row r="31" customFormat="false" ht="11.25" hidden="false" customHeight="false" outlineLevel="0" collapsed="false">
      <c r="C31" s="37" t="n">
        <f aca="false">POSTION!B11</f>
        <v>2.7</v>
      </c>
      <c r="D31" s="39" t="s">
        <v>40</v>
      </c>
      <c r="J31" s="74"/>
      <c r="K31" s="75"/>
      <c r="L31" s="75"/>
      <c r="M31" s="80" t="n">
        <v>37071</v>
      </c>
      <c r="N31" s="81" t="n">
        <v>2</v>
      </c>
      <c r="O31" s="82" t="n">
        <f aca="false">N31*O$1</f>
        <v>4</v>
      </c>
      <c r="P31" s="82" t="n">
        <f aca="false">N31*P$1</f>
        <v>3</v>
      </c>
      <c r="Q31" s="82" t="n">
        <f aca="false">N31*Q$1</f>
        <v>2</v>
      </c>
      <c r="R31" s="82" t="n">
        <f aca="false">N31*R$1</f>
        <v>1</v>
      </c>
    </row>
    <row r="32" customFormat="false" ht="11.25" hidden="false" customHeight="false" outlineLevel="0" collapsed="false">
      <c r="F32" s="76" t="n">
        <f aca="false">MIN($B$27,$F$27)*($C$27-$G$27)*10000</f>
        <v>-7200.00000000001</v>
      </c>
      <c r="G32" s="77"/>
      <c r="H32" s="77" t="s">
        <v>41</v>
      </c>
      <c r="M32" s="80" t="n">
        <v>37072</v>
      </c>
      <c r="N32" s="81" t="n">
        <v>1</v>
      </c>
      <c r="O32" s="82" t="n">
        <f aca="false">N32*O$1</f>
        <v>2</v>
      </c>
      <c r="P32" s="82" t="n">
        <f aca="false">N32*P$1</f>
        <v>1.5</v>
      </c>
      <c r="Q32" s="82" t="n">
        <f aca="false">N32*Q$1</f>
        <v>1</v>
      </c>
      <c r="R32" s="82" t="n">
        <f aca="false">N32*R$1</f>
        <v>0.5</v>
      </c>
    </row>
    <row r="33" customFormat="false" ht="11.25" hidden="false" customHeight="false" outlineLevel="0" collapsed="false">
      <c r="F33" s="76"/>
      <c r="G33" s="77"/>
      <c r="H33" s="77"/>
      <c r="M33" s="49"/>
      <c r="N33" s="46"/>
    </row>
    <row r="34" customFormat="false" ht="11.25" hidden="false" customHeight="false" outlineLevel="0" collapsed="false">
      <c r="F34" s="76" t="n">
        <f aca="false">$H$29</f>
        <v>-0</v>
      </c>
      <c r="G34" s="77"/>
      <c r="H34" s="77" t="s">
        <v>42</v>
      </c>
      <c r="M34" s="49"/>
    </row>
    <row r="35" customFormat="false" ht="11.25" hidden="false" customHeight="false" outlineLevel="0" collapsed="false">
      <c r="A35" s="49"/>
      <c r="F35" s="62" t="n">
        <f aca="false">$H$30</f>
        <v>-0</v>
      </c>
      <c r="G35" s="51"/>
      <c r="H35" s="51" t="s">
        <v>43</v>
      </c>
      <c r="M35" s="49"/>
    </row>
    <row r="36" customFormat="false" ht="11.25" hidden="false" customHeight="false" outlineLevel="0" collapsed="false">
      <c r="F36" s="42"/>
      <c r="H36" s="37"/>
      <c r="M36" s="49"/>
    </row>
    <row r="37" customFormat="false" ht="11.25" hidden="false" customHeight="false" outlineLevel="0" collapsed="false">
      <c r="F37" s="78" t="n">
        <f aca="false">F32+F34</f>
        <v>-7200.00000000001</v>
      </c>
      <c r="G37" s="79"/>
      <c r="H37" s="79" t="s">
        <v>44</v>
      </c>
      <c r="L37" s="37" t="n">
        <f aca="false">1.5*28</f>
        <v>42</v>
      </c>
    </row>
    <row r="39" customFormat="false" ht="11.25" hidden="false" customHeight="false" outlineLevel="0" collapsed="false">
      <c r="B39" s="40"/>
    </row>
    <row r="42" customFormat="false" ht="11.25" hidden="false" customHeight="false" outlineLevel="0" collapsed="false">
      <c r="B42" s="4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48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G12" activeCellId="0" sqref="G12"/>
    </sheetView>
  </sheetViews>
  <sheetFormatPr defaultColWidth="9.13671875" defaultRowHeight="11.25" customHeight="true" zeroHeight="false" outlineLevelRow="0" outlineLevelCol="0"/>
  <cols>
    <col collapsed="false" customWidth="false" hidden="false" outlineLevel="0" max="1" min="1" style="37" width="9.14"/>
    <col collapsed="false" customWidth="true" hidden="false" outlineLevel="0" max="2" min="2" style="38" width="6.99"/>
    <col collapsed="false" customWidth="true" hidden="false" outlineLevel="0" max="3" min="3" style="37" width="8.7"/>
    <col collapsed="false" customWidth="true" hidden="false" outlineLevel="0" max="4" min="4" style="39" width="14.41"/>
    <col collapsed="false" customWidth="true" hidden="false" outlineLevel="0" max="5" min="5" style="37" width="3.14"/>
    <col collapsed="false" customWidth="true" hidden="false" outlineLevel="0" max="6" min="6" style="40" width="9.85"/>
    <col collapsed="false" customWidth="false" hidden="false" outlineLevel="0" max="7" min="7" style="37" width="9.14"/>
    <col collapsed="false" customWidth="true" hidden="false" outlineLevel="0" max="8" min="8" style="41" width="12.56"/>
    <col collapsed="false" customWidth="true" hidden="false" outlineLevel="0" max="9" min="9" style="37" width="2.84"/>
    <col collapsed="false" customWidth="true" hidden="false" outlineLevel="0" max="10" min="10" style="42" width="14.85"/>
    <col collapsed="false" customWidth="true" hidden="false" outlineLevel="0" max="11" min="11" style="37" width="2.13"/>
    <col collapsed="false" customWidth="true" hidden="false" outlineLevel="0" max="12" min="12" style="37" width="21.7"/>
    <col collapsed="false" customWidth="false" hidden="false" outlineLevel="0" max="257" min="13" style="37" width="9.14"/>
  </cols>
  <sheetData>
    <row r="1" customFormat="false" ht="11.25" hidden="false" customHeight="false" outlineLevel="0" collapsed="false">
      <c r="B1" s="38" t="s">
        <v>31</v>
      </c>
      <c r="F1" s="40" t="s">
        <v>32</v>
      </c>
    </row>
    <row r="2" customFormat="false" ht="11.25" hidden="false" customHeight="false" outlineLevel="0" collapsed="false">
      <c r="A2" s="37" t="s">
        <v>33</v>
      </c>
      <c r="B2" s="43" t="n">
        <v>21</v>
      </c>
      <c r="C2" s="44" t="n">
        <v>2.68</v>
      </c>
      <c r="D2" s="45"/>
      <c r="E2" s="46"/>
      <c r="F2" s="43"/>
      <c r="G2" s="44"/>
      <c r="H2" s="47"/>
      <c r="J2" s="48" t="n">
        <f aca="false">IF(F2&lt;1,(C2-C37)*(B2*10000),(C37-G2)*(F2*10000))</f>
        <v>2100.00000000005</v>
      </c>
      <c r="L2" s="49" t="s">
        <v>0</v>
      </c>
    </row>
    <row r="3" customFormat="false" ht="11.25" hidden="false" customHeight="false" outlineLevel="0" collapsed="false">
      <c r="A3" s="37" t="n">
        <f aca="false">POSTION!$E$24</f>
        <v>21</v>
      </c>
      <c r="B3" s="50"/>
      <c r="C3" s="51"/>
      <c r="D3" s="52" t="n">
        <f aca="false">B3*C3*10000</f>
        <v>0</v>
      </c>
      <c r="E3" s="46"/>
      <c r="F3" s="53"/>
      <c r="G3" s="51"/>
      <c r="H3" s="54" t="n">
        <f aca="false">F3*G3*10000</f>
        <v>0</v>
      </c>
      <c r="J3" s="55" t="n">
        <f aca="false">IF(F2&lt;1,(J10*10000)*(C36-C2),(J10*10000)*(C36-G2))</f>
        <v>3900.00000000001</v>
      </c>
      <c r="L3" s="56" t="s">
        <v>34</v>
      </c>
    </row>
    <row r="4" customFormat="false" ht="11.25" hidden="false" customHeight="false" outlineLevel="0" collapsed="false">
      <c r="B4" s="84"/>
      <c r="C4" s="58"/>
      <c r="D4" s="59" t="n">
        <f aca="false">B4*C4*10000</f>
        <v>0</v>
      </c>
      <c r="E4" s="46"/>
      <c r="F4" s="60" t="n">
        <v>21</v>
      </c>
      <c r="G4" s="58" t="n">
        <v>2.63</v>
      </c>
      <c r="H4" s="61" t="n">
        <f aca="false">F4*G4*10000</f>
        <v>552300</v>
      </c>
      <c r="J4" s="62" t="n">
        <f aca="false">F43</f>
        <v>-3675.0000000002</v>
      </c>
      <c r="K4" s="63"/>
      <c r="L4" s="46" t="s">
        <v>35</v>
      </c>
    </row>
    <row r="5" customFormat="false" ht="11.25" hidden="false" customHeight="false" outlineLevel="0" collapsed="false">
      <c r="B5" s="84" t="n">
        <v>21</v>
      </c>
      <c r="C5" s="58" t="n">
        <v>2.64</v>
      </c>
      <c r="D5" s="59" t="n">
        <f aca="false">B5*C5*10000</f>
        <v>554400</v>
      </c>
      <c r="E5" s="46"/>
      <c r="F5" s="60" t="n">
        <v>10.5</v>
      </c>
      <c r="G5" s="58" t="n">
        <v>2.63</v>
      </c>
      <c r="H5" s="61" t="n">
        <f aca="false">F5*G5*10000</f>
        <v>276150</v>
      </c>
      <c r="J5" s="63"/>
      <c r="K5" s="64"/>
      <c r="L5" s="46"/>
    </row>
    <row r="6" customFormat="false" ht="12" hidden="false" customHeight="false" outlineLevel="0" collapsed="false">
      <c r="B6" s="57" t="n">
        <v>21</v>
      </c>
      <c r="C6" s="58" t="n">
        <v>2.65</v>
      </c>
      <c r="D6" s="59" t="n">
        <f aca="false">B6*C6*10000</f>
        <v>556500</v>
      </c>
      <c r="E6" s="46"/>
      <c r="F6" s="60" t="n">
        <v>10.5</v>
      </c>
      <c r="G6" s="58" t="n">
        <v>2.635</v>
      </c>
      <c r="H6" s="61" t="n">
        <f aca="false">F6*G6*10000</f>
        <v>276675</v>
      </c>
      <c r="J6" s="65" t="n">
        <f aca="false">J2+J4</f>
        <v>-1575.00000000015</v>
      </c>
      <c r="K6" s="64"/>
      <c r="L6" s="46" t="s">
        <v>36</v>
      </c>
    </row>
    <row r="7" customFormat="false" ht="12" hidden="false" customHeight="false" outlineLevel="0" collapsed="false">
      <c r="B7" s="57" t="n">
        <v>21</v>
      </c>
      <c r="C7" s="58" t="n">
        <v>2.65</v>
      </c>
      <c r="D7" s="59" t="n">
        <f aca="false">B7*C7*10000</f>
        <v>556500</v>
      </c>
      <c r="E7" s="46"/>
      <c r="F7" s="60"/>
      <c r="G7" s="58"/>
      <c r="H7" s="61" t="n">
        <f aca="false">F7*G7*10000</f>
        <v>0</v>
      </c>
      <c r="J7" s="63"/>
    </row>
    <row r="8" customFormat="false" ht="11.25" hidden="false" customHeight="false" outlineLevel="0" collapsed="false">
      <c r="B8" s="60" t="n">
        <v>10.5</v>
      </c>
      <c r="C8" s="58" t="n">
        <v>2.59</v>
      </c>
      <c r="D8" s="59" t="n">
        <f aca="false">B8*C8*10000</f>
        <v>271950</v>
      </c>
      <c r="E8" s="46"/>
      <c r="F8" s="60"/>
      <c r="G8" s="58"/>
      <c r="H8" s="61" t="n">
        <f aca="false">F8*G8*10000</f>
        <v>0</v>
      </c>
      <c r="J8" s="63"/>
      <c r="L8" s="46"/>
    </row>
    <row r="9" customFormat="false" ht="11.25" hidden="false" customHeight="false" outlineLevel="0" collapsed="false">
      <c r="B9" s="60" t="n">
        <v>21</v>
      </c>
      <c r="C9" s="58" t="n">
        <v>2.625</v>
      </c>
      <c r="D9" s="59" t="n">
        <f aca="false">B9*C9*10000</f>
        <v>551250</v>
      </c>
      <c r="E9" s="46"/>
      <c r="F9" s="60"/>
      <c r="G9" s="58"/>
      <c r="H9" s="61" t="n">
        <f aca="false">F9*G9*10000</f>
        <v>0</v>
      </c>
      <c r="J9" s="66" t="n">
        <f aca="false">F36-B2+F2</f>
        <v>-63</v>
      </c>
      <c r="L9" s="37" t="s">
        <v>1</v>
      </c>
    </row>
    <row r="10" customFormat="false" ht="11.25" hidden="false" customHeight="false" outlineLevel="0" collapsed="false">
      <c r="B10" s="60"/>
      <c r="C10" s="58"/>
      <c r="D10" s="59" t="n">
        <f aca="false">B10*C10*10000</f>
        <v>0</v>
      </c>
      <c r="E10" s="46"/>
      <c r="F10" s="60"/>
      <c r="G10" s="58"/>
      <c r="H10" s="61" t="n">
        <f aca="false">F10*G10*10000</f>
        <v>0</v>
      </c>
      <c r="J10" s="67" t="n">
        <f aca="false">IF($F$2&lt;1,($J$9/$A$3),$J$9/$A$3)</f>
        <v>-3</v>
      </c>
      <c r="L10" s="37" t="s">
        <v>2</v>
      </c>
    </row>
    <row r="11" customFormat="false" ht="11.25" hidden="false" customHeight="false" outlineLevel="0" collapsed="false">
      <c r="B11" s="60"/>
      <c r="C11" s="58"/>
      <c r="D11" s="59" t="n">
        <f aca="false">B11*C11*10000</f>
        <v>0</v>
      </c>
      <c r="E11" s="46"/>
      <c r="F11" s="60" t="n">
        <v>10.5</v>
      </c>
      <c r="G11" s="58" t="n">
        <v>2.55</v>
      </c>
      <c r="H11" s="61" t="n">
        <f aca="false">F11*G11*10000</f>
        <v>267750</v>
      </c>
      <c r="J11" s="68" t="n">
        <f aca="false">J9</f>
        <v>-63</v>
      </c>
      <c r="L11" s="37" t="s">
        <v>37</v>
      </c>
      <c r="M11" s="37" t="n">
        <f aca="false">488-306</f>
        <v>182</v>
      </c>
    </row>
    <row r="12" customFormat="false" ht="11.25" hidden="false" customHeight="false" outlineLevel="0" collapsed="false">
      <c r="B12" s="60"/>
      <c r="C12" s="58"/>
      <c r="D12" s="59" t="n">
        <f aca="false">B12*C12*10000</f>
        <v>0</v>
      </c>
      <c r="E12" s="46"/>
      <c r="F12" s="60"/>
      <c r="G12" s="58"/>
      <c r="H12" s="61" t="n">
        <f aca="false">F12*G12*10000</f>
        <v>0</v>
      </c>
      <c r="J12" s="69"/>
      <c r="M12" s="37" t="n">
        <f aca="false">M11/12</f>
        <v>15.1666666666667</v>
      </c>
    </row>
    <row r="13" customFormat="false" ht="11.25" hidden="false" customHeight="false" outlineLevel="0" collapsed="false">
      <c r="B13" s="60"/>
      <c r="C13" s="58"/>
      <c r="D13" s="59" t="n">
        <f aca="false">B13*C13*10000</f>
        <v>0</v>
      </c>
      <c r="E13" s="46"/>
      <c r="F13" s="60"/>
      <c r="G13" s="58"/>
      <c r="H13" s="61" t="n">
        <f aca="false">F13*G13*10000</f>
        <v>0</v>
      </c>
      <c r="J13" s="69" t="n">
        <f aca="false">J10*3</f>
        <v>-9</v>
      </c>
      <c r="L13" s="37" t="s">
        <v>38</v>
      </c>
      <c r="M13" s="37" t="n">
        <f aca="false">M12*3</f>
        <v>45.5</v>
      </c>
    </row>
    <row r="14" customFormat="false" ht="11.25" hidden="false" customHeight="false" outlineLevel="0" collapsed="false">
      <c r="B14" s="60"/>
      <c r="C14" s="58"/>
      <c r="D14" s="59" t="n">
        <f aca="false">B14*C14*10000</f>
        <v>0</v>
      </c>
      <c r="E14" s="46"/>
      <c r="F14" s="60"/>
      <c r="G14" s="58"/>
      <c r="H14" s="61" t="n">
        <f aca="false">F14*G14*10000</f>
        <v>0</v>
      </c>
      <c r="J14" s="69"/>
    </row>
    <row r="15" customFormat="false" ht="11.25" hidden="false" customHeight="false" outlineLevel="0" collapsed="false">
      <c r="B15" s="60"/>
      <c r="C15" s="58"/>
      <c r="D15" s="59" t="n">
        <f aca="false">B15*C15*10000</f>
        <v>0</v>
      </c>
      <c r="E15" s="46"/>
      <c r="F15" s="60"/>
      <c r="G15" s="58"/>
      <c r="H15" s="61" t="n">
        <f aca="false">F15*G15*10000</f>
        <v>0</v>
      </c>
      <c r="J15" s="69"/>
    </row>
    <row r="16" customFormat="false" ht="11.25" hidden="false" customHeight="false" outlineLevel="0" collapsed="false">
      <c r="B16" s="60"/>
      <c r="C16" s="58"/>
      <c r="D16" s="59" t="n">
        <f aca="false">B16*C16*10000</f>
        <v>0</v>
      </c>
      <c r="E16" s="46"/>
      <c r="F16" s="60"/>
      <c r="G16" s="58"/>
      <c r="H16" s="61" t="n">
        <f aca="false">F16*G16*10000</f>
        <v>0</v>
      </c>
      <c r="J16" s="69"/>
    </row>
    <row r="17" customFormat="false" ht="11.25" hidden="false" customHeight="false" outlineLevel="0" collapsed="false">
      <c r="B17" s="60"/>
      <c r="C17" s="58"/>
      <c r="D17" s="59" t="n">
        <f aca="false">B17*C17*10000</f>
        <v>0</v>
      </c>
      <c r="E17" s="46"/>
      <c r="F17" s="60"/>
      <c r="G17" s="58"/>
      <c r="H17" s="61" t="n">
        <f aca="false">F17*G17*10000</f>
        <v>0</v>
      </c>
      <c r="J17" s="69"/>
    </row>
    <row r="18" customFormat="false" ht="11.25" hidden="false" customHeight="false" outlineLevel="0" collapsed="false">
      <c r="B18" s="60"/>
      <c r="C18" s="58"/>
      <c r="D18" s="59" t="n">
        <f aca="false">B18*C18*10000</f>
        <v>0</v>
      </c>
      <c r="E18" s="46"/>
      <c r="F18" s="60"/>
      <c r="G18" s="58"/>
      <c r="H18" s="61" t="n">
        <f aca="false">F18*G18*10000</f>
        <v>0</v>
      </c>
      <c r="J18" s="69"/>
    </row>
    <row r="19" customFormat="false" ht="11.25" hidden="false" customHeight="false" outlineLevel="0" collapsed="false">
      <c r="B19" s="60"/>
      <c r="C19" s="58"/>
      <c r="D19" s="59" t="n">
        <f aca="false">B19*C19*10000</f>
        <v>0</v>
      </c>
      <c r="E19" s="46"/>
      <c r="F19" s="60"/>
      <c r="G19" s="58"/>
      <c r="H19" s="61" t="n">
        <f aca="false">F19*G19*10000</f>
        <v>0</v>
      </c>
      <c r="J19" s="69"/>
      <c r="L19" s="37" t="n">
        <v>230000</v>
      </c>
      <c r="M19" s="37" t="n">
        <f aca="false">L19*12</f>
        <v>2760000</v>
      </c>
      <c r="N19" s="37" t="n">
        <f aca="false">M19/10000</f>
        <v>276</v>
      </c>
    </row>
    <row r="20" customFormat="false" ht="11.25" hidden="false" customHeight="false" outlineLevel="0" collapsed="false">
      <c r="B20" s="60"/>
      <c r="C20" s="58"/>
      <c r="D20" s="59" t="n">
        <f aca="false">B20*C20*10000</f>
        <v>0</v>
      </c>
      <c r="E20" s="46"/>
      <c r="F20" s="60"/>
      <c r="G20" s="58"/>
      <c r="H20" s="61" t="n">
        <f aca="false">F20*G20*10000</f>
        <v>0</v>
      </c>
      <c r="J20" s="69"/>
      <c r="L20" s="37" t="n">
        <v>-366780</v>
      </c>
      <c r="M20" s="37" t="n">
        <f aca="false">L20*12</f>
        <v>-4401360</v>
      </c>
      <c r="N20" s="37" t="n">
        <f aca="false">M20/10000</f>
        <v>-440.136</v>
      </c>
    </row>
    <row r="21" customFormat="false" ht="11.25" hidden="false" customHeight="false" outlineLevel="0" collapsed="false">
      <c r="B21" s="85"/>
      <c r="C21" s="86"/>
      <c r="D21" s="59" t="n">
        <f aca="false">B21*C21*10000</f>
        <v>0</v>
      </c>
      <c r="E21" s="46"/>
      <c r="F21" s="60"/>
      <c r="G21" s="58"/>
      <c r="H21" s="61" t="n">
        <f aca="false">F21*G21*10000</f>
        <v>0</v>
      </c>
      <c r="J21" s="69"/>
      <c r="N21" s="37" t="n">
        <f aca="false">SUM(N19:N20)</f>
        <v>-164.136</v>
      </c>
    </row>
    <row r="22" customFormat="false" ht="11.25" hidden="false" customHeight="false" outlineLevel="0" collapsed="false">
      <c r="B22" s="60"/>
      <c r="C22" s="58"/>
      <c r="D22" s="59" t="n">
        <f aca="false">B22*C22*10000</f>
        <v>0</v>
      </c>
      <c r="E22" s="46"/>
      <c r="F22" s="60"/>
      <c r="G22" s="58"/>
      <c r="H22" s="61" t="n">
        <f aca="false">F22*G22*10000</f>
        <v>0</v>
      </c>
      <c r="J22" s="69"/>
    </row>
    <row r="23" customFormat="false" ht="11.25" hidden="false" customHeight="false" outlineLevel="0" collapsed="false">
      <c r="B23" s="60"/>
      <c r="C23" s="58"/>
      <c r="D23" s="59" t="n">
        <f aca="false">B23*C23*10000</f>
        <v>0</v>
      </c>
      <c r="E23" s="46"/>
      <c r="F23" s="60"/>
      <c r="G23" s="58"/>
      <c r="H23" s="61" t="n">
        <f aca="false">F23*G23*10000</f>
        <v>0</v>
      </c>
      <c r="J23" s="69"/>
    </row>
    <row r="24" customFormat="false" ht="11.25" hidden="false" customHeight="false" outlineLevel="0" collapsed="false">
      <c r="B24" s="60"/>
      <c r="C24" s="58"/>
      <c r="D24" s="59" t="n">
        <f aca="false">B24*C24*10000</f>
        <v>0</v>
      </c>
      <c r="E24" s="46"/>
      <c r="F24" s="60"/>
      <c r="G24" s="58"/>
      <c r="H24" s="61" t="n">
        <f aca="false">F24*G24*10000</f>
        <v>0</v>
      </c>
      <c r="J24" s="69"/>
    </row>
    <row r="25" customFormat="false" ht="11.25" hidden="false" customHeight="false" outlineLevel="0" collapsed="false">
      <c r="B25" s="60"/>
      <c r="C25" s="58"/>
      <c r="D25" s="59" t="n">
        <f aca="false">B25*C25*10000</f>
        <v>0</v>
      </c>
      <c r="E25" s="46"/>
      <c r="F25" s="60"/>
      <c r="G25" s="58"/>
      <c r="H25" s="61" t="n">
        <f aca="false">F25*G25*10000</f>
        <v>0</v>
      </c>
      <c r="J25" s="69"/>
    </row>
    <row r="26" customFormat="false" ht="12.75" hidden="false" customHeight="false" outlineLevel="0" collapsed="false">
      <c r="B26" s="60"/>
      <c r="C26" s="58"/>
      <c r="D26" s="59" t="n">
        <f aca="false">B26*C26*10000</f>
        <v>0</v>
      </c>
      <c r="E26" s="46"/>
      <c r="F26" s="60"/>
      <c r="G26" s="58"/>
      <c r="H26" s="61" t="n">
        <f aca="false">F26*G26*10000</f>
        <v>0</v>
      </c>
      <c r="J26" s="69"/>
      <c r="L26" s="87" t="n">
        <f aca="false">POSTION!D22</f>
        <v>-24.75</v>
      </c>
    </row>
    <row r="27" customFormat="false" ht="11.25" hidden="false" customHeight="false" outlineLevel="0" collapsed="false">
      <c r="B27" s="60"/>
      <c r="C27" s="58"/>
      <c r="D27" s="59" t="n">
        <f aca="false">B27*C27*10000</f>
        <v>0</v>
      </c>
      <c r="E27" s="46"/>
      <c r="F27" s="60"/>
      <c r="G27" s="58"/>
      <c r="H27" s="61" t="n">
        <f aca="false">F27*G27*10000</f>
        <v>0</v>
      </c>
      <c r="J27" s="69"/>
    </row>
    <row r="28" customFormat="false" ht="11.25" hidden="false" customHeight="false" outlineLevel="0" collapsed="false">
      <c r="B28" s="60"/>
      <c r="C28" s="58"/>
      <c r="D28" s="59" t="n">
        <f aca="false">B28*C28*10000</f>
        <v>0</v>
      </c>
      <c r="E28" s="46"/>
      <c r="F28" s="60"/>
      <c r="G28" s="58"/>
      <c r="H28" s="61" t="n">
        <f aca="false">F28*G28*10000</f>
        <v>0</v>
      </c>
      <c r="J28" s="69"/>
      <c r="L28" s="37" t="n">
        <v>8</v>
      </c>
      <c r="M28" s="37" t="n">
        <f aca="false">L28*12</f>
        <v>96</v>
      </c>
    </row>
    <row r="29" customFormat="false" ht="11.25" hidden="false" customHeight="false" outlineLevel="0" collapsed="false">
      <c r="B29" s="60"/>
      <c r="C29" s="58"/>
      <c r="D29" s="59" t="n">
        <f aca="false">B29*C29*10000</f>
        <v>0</v>
      </c>
      <c r="E29" s="46"/>
      <c r="F29" s="60"/>
      <c r="G29" s="58"/>
      <c r="H29" s="61" t="n">
        <f aca="false">F29*G29*10000</f>
        <v>0</v>
      </c>
      <c r="J29" s="69"/>
      <c r="K29" s="71"/>
      <c r="L29" s="71" t="n">
        <v>-5.5</v>
      </c>
      <c r="M29" s="37" t="n">
        <f aca="false">L29*12</f>
        <v>-66</v>
      </c>
      <c r="N29" s="37" t="n">
        <f aca="false">M29+M28</f>
        <v>30</v>
      </c>
    </row>
    <row r="30" customFormat="false" ht="11.25" hidden="false" customHeight="false" outlineLevel="0" collapsed="false">
      <c r="B30" s="60"/>
      <c r="C30" s="58"/>
      <c r="D30" s="59" t="n">
        <f aca="false">B30*C30*10000</f>
        <v>0</v>
      </c>
      <c r="E30" s="46"/>
      <c r="F30" s="60"/>
      <c r="G30" s="58"/>
      <c r="H30" s="61" t="n">
        <f aca="false">F30*G30*10000</f>
        <v>0</v>
      </c>
      <c r="J30" s="42" t="n">
        <f aca="false">F33-B33</f>
        <v>-42</v>
      </c>
      <c r="K30" s="71"/>
      <c r="L30" s="71" t="n">
        <v>12.5</v>
      </c>
      <c r="M30" s="37" t="n">
        <f aca="false">L30*12</f>
        <v>150</v>
      </c>
      <c r="N30" s="46"/>
    </row>
    <row r="31" customFormat="false" ht="11.25" hidden="false" customHeight="false" outlineLevel="0" collapsed="false">
      <c r="B31" s="60"/>
      <c r="C31" s="58"/>
      <c r="D31" s="59" t="n">
        <f aca="false">B31*C31*10000</f>
        <v>0</v>
      </c>
      <c r="E31" s="46"/>
      <c r="F31" s="60"/>
      <c r="G31" s="58"/>
      <c r="H31" s="61" t="n">
        <f aca="false">F31*G31*10000</f>
        <v>0</v>
      </c>
      <c r="J31" s="42" t="n">
        <f aca="false">J30+48</f>
        <v>6</v>
      </c>
      <c r="K31" s="71"/>
      <c r="L31" s="71" t="n">
        <v>4</v>
      </c>
      <c r="M31" s="37" t="n">
        <f aca="false">L31*12</f>
        <v>48</v>
      </c>
      <c r="N31" s="46" t="n">
        <f aca="false">M30+M31</f>
        <v>198</v>
      </c>
    </row>
    <row r="32" customFormat="false" ht="11.25" hidden="false" customHeight="false" outlineLevel="0" collapsed="false">
      <c r="F32" s="38"/>
      <c r="H32" s="70"/>
      <c r="K32" s="71"/>
      <c r="L32" s="71" t="n">
        <f aca="false">21/2</f>
        <v>10.5</v>
      </c>
      <c r="M32" s="46"/>
      <c r="N32" s="46"/>
    </row>
    <row r="33" customFormat="false" ht="11.25" hidden="false" customHeight="false" outlineLevel="0" collapsed="false">
      <c r="B33" s="60" t="n">
        <f aca="false">SUM(B3:B32)</f>
        <v>94.5</v>
      </c>
      <c r="C33" s="72" t="n">
        <f aca="false">IF(B33=0,0,D33/B33/10000)</f>
        <v>2.63555555555556</v>
      </c>
      <c r="D33" s="59" t="n">
        <f aca="false">SUM(D2:D32)</f>
        <v>2490600</v>
      </c>
      <c r="F33" s="60" t="n">
        <f aca="false">SUM(F3:F32)</f>
        <v>52.5</v>
      </c>
      <c r="G33" s="58" t="n">
        <f aca="false">IF(F33=0,0,H33/F33/10000)</f>
        <v>2.615</v>
      </c>
      <c r="H33" s="61" t="n">
        <f aca="false">SUM(H2:H32)</f>
        <v>1372875</v>
      </c>
      <c r="K33" s="71"/>
      <c r="L33" s="71"/>
      <c r="M33" s="46"/>
      <c r="N33" s="46"/>
    </row>
    <row r="34" customFormat="false" ht="11.25" hidden="false" customHeight="false" outlineLevel="0" collapsed="false">
      <c r="J34" s="74"/>
      <c r="K34" s="75"/>
      <c r="L34" s="75"/>
      <c r="M34" s="46"/>
      <c r="N34" s="46"/>
    </row>
    <row r="35" customFormat="false" ht="11.25" hidden="false" customHeight="false" outlineLevel="0" collapsed="false">
      <c r="F35" s="40" t="n">
        <f aca="false">-B33+F33</f>
        <v>-42</v>
      </c>
      <c r="G35" s="37" t="n">
        <f aca="false">IF(F35&lt;0,C33,G33)</f>
        <v>2.63555555555556</v>
      </c>
      <c r="H35" s="41" t="n">
        <f aca="false">IF(F35&lt;0,(G35-C37)*ABS(F35)*10000,-1*(G35-C37)*ABS(F35)*10000)</f>
        <v>-14466.6666666667</v>
      </c>
      <c r="M35" s="46"/>
      <c r="N35" s="46"/>
    </row>
    <row r="36" customFormat="false" ht="11.25" hidden="false" customHeight="false" outlineLevel="0" collapsed="false">
      <c r="C36" s="37" t="n">
        <f aca="false">POSTION!I12</f>
        <v>2.55</v>
      </c>
      <c r="D36" s="39" t="s">
        <v>39</v>
      </c>
      <c r="F36" s="73" t="n">
        <f aca="false">-B33+F33</f>
        <v>-42</v>
      </c>
      <c r="G36" s="37" t="n">
        <f aca="false">IF(F36&lt;0,(C33+(J29/(ABS(F36)*10000))),IF(F36=0,0,(G33-(J29/(ABS(F36)*10000)))))</f>
        <v>2.63555555555556</v>
      </c>
      <c r="H36" s="41" t="n">
        <f aca="false">IF(F36&lt;0,(G36-C37)*ABS(F36)*10000,IF(F36=0,0,-1*(G36-C37)*ABS(F36)*10000))</f>
        <v>-14466.6666666667</v>
      </c>
    </row>
    <row r="37" customFormat="false" ht="11.25" hidden="false" customHeight="false" outlineLevel="0" collapsed="false">
      <c r="C37" s="37" t="n">
        <f aca="false">POSTION!B12</f>
        <v>2.67</v>
      </c>
      <c r="D37" s="39" t="s">
        <v>40</v>
      </c>
    </row>
    <row r="38" customFormat="false" ht="11.25" hidden="false" customHeight="false" outlineLevel="0" collapsed="false">
      <c r="A38" s="49"/>
      <c r="F38" s="76" t="n">
        <f aca="false">MIN($B$33,$F$33)*($C$33-$G$33)*10000</f>
        <v>10791.6666666665</v>
      </c>
      <c r="G38" s="77"/>
      <c r="H38" s="77" t="s">
        <v>41</v>
      </c>
    </row>
    <row r="39" customFormat="false" ht="11.25" hidden="false" customHeight="false" outlineLevel="0" collapsed="false">
      <c r="F39" s="76"/>
      <c r="G39" s="77"/>
      <c r="H39" s="77"/>
    </row>
    <row r="40" customFormat="false" ht="11.25" hidden="false" customHeight="false" outlineLevel="0" collapsed="false">
      <c r="F40" s="76" t="n">
        <f aca="false">$H$35</f>
        <v>-14466.6666666667</v>
      </c>
      <c r="G40" s="77"/>
      <c r="H40" s="77" t="s">
        <v>42</v>
      </c>
    </row>
    <row r="41" customFormat="false" ht="11.25" hidden="false" customHeight="false" outlineLevel="0" collapsed="false">
      <c r="F41" s="62" t="n">
        <f aca="false">$H$36</f>
        <v>-14466.6666666667</v>
      </c>
      <c r="G41" s="51"/>
      <c r="H41" s="51" t="s">
        <v>43</v>
      </c>
    </row>
    <row r="42" customFormat="false" ht="11.25" hidden="false" customHeight="false" outlineLevel="0" collapsed="false">
      <c r="F42" s="42"/>
      <c r="H42" s="37"/>
    </row>
    <row r="43" customFormat="false" ht="11.25" hidden="false" customHeight="false" outlineLevel="0" collapsed="false">
      <c r="F43" s="78" t="n">
        <f aca="false">F38+F40</f>
        <v>-3675.0000000002</v>
      </c>
      <c r="G43" s="79"/>
      <c r="H43" s="79" t="s">
        <v>44</v>
      </c>
    </row>
    <row r="45" customFormat="false" ht="11.25" hidden="false" customHeight="false" outlineLevel="0" collapsed="false">
      <c r="B45" s="40"/>
    </row>
    <row r="48" customFormat="false" ht="11.25" hidden="false" customHeight="false" outlineLevel="0" collapsed="false">
      <c r="B48" s="4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42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F2" activeCellId="0" sqref="F2"/>
    </sheetView>
  </sheetViews>
  <sheetFormatPr defaultColWidth="9.13671875" defaultRowHeight="11.25" customHeight="true" zeroHeight="false" outlineLevelRow="0" outlineLevelCol="0"/>
  <cols>
    <col collapsed="false" customWidth="false" hidden="false" outlineLevel="0" max="1" min="1" style="37" width="9.14"/>
    <col collapsed="false" customWidth="true" hidden="false" outlineLevel="0" max="2" min="2" style="38" width="6.99"/>
    <col collapsed="false" customWidth="true" hidden="false" outlineLevel="0" max="3" min="3" style="37" width="8.7"/>
    <col collapsed="false" customWidth="true" hidden="false" outlineLevel="0" max="4" min="4" style="39" width="14.41"/>
    <col collapsed="false" customWidth="true" hidden="false" outlineLevel="0" max="5" min="5" style="37" width="3.14"/>
    <col collapsed="false" customWidth="true" hidden="false" outlineLevel="0" max="6" min="6" style="40" width="9.85"/>
    <col collapsed="false" customWidth="false" hidden="false" outlineLevel="0" max="7" min="7" style="37" width="9.14"/>
    <col collapsed="false" customWidth="true" hidden="false" outlineLevel="0" max="8" min="8" style="41" width="12.56"/>
    <col collapsed="false" customWidth="true" hidden="false" outlineLevel="0" max="9" min="9" style="37" width="2.84"/>
    <col collapsed="false" customWidth="true" hidden="false" outlineLevel="0" max="10" min="10" style="42" width="14.85"/>
    <col collapsed="false" customWidth="true" hidden="false" outlineLevel="0" max="11" min="11" style="37" width="2.13"/>
    <col collapsed="false" customWidth="true" hidden="false" outlineLevel="0" max="12" min="12" style="37" width="21.7"/>
    <col collapsed="false" customWidth="false" hidden="false" outlineLevel="0" max="257" min="13" style="37" width="9.14"/>
  </cols>
  <sheetData>
    <row r="1" customFormat="false" ht="11.25" hidden="false" customHeight="false" outlineLevel="0" collapsed="false">
      <c r="B1" s="38" t="s">
        <v>31</v>
      </c>
      <c r="F1" s="40" t="s">
        <v>32</v>
      </c>
    </row>
    <row r="2" customFormat="false" ht="11.25" hidden="false" customHeight="false" outlineLevel="0" collapsed="false">
      <c r="A2" s="37" t="s">
        <v>33</v>
      </c>
      <c r="B2" s="43"/>
      <c r="C2" s="44"/>
      <c r="D2" s="45"/>
      <c r="E2" s="46"/>
      <c r="F2" s="43"/>
      <c r="G2" s="44"/>
      <c r="H2" s="47"/>
      <c r="J2" s="48" t="n">
        <f aca="false">IF(F2&lt;1,(C2-C31)*(B2*10000),(C31-G2)*(F2*10000))</f>
        <v>-0</v>
      </c>
      <c r="L2" s="49" t="s">
        <v>0</v>
      </c>
    </row>
    <row r="3" customFormat="false" ht="11.25" hidden="false" customHeight="false" outlineLevel="0" collapsed="false">
      <c r="A3" s="37" t="n">
        <f aca="false">POSTION!$E$24</f>
        <v>21</v>
      </c>
      <c r="B3" s="50"/>
      <c r="C3" s="51"/>
      <c r="D3" s="52" t="n">
        <f aca="false">B3*C3*10000</f>
        <v>0</v>
      </c>
      <c r="E3" s="46"/>
      <c r="F3" s="53"/>
      <c r="G3" s="51"/>
      <c r="H3" s="54" t="n">
        <f aca="false">F3*G3*10000</f>
        <v>0</v>
      </c>
      <c r="J3" s="55" t="n">
        <f aca="false">IF(F2&lt;1,(J10*10000)*(C30-C2),(J10*10000)*(C30-G2))</f>
        <v>0</v>
      </c>
      <c r="L3" s="56" t="s">
        <v>34</v>
      </c>
    </row>
    <row r="4" customFormat="false" ht="11.25" hidden="false" customHeight="false" outlineLevel="0" collapsed="false">
      <c r="B4" s="57"/>
      <c r="C4" s="58"/>
      <c r="D4" s="59" t="n">
        <f aca="false">B4*C4*10000</f>
        <v>0</v>
      </c>
      <c r="E4" s="46"/>
      <c r="F4" s="60"/>
      <c r="G4" s="58"/>
      <c r="H4" s="61" t="n">
        <f aca="false">F4*G4*10000</f>
        <v>0</v>
      </c>
      <c r="J4" s="62" t="n">
        <f aca="false">F37</f>
        <v>0</v>
      </c>
      <c r="K4" s="63"/>
      <c r="L4" s="46" t="s">
        <v>35</v>
      </c>
    </row>
    <row r="5" customFormat="false" ht="11.25" hidden="false" customHeight="false" outlineLevel="0" collapsed="false">
      <c r="B5" s="57"/>
      <c r="C5" s="58"/>
      <c r="D5" s="59" t="n">
        <f aca="false">B5*C5*10000</f>
        <v>0</v>
      </c>
      <c r="E5" s="46"/>
      <c r="F5" s="60"/>
      <c r="G5" s="58"/>
      <c r="H5" s="61" t="n">
        <f aca="false">F5*G5*10000</f>
        <v>0</v>
      </c>
      <c r="J5" s="63"/>
      <c r="K5" s="64"/>
      <c r="L5" s="46"/>
    </row>
    <row r="6" customFormat="false" ht="12" hidden="false" customHeight="false" outlineLevel="0" collapsed="false">
      <c r="B6" s="57"/>
      <c r="C6" s="58"/>
      <c r="D6" s="59" t="n">
        <f aca="false">B6*C6*10000</f>
        <v>0</v>
      </c>
      <c r="E6" s="46"/>
      <c r="F6" s="60"/>
      <c r="G6" s="58"/>
      <c r="H6" s="61" t="n">
        <f aca="false">F6*G6*10000</f>
        <v>0</v>
      </c>
      <c r="J6" s="65" t="n">
        <f aca="false">J2+J4</f>
        <v>0</v>
      </c>
      <c r="K6" s="64"/>
      <c r="L6" s="46" t="s">
        <v>36</v>
      </c>
    </row>
    <row r="7" customFormat="false" ht="12" hidden="false" customHeight="false" outlineLevel="0" collapsed="false">
      <c r="B7" s="57"/>
      <c r="C7" s="58"/>
      <c r="D7" s="59" t="n">
        <f aca="false">B7*C7*10000</f>
        <v>0</v>
      </c>
      <c r="E7" s="46"/>
      <c r="F7" s="60"/>
      <c r="G7" s="58"/>
      <c r="H7" s="61" t="n">
        <f aca="false">F7*G7*10000</f>
        <v>0</v>
      </c>
      <c r="J7" s="63"/>
    </row>
    <row r="8" customFormat="false" ht="11.25" hidden="false" customHeight="false" outlineLevel="0" collapsed="false">
      <c r="B8" s="60"/>
      <c r="C8" s="58"/>
      <c r="D8" s="59" t="n">
        <f aca="false">B8*C8*10000</f>
        <v>0</v>
      </c>
      <c r="E8" s="46"/>
      <c r="F8" s="60"/>
      <c r="G8" s="58"/>
      <c r="H8" s="61" t="n">
        <f aca="false">F8*G8*10000</f>
        <v>0</v>
      </c>
      <c r="J8" s="63"/>
      <c r="L8" s="46"/>
    </row>
    <row r="9" customFormat="false" ht="11.25" hidden="false" customHeight="false" outlineLevel="0" collapsed="false">
      <c r="B9" s="60"/>
      <c r="C9" s="58"/>
      <c r="D9" s="59" t="n">
        <f aca="false">B9*C9*10000</f>
        <v>0</v>
      </c>
      <c r="E9" s="46"/>
      <c r="F9" s="60"/>
      <c r="G9" s="58"/>
      <c r="H9" s="61" t="n">
        <f aca="false">F9*G9*10000</f>
        <v>0</v>
      </c>
      <c r="J9" s="66" t="n">
        <f aca="false">F30-B2+F2</f>
        <v>0</v>
      </c>
      <c r="L9" s="37" t="s">
        <v>1</v>
      </c>
    </row>
    <row r="10" customFormat="false" ht="11.25" hidden="false" customHeight="false" outlineLevel="0" collapsed="false">
      <c r="B10" s="60"/>
      <c r="C10" s="58"/>
      <c r="D10" s="59" t="n">
        <f aca="false">B10*C10*10000</f>
        <v>0</v>
      </c>
      <c r="E10" s="46"/>
      <c r="F10" s="60"/>
      <c r="G10" s="58"/>
      <c r="H10" s="61" t="n">
        <f aca="false">F10*G10*10000</f>
        <v>0</v>
      </c>
      <c r="J10" s="67" t="n">
        <f aca="false">IF($F$2&lt;1,($J$9/$A$3),$J$9/$A$3)</f>
        <v>0</v>
      </c>
      <c r="L10" s="37" t="s">
        <v>2</v>
      </c>
    </row>
    <row r="11" customFormat="false" ht="11.25" hidden="false" customHeight="false" outlineLevel="0" collapsed="false">
      <c r="B11" s="60"/>
      <c r="C11" s="58"/>
      <c r="D11" s="59" t="n">
        <f aca="false">B11*C11*10000</f>
        <v>0</v>
      </c>
      <c r="E11" s="46"/>
      <c r="F11" s="60"/>
      <c r="G11" s="58"/>
      <c r="H11" s="61" t="n">
        <f aca="false">F11*G11*10000</f>
        <v>0</v>
      </c>
      <c r="J11" s="68" t="n">
        <f aca="false">J9</f>
        <v>0</v>
      </c>
      <c r="L11" s="37" t="s">
        <v>37</v>
      </c>
    </row>
    <row r="12" customFormat="false" ht="11.25" hidden="false" customHeight="false" outlineLevel="0" collapsed="false">
      <c r="B12" s="60"/>
      <c r="C12" s="58"/>
      <c r="D12" s="59" t="n">
        <f aca="false">B12*C12*10000</f>
        <v>0</v>
      </c>
      <c r="E12" s="46"/>
      <c r="F12" s="60"/>
      <c r="G12" s="58"/>
      <c r="H12" s="61" t="n">
        <f aca="false">F12*G12*10000</f>
        <v>0</v>
      </c>
      <c r="J12" s="69"/>
    </row>
    <row r="13" customFormat="false" ht="11.25" hidden="false" customHeight="false" outlineLevel="0" collapsed="false">
      <c r="B13" s="60"/>
      <c r="C13" s="58"/>
      <c r="D13" s="59" t="n">
        <f aca="false">B13*C13*10000</f>
        <v>0</v>
      </c>
      <c r="E13" s="46"/>
      <c r="F13" s="60"/>
      <c r="G13" s="58"/>
      <c r="H13" s="61" t="n">
        <f aca="false">F13*G13*10000</f>
        <v>0</v>
      </c>
      <c r="J13" s="69" t="n">
        <f aca="false">J10*3</f>
        <v>0</v>
      </c>
      <c r="L13" s="37" t="s">
        <v>38</v>
      </c>
    </row>
    <row r="14" customFormat="false" ht="11.25" hidden="false" customHeight="false" outlineLevel="0" collapsed="false">
      <c r="B14" s="60"/>
      <c r="C14" s="58"/>
      <c r="D14" s="59" t="n">
        <f aca="false">B14*C14*10000</f>
        <v>0</v>
      </c>
      <c r="E14" s="46"/>
      <c r="F14" s="60"/>
      <c r="G14" s="58"/>
      <c r="H14" s="61" t="n">
        <f aca="false">F14*G14*10000</f>
        <v>0</v>
      </c>
      <c r="J14" s="69"/>
    </row>
    <row r="15" customFormat="false" ht="11.25" hidden="false" customHeight="false" outlineLevel="0" collapsed="false">
      <c r="B15" s="60"/>
      <c r="C15" s="58"/>
      <c r="D15" s="59" t="n">
        <f aca="false">B15*C15*10000</f>
        <v>0</v>
      </c>
      <c r="E15" s="46"/>
      <c r="F15" s="60"/>
      <c r="G15" s="58"/>
      <c r="H15" s="61" t="n">
        <f aca="false">F15*G15*10000</f>
        <v>0</v>
      </c>
      <c r="J15" s="69"/>
    </row>
    <row r="16" customFormat="false" ht="11.25" hidden="false" customHeight="false" outlineLevel="0" collapsed="false">
      <c r="B16" s="60"/>
      <c r="C16" s="58"/>
      <c r="D16" s="59" t="n">
        <f aca="false">B16*C16*10000</f>
        <v>0</v>
      </c>
      <c r="E16" s="46"/>
      <c r="F16" s="60"/>
      <c r="G16" s="58"/>
      <c r="H16" s="61" t="n">
        <f aca="false">F16*G16*10000</f>
        <v>0</v>
      </c>
      <c r="J16" s="69"/>
    </row>
    <row r="17" customFormat="false" ht="11.25" hidden="false" customHeight="false" outlineLevel="0" collapsed="false">
      <c r="B17" s="60"/>
      <c r="C17" s="58"/>
      <c r="D17" s="59" t="n">
        <f aca="false">B17*C17*10000</f>
        <v>0</v>
      </c>
      <c r="E17" s="46"/>
      <c r="F17" s="60"/>
      <c r="G17" s="58"/>
      <c r="H17" s="61" t="n">
        <f aca="false">F17*G17*10000</f>
        <v>0</v>
      </c>
      <c r="J17" s="69"/>
    </row>
    <row r="18" customFormat="false" ht="11.25" hidden="false" customHeight="false" outlineLevel="0" collapsed="false">
      <c r="B18" s="60"/>
      <c r="C18" s="58"/>
      <c r="D18" s="59" t="n">
        <f aca="false">B18*C18*10000</f>
        <v>0</v>
      </c>
      <c r="E18" s="46"/>
      <c r="F18" s="60"/>
      <c r="G18" s="58"/>
      <c r="H18" s="61" t="n">
        <f aca="false">F18*G18*10000</f>
        <v>0</v>
      </c>
      <c r="J18" s="69"/>
    </row>
    <row r="19" customFormat="false" ht="11.25" hidden="false" customHeight="false" outlineLevel="0" collapsed="false">
      <c r="B19" s="60"/>
      <c r="C19" s="58"/>
      <c r="D19" s="59" t="n">
        <f aca="false">B19*C19*10000</f>
        <v>0</v>
      </c>
      <c r="E19" s="46"/>
      <c r="F19" s="60"/>
      <c r="G19" s="58"/>
      <c r="H19" s="61" t="n">
        <f aca="false">F19*G19*10000</f>
        <v>0</v>
      </c>
      <c r="J19" s="69"/>
    </row>
    <row r="20" customFormat="false" ht="11.25" hidden="false" customHeight="false" outlineLevel="0" collapsed="false">
      <c r="B20" s="60"/>
      <c r="C20" s="58"/>
      <c r="D20" s="59" t="n">
        <f aca="false">B20*C20*10000</f>
        <v>0</v>
      </c>
      <c r="E20" s="46"/>
      <c r="F20" s="60"/>
      <c r="G20" s="58"/>
      <c r="H20" s="61" t="n">
        <f aca="false">F20*G20*10000</f>
        <v>0</v>
      </c>
      <c r="J20" s="69"/>
    </row>
    <row r="21" customFormat="false" ht="11.25" hidden="false" customHeight="false" outlineLevel="0" collapsed="false">
      <c r="B21" s="60"/>
      <c r="C21" s="58"/>
      <c r="D21" s="59" t="n">
        <f aca="false">B21*C21*10000</f>
        <v>0</v>
      </c>
      <c r="E21" s="46"/>
      <c r="F21" s="60"/>
      <c r="G21" s="58"/>
      <c r="H21" s="61" t="n">
        <f aca="false">F21*G21*10000</f>
        <v>0</v>
      </c>
      <c r="J21" s="69"/>
    </row>
    <row r="22" customFormat="false" ht="11.25" hidden="false" customHeight="false" outlineLevel="0" collapsed="false">
      <c r="B22" s="60"/>
      <c r="C22" s="58"/>
      <c r="D22" s="59" t="n">
        <f aca="false">B22*C22*10000</f>
        <v>0</v>
      </c>
      <c r="E22" s="46"/>
      <c r="F22" s="60"/>
      <c r="G22" s="58"/>
      <c r="H22" s="61" t="n">
        <f aca="false">F22*G22*10000</f>
        <v>0</v>
      </c>
      <c r="J22" s="69"/>
    </row>
    <row r="23" customFormat="false" ht="11.25" hidden="false" customHeight="false" outlineLevel="0" collapsed="false">
      <c r="B23" s="60"/>
      <c r="C23" s="58"/>
      <c r="D23" s="59" t="n">
        <f aca="false">B23*C23*10000</f>
        <v>0</v>
      </c>
      <c r="E23" s="46"/>
      <c r="F23" s="60"/>
      <c r="G23" s="58"/>
      <c r="H23" s="61" t="n">
        <f aca="false">F23*G23*10000</f>
        <v>0</v>
      </c>
      <c r="J23" s="69"/>
    </row>
    <row r="24" customFormat="false" ht="11.25" hidden="false" customHeight="false" outlineLevel="0" collapsed="false">
      <c r="B24" s="60"/>
      <c r="C24" s="58"/>
      <c r="D24" s="59" t="n">
        <f aca="false">B24*C24*10000</f>
        <v>0</v>
      </c>
      <c r="E24" s="46"/>
      <c r="F24" s="60"/>
      <c r="G24" s="58"/>
      <c r="H24" s="61" t="n">
        <f aca="false">F24*G24*10000</f>
        <v>0</v>
      </c>
      <c r="J24" s="69"/>
    </row>
    <row r="25" customFormat="false" ht="11.25" hidden="false" customHeight="false" outlineLevel="0" collapsed="false">
      <c r="B25" s="60"/>
      <c r="C25" s="58"/>
      <c r="D25" s="59" t="n">
        <f aca="false">B25*C25*10000</f>
        <v>0</v>
      </c>
      <c r="E25" s="46"/>
      <c r="F25" s="60"/>
      <c r="G25" s="58"/>
      <c r="H25" s="61" t="n">
        <f aca="false">F25*G25*10000</f>
        <v>0</v>
      </c>
      <c r="J25" s="69"/>
    </row>
    <row r="26" customFormat="false" ht="11.25" hidden="false" customHeight="false" outlineLevel="0" collapsed="false">
      <c r="F26" s="38"/>
      <c r="H26" s="70"/>
      <c r="J26" s="69"/>
      <c r="K26" s="71"/>
      <c r="L26" s="71"/>
    </row>
    <row r="27" customFormat="false" ht="11.25" hidden="false" customHeight="false" outlineLevel="0" collapsed="false">
      <c r="B27" s="60" t="n">
        <f aca="false">SUM(B3:B26)</f>
        <v>0</v>
      </c>
      <c r="C27" s="72" t="n">
        <f aca="false">IF(B27=0,0,D27/B27/10000)</f>
        <v>0</v>
      </c>
      <c r="D27" s="59" t="n">
        <f aca="false">SUM(D2:D26)</f>
        <v>0</v>
      </c>
      <c r="F27" s="60" t="n">
        <f aca="false">SUM(F3:F26)</f>
        <v>0</v>
      </c>
      <c r="G27" s="58" t="n">
        <f aca="false">IF(F27=0,0,H27/F27/10000)</f>
        <v>0</v>
      </c>
      <c r="H27" s="61" t="n">
        <f aca="false">SUM(H2:H26)</f>
        <v>0</v>
      </c>
      <c r="K27" s="71"/>
      <c r="L27" s="71"/>
      <c r="M27" s="46"/>
      <c r="N27" s="46"/>
    </row>
    <row r="28" customFormat="false" ht="11.25" hidden="false" customHeight="false" outlineLevel="0" collapsed="false">
      <c r="K28" s="71"/>
      <c r="L28" s="71"/>
      <c r="M28" s="46"/>
      <c r="N28" s="46"/>
    </row>
    <row r="29" customFormat="false" ht="11.25" hidden="false" customHeight="false" outlineLevel="0" collapsed="false">
      <c r="F29" s="40" t="n">
        <f aca="false">-B27+F27</f>
        <v>0</v>
      </c>
      <c r="G29" s="37" t="n">
        <f aca="false">IF(F29&lt;0,C27,G27)</f>
        <v>0</v>
      </c>
      <c r="H29" s="41" t="n">
        <f aca="false">IF(F29&lt;0,(G29-C31)*ABS(F29)*10000,-1*(G29-C31)*ABS(F29)*10000)</f>
        <v>0</v>
      </c>
      <c r="K29" s="71"/>
      <c r="L29" s="71"/>
      <c r="M29" s="46"/>
      <c r="N29" s="46"/>
    </row>
    <row r="30" customFormat="false" ht="11.25" hidden="false" customHeight="false" outlineLevel="0" collapsed="false">
      <c r="C30" s="37" t="n">
        <f aca="false">POSTION!I13</f>
        <v>2.62</v>
      </c>
      <c r="D30" s="39" t="s">
        <v>39</v>
      </c>
      <c r="F30" s="73" t="n">
        <f aca="false">-B27+F27</f>
        <v>0</v>
      </c>
      <c r="G30" s="37" t="n">
        <f aca="false">IF(F30&lt;0,(C27+(J26/(ABS(F30)*10000))),IF(F30=0,0,(G27-(J26/(ABS(F30)*10000)))))</f>
        <v>0</v>
      </c>
      <c r="H30" s="41" t="n">
        <f aca="false">IF(F30&lt;0,(G30-C31)*ABS(F30)*10000,IF(F30=0,0,-1*(G30-C31)*ABS(F30)*10000))</f>
        <v>0</v>
      </c>
      <c r="K30" s="71"/>
      <c r="L30" s="71"/>
      <c r="M30" s="46"/>
      <c r="N30" s="46"/>
    </row>
    <row r="31" customFormat="false" ht="11.25" hidden="false" customHeight="false" outlineLevel="0" collapsed="false">
      <c r="C31" s="37" t="n">
        <f aca="false">POSTION!B13</f>
        <v>2.62</v>
      </c>
      <c r="D31" s="39" t="s">
        <v>40</v>
      </c>
      <c r="J31" s="74"/>
      <c r="K31" s="75"/>
      <c r="L31" s="75"/>
      <c r="M31" s="46"/>
      <c r="N31" s="46"/>
    </row>
    <row r="32" customFormat="false" ht="11.25" hidden="false" customHeight="false" outlineLevel="0" collapsed="false">
      <c r="F32" s="76" t="n">
        <f aca="false">MIN($B$27,$F$27)*($C$27-$G$27)*10000</f>
        <v>0</v>
      </c>
      <c r="G32" s="77"/>
      <c r="H32" s="77" t="s">
        <v>41</v>
      </c>
      <c r="M32" s="46"/>
      <c r="N32" s="46"/>
    </row>
    <row r="33" customFormat="false" ht="11.25" hidden="false" customHeight="false" outlineLevel="0" collapsed="false">
      <c r="F33" s="76"/>
      <c r="G33" s="77"/>
      <c r="H33" s="77"/>
    </row>
    <row r="34" customFormat="false" ht="11.25" hidden="false" customHeight="false" outlineLevel="0" collapsed="false">
      <c r="F34" s="76" t="n">
        <f aca="false">$H$29</f>
        <v>0</v>
      </c>
      <c r="G34" s="77"/>
      <c r="H34" s="77" t="s">
        <v>42</v>
      </c>
    </row>
    <row r="35" customFormat="false" ht="11.25" hidden="false" customHeight="false" outlineLevel="0" collapsed="false">
      <c r="A35" s="49"/>
      <c r="F35" s="62" t="n">
        <f aca="false">$H$30</f>
        <v>0</v>
      </c>
      <c r="G35" s="51"/>
      <c r="H35" s="51" t="s">
        <v>43</v>
      </c>
    </row>
    <row r="36" customFormat="false" ht="11.25" hidden="false" customHeight="false" outlineLevel="0" collapsed="false">
      <c r="F36" s="42"/>
      <c r="H36" s="37"/>
    </row>
    <row r="37" customFormat="false" ht="11.25" hidden="false" customHeight="false" outlineLevel="0" collapsed="false">
      <c r="F37" s="78" t="n">
        <f aca="false">F32+F34</f>
        <v>0</v>
      </c>
      <c r="G37" s="79"/>
      <c r="H37" s="79" t="s">
        <v>44</v>
      </c>
    </row>
    <row r="39" customFormat="false" ht="11.25" hidden="false" customHeight="false" outlineLevel="0" collapsed="false">
      <c r="B39" s="40"/>
    </row>
    <row r="42" customFormat="false" ht="11.25" hidden="false" customHeight="false" outlineLevel="0" collapsed="false">
      <c r="B42" s="4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42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C7" activeCellId="0" sqref="C7"/>
    </sheetView>
  </sheetViews>
  <sheetFormatPr defaultColWidth="9.13671875" defaultRowHeight="11.25" customHeight="true" zeroHeight="false" outlineLevelRow="0" outlineLevelCol="0"/>
  <cols>
    <col collapsed="false" customWidth="false" hidden="false" outlineLevel="0" max="1" min="1" style="37" width="9.14"/>
    <col collapsed="false" customWidth="true" hidden="false" outlineLevel="0" max="2" min="2" style="38" width="6.99"/>
    <col collapsed="false" customWidth="true" hidden="false" outlineLevel="0" max="3" min="3" style="37" width="8.7"/>
    <col collapsed="false" customWidth="true" hidden="false" outlineLevel="0" max="4" min="4" style="39" width="14.41"/>
    <col collapsed="false" customWidth="true" hidden="false" outlineLevel="0" max="5" min="5" style="37" width="3.14"/>
    <col collapsed="false" customWidth="true" hidden="false" outlineLevel="0" max="6" min="6" style="40" width="9.85"/>
    <col collapsed="false" customWidth="false" hidden="false" outlineLevel="0" max="7" min="7" style="37" width="9.14"/>
    <col collapsed="false" customWidth="true" hidden="false" outlineLevel="0" max="8" min="8" style="41" width="12.56"/>
    <col collapsed="false" customWidth="true" hidden="false" outlineLevel="0" max="9" min="9" style="37" width="2.84"/>
    <col collapsed="false" customWidth="true" hidden="false" outlineLevel="0" max="10" min="10" style="42" width="14.85"/>
    <col collapsed="false" customWidth="true" hidden="false" outlineLevel="0" max="11" min="11" style="37" width="2.13"/>
    <col collapsed="false" customWidth="true" hidden="false" outlineLevel="0" max="12" min="12" style="37" width="21.7"/>
    <col collapsed="false" customWidth="false" hidden="false" outlineLevel="0" max="257" min="13" style="37" width="9.14"/>
  </cols>
  <sheetData>
    <row r="1" customFormat="false" ht="11.25" hidden="false" customHeight="false" outlineLevel="0" collapsed="false">
      <c r="B1" s="38" t="s">
        <v>31</v>
      </c>
      <c r="F1" s="40" t="s">
        <v>32</v>
      </c>
    </row>
    <row r="2" customFormat="false" ht="11.25" hidden="false" customHeight="false" outlineLevel="0" collapsed="false">
      <c r="A2" s="37" t="s">
        <v>33</v>
      </c>
      <c r="B2" s="43"/>
      <c r="C2" s="44"/>
      <c r="D2" s="45"/>
      <c r="E2" s="46"/>
      <c r="F2" s="43" t="n">
        <v>21</v>
      </c>
      <c r="G2" s="44" t="n">
        <v>2.405</v>
      </c>
      <c r="H2" s="47"/>
      <c r="J2" s="48" t="n">
        <f aca="false">IF(F2&lt;1,(C2-C31)*(B2*10000),(C31-G2)*(F2*10000))</f>
        <v>9449.99999999999</v>
      </c>
      <c r="L2" s="49" t="s">
        <v>0</v>
      </c>
    </row>
    <row r="3" customFormat="false" ht="11.25" hidden="false" customHeight="false" outlineLevel="0" collapsed="false">
      <c r="A3" s="37" t="n">
        <f aca="false">POSTION!$E$24</f>
        <v>21</v>
      </c>
      <c r="B3" s="50"/>
      <c r="C3" s="51"/>
      <c r="D3" s="52" t="n">
        <f aca="false">B3*C3*10000</f>
        <v>0</v>
      </c>
      <c r="E3" s="46"/>
      <c r="F3" s="53"/>
      <c r="G3" s="51"/>
      <c r="H3" s="54" t="n">
        <f aca="false">F3*G3*10000</f>
        <v>0</v>
      </c>
      <c r="J3" s="55" t="n">
        <f aca="false">IF(F2&lt;1,(J10*10000)*(C30-C2),(J10*10000)*(C30-G2))</f>
        <v>-471.428571428569</v>
      </c>
      <c r="L3" s="56" t="s">
        <v>34</v>
      </c>
    </row>
    <row r="4" customFormat="false" ht="11.25" hidden="false" customHeight="false" outlineLevel="0" collapsed="false">
      <c r="B4" s="57"/>
      <c r="C4" s="58"/>
      <c r="D4" s="59" t="n">
        <f aca="false">B4*C4*10000</f>
        <v>0</v>
      </c>
      <c r="E4" s="46"/>
      <c r="F4" s="60"/>
      <c r="G4" s="58"/>
      <c r="H4" s="61" t="n">
        <f aca="false">F4*G4*10000</f>
        <v>0</v>
      </c>
      <c r="J4" s="62" t="n">
        <f aca="false">F37</f>
        <v>-2999.99999999999</v>
      </c>
      <c r="K4" s="63"/>
      <c r="L4" s="46" t="s">
        <v>35</v>
      </c>
    </row>
    <row r="5" customFormat="false" ht="11.25" hidden="false" customHeight="false" outlineLevel="0" collapsed="false">
      <c r="B5" s="57"/>
      <c r="C5" s="58"/>
      <c r="D5" s="59" t="n">
        <f aca="false">B5*C5*10000</f>
        <v>0</v>
      </c>
      <c r="E5" s="46"/>
      <c r="F5" s="60"/>
      <c r="G5" s="58"/>
      <c r="H5" s="61" t="n">
        <f aca="false">F5*G5*10000</f>
        <v>0</v>
      </c>
      <c r="J5" s="63"/>
      <c r="K5" s="64"/>
      <c r="L5" s="46"/>
    </row>
    <row r="6" customFormat="false" ht="12" hidden="false" customHeight="false" outlineLevel="0" collapsed="false">
      <c r="B6" s="57" t="n">
        <v>3</v>
      </c>
      <c r="C6" s="58" t="n">
        <v>2.35</v>
      </c>
      <c r="D6" s="59" t="n">
        <f aca="false">B6*C6*10000</f>
        <v>70500</v>
      </c>
      <c r="E6" s="46"/>
      <c r="F6" s="60"/>
      <c r="G6" s="58"/>
      <c r="H6" s="61" t="n">
        <f aca="false">F6*G6*10000</f>
        <v>0</v>
      </c>
      <c r="J6" s="65" t="n">
        <f aca="false">J2+J4</f>
        <v>6450</v>
      </c>
      <c r="K6" s="64"/>
      <c r="L6" s="46" t="s">
        <v>36</v>
      </c>
    </row>
    <row r="7" customFormat="false" ht="12" hidden="false" customHeight="false" outlineLevel="0" collapsed="false">
      <c r="B7" s="57"/>
      <c r="C7" s="58"/>
      <c r="D7" s="59" t="n">
        <f aca="false">B7*C7*10000</f>
        <v>0</v>
      </c>
      <c r="E7" s="46"/>
      <c r="F7" s="60"/>
      <c r="G7" s="58"/>
      <c r="H7" s="61" t="n">
        <f aca="false">F7*G7*10000</f>
        <v>0</v>
      </c>
      <c r="J7" s="63"/>
    </row>
    <row r="8" customFormat="false" ht="11.25" hidden="false" customHeight="false" outlineLevel="0" collapsed="false">
      <c r="B8" s="60"/>
      <c r="C8" s="58"/>
      <c r="D8" s="59" t="n">
        <f aca="false">B8*C8*10000</f>
        <v>0</v>
      </c>
      <c r="E8" s="46"/>
      <c r="F8" s="60"/>
      <c r="G8" s="58"/>
      <c r="H8" s="61" t="n">
        <f aca="false">F8*G8*10000</f>
        <v>0</v>
      </c>
      <c r="J8" s="63"/>
      <c r="L8" s="46"/>
    </row>
    <row r="9" customFormat="false" ht="11.25" hidden="false" customHeight="false" outlineLevel="0" collapsed="false">
      <c r="B9" s="60"/>
      <c r="C9" s="58"/>
      <c r="D9" s="59" t="n">
        <f aca="false">B9*C9*10000</f>
        <v>0</v>
      </c>
      <c r="E9" s="46"/>
      <c r="F9" s="60"/>
      <c r="G9" s="58"/>
      <c r="H9" s="61" t="n">
        <f aca="false">F9*G9*10000</f>
        <v>0</v>
      </c>
      <c r="J9" s="66" t="n">
        <f aca="false">F30-B2+F2</f>
        <v>18</v>
      </c>
      <c r="L9" s="37" t="s">
        <v>1</v>
      </c>
    </row>
    <row r="10" customFormat="false" ht="11.25" hidden="false" customHeight="false" outlineLevel="0" collapsed="false">
      <c r="B10" s="60"/>
      <c r="C10" s="58"/>
      <c r="D10" s="59" t="n">
        <f aca="false">B10*C10*10000</f>
        <v>0</v>
      </c>
      <c r="E10" s="46"/>
      <c r="F10" s="60"/>
      <c r="G10" s="58"/>
      <c r="H10" s="61" t="n">
        <f aca="false">F10*G10*10000</f>
        <v>0</v>
      </c>
      <c r="J10" s="67" t="n">
        <f aca="false">IF($F$2&lt;1,($J$9/$A$3),$J$9/$A$3)</f>
        <v>0.857142857142857</v>
      </c>
      <c r="L10" s="37" t="s">
        <v>2</v>
      </c>
    </row>
    <row r="11" customFormat="false" ht="11.25" hidden="false" customHeight="false" outlineLevel="0" collapsed="false">
      <c r="B11" s="60"/>
      <c r="C11" s="58"/>
      <c r="D11" s="59" t="n">
        <f aca="false">B11*C11*10000</f>
        <v>0</v>
      </c>
      <c r="E11" s="46"/>
      <c r="F11" s="60"/>
      <c r="G11" s="58"/>
      <c r="H11" s="61" t="n">
        <f aca="false">F11*G11*10000</f>
        <v>0</v>
      </c>
      <c r="J11" s="68" t="n">
        <f aca="false">J9</f>
        <v>18</v>
      </c>
      <c r="L11" s="37" t="s">
        <v>37</v>
      </c>
    </row>
    <row r="12" customFormat="false" ht="11.25" hidden="false" customHeight="false" outlineLevel="0" collapsed="false">
      <c r="B12" s="60"/>
      <c r="C12" s="58"/>
      <c r="D12" s="59" t="n">
        <f aca="false">B12*C12*10000</f>
        <v>0</v>
      </c>
      <c r="E12" s="46"/>
      <c r="F12" s="60"/>
      <c r="G12" s="58"/>
      <c r="H12" s="61" t="n">
        <f aca="false">F12*G12*10000</f>
        <v>0</v>
      </c>
      <c r="J12" s="69"/>
    </row>
    <row r="13" customFormat="false" ht="11.25" hidden="false" customHeight="false" outlineLevel="0" collapsed="false">
      <c r="B13" s="60"/>
      <c r="C13" s="58"/>
      <c r="D13" s="59" t="n">
        <f aca="false">B13*C13*10000</f>
        <v>0</v>
      </c>
      <c r="E13" s="46"/>
      <c r="F13" s="60"/>
      <c r="G13" s="58"/>
      <c r="H13" s="61" t="n">
        <f aca="false">F13*G13*10000</f>
        <v>0</v>
      </c>
      <c r="J13" s="69" t="n">
        <f aca="false">J10*3</f>
        <v>2.57142857142857</v>
      </c>
      <c r="L13" s="37" t="s">
        <v>38</v>
      </c>
    </row>
    <row r="14" customFormat="false" ht="11.25" hidden="false" customHeight="false" outlineLevel="0" collapsed="false">
      <c r="B14" s="60"/>
      <c r="C14" s="58"/>
      <c r="D14" s="59" t="n">
        <f aca="false">B14*C14*10000</f>
        <v>0</v>
      </c>
      <c r="E14" s="46"/>
      <c r="F14" s="60"/>
      <c r="G14" s="58"/>
      <c r="H14" s="61" t="n">
        <f aca="false">F14*G14*10000</f>
        <v>0</v>
      </c>
      <c r="J14" s="69"/>
    </row>
    <row r="15" customFormat="false" ht="11.25" hidden="false" customHeight="false" outlineLevel="0" collapsed="false">
      <c r="B15" s="60"/>
      <c r="C15" s="58"/>
      <c r="D15" s="59" t="n">
        <f aca="false">B15*C15*10000</f>
        <v>0</v>
      </c>
      <c r="E15" s="46"/>
      <c r="F15" s="60"/>
      <c r="G15" s="58"/>
      <c r="H15" s="61" t="n">
        <f aca="false">F15*G15*10000</f>
        <v>0</v>
      </c>
      <c r="J15" s="69"/>
    </row>
    <row r="16" customFormat="false" ht="11.25" hidden="false" customHeight="false" outlineLevel="0" collapsed="false">
      <c r="B16" s="60"/>
      <c r="C16" s="58"/>
      <c r="D16" s="59" t="n">
        <f aca="false">B16*C16*10000</f>
        <v>0</v>
      </c>
      <c r="E16" s="46"/>
      <c r="F16" s="60"/>
      <c r="G16" s="58"/>
      <c r="H16" s="61" t="n">
        <f aca="false">F16*G16*10000</f>
        <v>0</v>
      </c>
      <c r="J16" s="69"/>
    </row>
    <row r="17" customFormat="false" ht="11.25" hidden="false" customHeight="false" outlineLevel="0" collapsed="false">
      <c r="B17" s="60"/>
      <c r="C17" s="58"/>
      <c r="D17" s="59" t="n">
        <f aca="false">B17*C17*10000</f>
        <v>0</v>
      </c>
      <c r="E17" s="46"/>
      <c r="F17" s="60"/>
      <c r="G17" s="58"/>
      <c r="H17" s="61" t="n">
        <f aca="false">F17*G17*10000</f>
        <v>0</v>
      </c>
      <c r="J17" s="69"/>
      <c r="L17" s="37" t="n">
        <f aca="false">13*12.5</f>
        <v>162.5</v>
      </c>
      <c r="M17" s="37" t="n">
        <f aca="false">13*5</f>
        <v>65</v>
      </c>
    </row>
    <row r="18" customFormat="false" ht="11.25" hidden="false" customHeight="false" outlineLevel="0" collapsed="false">
      <c r="B18" s="60"/>
      <c r="C18" s="58"/>
      <c r="D18" s="59" t="n">
        <f aca="false">B18*C18*10000</f>
        <v>0</v>
      </c>
      <c r="E18" s="46"/>
      <c r="F18" s="60"/>
      <c r="G18" s="58"/>
      <c r="H18" s="61" t="n">
        <f aca="false">F18*G18*10000</f>
        <v>0</v>
      </c>
      <c r="J18" s="69"/>
      <c r="L18" s="37" t="n">
        <f aca="false">13*1.5</f>
        <v>19.5</v>
      </c>
    </row>
    <row r="19" customFormat="false" ht="11.25" hidden="false" customHeight="false" outlineLevel="0" collapsed="false">
      <c r="B19" s="60"/>
      <c r="C19" s="58"/>
      <c r="D19" s="59" t="n">
        <f aca="false">B19*C19*10000</f>
        <v>0</v>
      </c>
      <c r="E19" s="46"/>
      <c r="F19" s="60"/>
      <c r="G19" s="58"/>
      <c r="H19" s="61" t="n">
        <f aca="false">F19*G19*10000</f>
        <v>0</v>
      </c>
      <c r="J19" s="69"/>
    </row>
    <row r="20" customFormat="false" ht="11.25" hidden="false" customHeight="false" outlineLevel="0" collapsed="false">
      <c r="B20" s="60"/>
      <c r="C20" s="58"/>
      <c r="D20" s="59" t="n">
        <f aca="false">B20*C20*10000</f>
        <v>0</v>
      </c>
      <c r="E20" s="46"/>
      <c r="F20" s="60"/>
      <c r="G20" s="58"/>
      <c r="H20" s="61" t="n">
        <f aca="false">F20*G20*10000</f>
        <v>0</v>
      </c>
      <c r="J20" s="69"/>
    </row>
    <row r="21" customFormat="false" ht="11.25" hidden="false" customHeight="false" outlineLevel="0" collapsed="false">
      <c r="B21" s="60"/>
      <c r="C21" s="58"/>
      <c r="D21" s="59" t="n">
        <f aca="false">B21*C21*10000</f>
        <v>0</v>
      </c>
      <c r="E21" s="46"/>
      <c r="F21" s="60"/>
      <c r="G21" s="58"/>
      <c r="H21" s="61" t="n">
        <f aca="false">F21*G21*10000</f>
        <v>0</v>
      </c>
      <c r="J21" s="69"/>
    </row>
    <row r="22" customFormat="false" ht="11.25" hidden="false" customHeight="false" outlineLevel="0" collapsed="false">
      <c r="B22" s="60"/>
      <c r="C22" s="58"/>
      <c r="D22" s="59" t="n">
        <f aca="false">B22*C22*10000</f>
        <v>0</v>
      </c>
      <c r="E22" s="46"/>
      <c r="F22" s="60"/>
      <c r="G22" s="58"/>
      <c r="H22" s="61" t="n">
        <f aca="false">F22*G22*10000</f>
        <v>0</v>
      </c>
      <c r="J22" s="69"/>
    </row>
    <row r="23" customFormat="false" ht="11.25" hidden="false" customHeight="false" outlineLevel="0" collapsed="false">
      <c r="B23" s="60"/>
      <c r="C23" s="58"/>
      <c r="D23" s="59" t="n">
        <f aca="false">B23*C23*10000</f>
        <v>0</v>
      </c>
      <c r="E23" s="46"/>
      <c r="F23" s="60"/>
      <c r="G23" s="58"/>
      <c r="H23" s="61" t="n">
        <f aca="false">F23*G23*10000</f>
        <v>0</v>
      </c>
      <c r="J23" s="69"/>
    </row>
    <row r="24" customFormat="false" ht="11.25" hidden="false" customHeight="false" outlineLevel="0" collapsed="false">
      <c r="B24" s="60"/>
      <c r="C24" s="58"/>
      <c r="D24" s="59" t="n">
        <f aca="false">B24*C24*10000</f>
        <v>0</v>
      </c>
      <c r="E24" s="46"/>
      <c r="F24" s="60"/>
      <c r="G24" s="58"/>
      <c r="H24" s="61" t="n">
        <f aca="false">F24*G24*10000</f>
        <v>0</v>
      </c>
      <c r="J24" s="69"/>
    </row>
    <row r="25" customFormat="false" ht="11.25" hidden="false" customHeight="false" outlineLevel="0" collapsed="false">
      <c r="B25" s="60"/>
      <c r="C25" s="58"/>
      <c r="D25" s="59" t="n">
        <f aca="false">B25*C25*10000</f>
        <v>0</v>
      </c>
      <c r="E25" s="46"/>
      <c r="F25" s="60"/>
      <c r="G25" s="58"/>
      <c r="H25" s="61" t="n">
        <f aca="false">F25*G25*10000</f>
        <v>0</v>
      </c>
      <c r="J25" s="69"/>
    </row>
    <row r="26" customFormat="false" ht="11.25" hidden="false" customHeight="false" outlineLevel="0" collapsed="false">
      <c r="F26" s="38"/>
      <c r="H26" s="70"/>
      <c r="J26" s="69"/>
      <c r="K26" s="71"/>
      <c r="L26" s="71"/>
    </row>
    <row r="27" customFormat="false" ht="11.25" hidden="false" customHeight="false" outlineLevel="0" collapsed="false">
      <c r="B27" s="60" t="n">
        <f aca="false">SUM(B3:B26)</f>
        <v>3</v>
      </c>
      <c r="C27" s="72" t="n">
        <f aca="false">IF(B27=0,0,D27/B27/10000)</f>
        <v>2.35</v>
      </c>
      <c r="D27" s="59" t="n">
        <f aca="false">SUM(D2:D26)</f>
        <v>70500</v>
      </c>
      <c r="F27" s="60" t="n">
        <f aca="false">SUM(F3:F26)</f>
        <v>0</v>
      </c>
      <c r="G27" s="58" t="n">
        <f aca="false">IF(F27=0,0,H27/F27/10000)</f>
        <v>0</v>
      </c>
      <c r="H27" s="61" t="n">
        <f aca="false">SUM(H2:H26)</f>
        <v>0</v>
      </c>
      <c r="K27" s="71"/>
      <c r="L27" s="71"/>
      <c r="M27" s="46"/>
      <c r="N27" s="46"/>
    </row>
    <row r="28" customFormat="false" ht="12.75" hidden="false" customHeight="false" outlineLevel="0" collapsed="false">
      <c r="K28" s="71"/>
      <c r="L28" s="83" t="n">
        <f aca="false">POSTION!D22</f>
        <v>-24.75</v>
      </c>
      <c r="M28" s="46"/>
      <c r="N28" s="46"/>
    </row>
    <row r="29" customFormat="false" ht="11.25" hidden="false" customHeight="false" outlineLevel="0" collapsed="false">
      <c r="F29" s="40" t="n">
        <f aca="false">-B27+F27</f>
        <v>-3</v>
      </c>
      <c r="G29" s="37" t="n">
        <f aca="false">IF(F29&lt;0,C27,G27)</f>
        <v>2.35</v>
      </c>
      <c r="H29" s="41" t="n">
        <f aca="false">IF(F29&lt;0,(G29-C31)*ABS(F29)*10000,-1*(G29-C31)*ABS(F29)*10000)</f>
        <v>-2999.99999999999</v>
      </c>
      <c r="K29" s="71"/>
      <c r="L29" s="71"/>
      <c r="M29" s="46"/>
      <c r="N29" s="46"/>
    </row>
    <row r="30" customFormat="false" ht="11.25" hidden="false" customHeight="false" outlineLevel="0" collapsed="false">
      <c r="C30" s="37" t="n">
        <f aca="false">POSTION!I14</f>
        <v>2.35</v>
      </c>
      <c r="D30" s="39" t="s">
        <v>39</v>
      </c>
      <c r="F30" s="73" t="n">
        <f aca="false">-B27+F27</f>
        <v>-3</v>
      </c>
      <c r="G30" s="37" t="n">
        <f aca="false">IF(F30&lt;0,(C27+(J26/(ABS(F30)*10000))),IF(F30=0,0,(G27-(J26/(ABS(F30)*10000)))))</f>
        <v>2.35</v>
      </c>
      <c r="H30" s="41" t="n">
        <f aca="false">IF(F30&lt;0,(G30-C31)*ABS(F30)*10000,IF(F30=0,0,-1*(G30-C31)*ABS(F30)*10000))</f>
        <v>-2999.99999999999</v>
      </c>
      <c r="K30" s="71"/>
      <c r="L30" s="71"/>
      <c r="M30" s="46"/>
      <c r="N30" s="46"/>
    </row>
    <row r="31" customFormat="false" ht="11.25" hidden="false" customHeight="false" outlineLevel="0" collapsed="false">
      <c r="C31" s="37" t="n">
        <f aca="false">POSTION!B14</f>
        <v>2.45</v>
      </c>
      <c r="D31" s="39" t="s">
        <v>40</v>
      </c>
      <c r="J31" s="74"/>
      <c r="K31" s="75"/>
      <c r="L31" s="75"/>
      <c r="M31" s="46"/>
      <c r="N31" s="46"/>
    </row>
    <row r="32" customFormat="false" ht="11.25" hidden="false" customHeight="false" outlineLevel="0" collapsed="false">
      <c r="F32" s="76" t="n">
        <f aca="false">MIN($B$27,$F$27)*($C$27-$G$27)*10000</f>
        <v>0</v>
      </c>
      <c r="G32" s="77"/>
      <c r="H32" s="77" t="s">
        <v>41</v>
      </c>
      <c r="M32" s="46"/>
      <c r="N32" s="46"/>
    </row>
    <row r="33" customFormat="false" ht="11.25" hidden="false" customHeight="false" outlineLevel="0" collapsed="false">
      <c r="F33" s="76"/>
      <c r="G33" s="77"/>
      <c r="H33" s="77"/>
    </row>
    <row r="34" customFormat="false" ht="11.25" hidden="false" customHeight="false" outlineLevel="0" collapsed="false">
      <c r="F34" s="76" t="n">
        <f aca="false">$H$29</f>
        <v>-2999.99999999999</v>
      </c>
      <c r="G34" s="77"/>
      <c r="H34" s="77" t="s">
        <v>42</v>
      </c>
    </row>
    <row r="35" customFormat="false" ht="11.25" hidden="false" customHeight="false" outlineLevel="0" collapsed="false">
      <c r="A35" s="49"/>
      <c r="F35" s="62" t="n">
        <f aca="false">$H$30</f>
        <v>-2999.99999999999</v>
      </c>
      <c r="G35" s="51"/>
      <c r="H35" s="51" t="s">
        <v>43</v>
      </c>
    </row>
    <row r="36" customFormat="false" ht="11.25" hidden="false" customHeight="false" outlineLevel="0" collapsed="false">
      <c r="F36" s="42"/>
      <c r="H36" s="37"/>
    </row>
    <row r="37" customFormat="false" ht="11.25" hidden="false" customHeight="false" outlineLevel="0" collapsed="false">
      <c r="F37" s="78" t="n">
        <f aca="false">F32+F34</f>
        <v>-2999.99999999999</v>
      </c>
      <c r="G37" s="79"/>
      <c r="H37" s="79" t="s">
        <v>44</v>
      </c>
    </row>
    <row r="39" customFormat="false" ht="11.25" hidden="false" customHeight="false" outlineLevel="0" collapsed="false">
      <c r="B39" s="40"/>
    </row>
    <row r="42" customFormat="false" ht="11.25" hidden="false" customHeight="false" outlineLevel="0" collapsed="false">
      <c r="B42" s="4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42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B2" activeCellId="0" sqref="B2:C2"/>
    </sheetView>
  </sheetViews>
  <sheetFormatPr defaultColWidth="9.13671875" defaultRowHeight="11.25" customHeight="true" zeroHeight="false" outlineLevelRow="0" outlineLevelCol="0"/>
  <cols>
    <col collapsed="false" customWidth="false" hidden="false" outlineLevel="0" max="1" min="1" style="37" width="9.14"/>
    <col collapsed="false" customWidth="true" hidden="false" outlineLevel="0" max="2" min="2" style="38" width="6.99"/>
    <col collapsed="false" customWidth="true" hidden="false" outlineLevel="0" max="3" min="3" style="37" width="8.7"/>
    <col collapsed="false" customWidth="true" hidden="false" outlineLevel="0" max="4" min="4" style="39" width="14.41"/>
    <col collapsed="false" customWidth="true" hidden="false" outlineLevel="0" max="5" min="5" style="37" width="3.14"/>
    <col collapsed="false" customWidth="true" hidden="false" outlineLevel="0" max="6" min="6" style="40" width="9.85"/>
    <col collapsed="false" customWidth="false" hidden="false" outlineLevel="0" max="7" min="7" style="37" width="9.14"/>
    <col collapsed="false" customWidth="true" hidden="false" outlineLevel="0" max="8" min="8" style="41" width="12.56"/>
    <col collapsed="false" customWidth="true" hidden="false" outlineLevel="0" max="9" min="9" style="37" width="2.84"/>
    <col collapsed="false" customWidth="true" hidden="false" outlineLevel="0" max="10" min="10" style="42" width="14.85"/>
    <col collapsed="false" customWidth="true" hidden="false" outlineLevel="0" max="11" min="11" style="37" width="2.13"/>
    <col collapsed="false" customWidth="true" hidden="false" outlineLevel="0" max="12" min="12" style="37" width="21.7"/>
    <col collapsed="false" customWidth="false" hidden="false" outlineLevel="0" max="257" min="13" style="37" width="9.14"/>
  </cols>
  <sheetData>
    <row r="1" customFormat="false" ht="11.25" hidden="false" customHeight="false" outlineLevel="0" collapsed="false">
      <c r="B1" s="38" t="s">
        <v>31</v>
      </c>
      <c r="F1" s="40" t="s">
        <v>32</v>
      </c>
    </row>
    <row r="2" customFormat="false" ht="11.25" hidden="false" customHeight="false" outlineLevel="0" collapsed="false">
      <c r="A2" s="37" t="s">
        <v>33</v>
      </c>
      <c r="B2" s="43"/>
      <c r="C2" s="44"/>
      <c r="D2" s="45"/>
      <c r="E2" s="46"/>
      <c r="F2" s="43"/>
      <c r="G2" s="44"/>
      <c r="H2" s="47"/>
      <c r="J2" s="48" t="n">
        <f aca="false">IF(F2&lt;1,(C2-C31)*(B2*10000),(C31-G2)*(F2*10000))</f>
        <v>-0</v>
      </c>
      <c r="L2" s="49" t="s">
        <v>0</v>
      </c>
    </row>
    <row r="3" customFormat="false" ht="11.25" hidden="false" customHeight="false" outlineLevel="0" collapsed="false">
      <c r="A3" s="37" t="n">
        <f aca="false">POSTION!$E$24</f>
        <v>21</v>
      </c>
      <c r="B3" s="50"/>
      <c r="C3" s="51"/>
      <c r="D3" s="52" t="n">
        <f aca="false">B3*C3*10000</f>
        <v>0</v>
      </c>
      <c r="E3" s="46"/>
      <c r="F3" s="53"/>
      <c r="G3" s="51"/>
      <c r="H3" s="54" t="n">
        <f aca="false">F3*G3*10000</f>
        <v>0</v>
      </c>
      <c r="J3" s="55" t="n">
        <f aca="false">IF(F2&lt;1,(J10*10000)*(C30-C2),(J10*10000)*(C30-G2))</f>
        <v>0</v>
      </c>
      <c r="L3" s="56" t="s">
        <v>34</v>
      </c>
    </row>
    <row r="4" customFormat="false" ht="11.25" hidden="false" customHeight="false" outlineLevel="0" collapsed="false">
      <c r="B4" s="57"/>
      <c r="C4" s="58"/>
      <c r="D4" s="59" t="n">
        <f aca="false">B4*C4*10000</f>
        <v>0</v>
      </c>
      <c r="E4" s="46"/>
      <c r="F4" s="60"/>
      <c r="G4" s="58"/>
      <c r="H4" s="61" t="n">
        <f aca="false">F4*G4*10000</f>
        <v>0</v>
      </c>
      <c r="J4" s="62" t="n">
        <f aca="false">F37</f>
        <v>0</v>
      </c>
      <c r="K4" s="63"/>
      <c r="L4" s="46" t="s">
        <v>35</v>
      </c>
    </row>
    <row r="5" customFormat="false" ht="11.25" hidden="false" customHeight="false" outlineLevel="0" collapsed="false">
      <c r="B5" s="57"/>
      <c r="C5" s="58"/>
      <c r="D5" s="59" t="n">
        <f aca="false">B5*C5*10000</f>
        <v>0</v>
      </c>
      <c r="E5" s="46"/>
      <c r="F5" s="60"/>
      <c r="G5" s="58"/>
      <c r="H5" s="61" t="n">
        <f aca="false">F5*G5*10000</f>
        <v>0</v>
      </c>
      <c r="J5" s="63"/>
      <c r="K5" s="64"/>
      <c r="L5" s="46"/>
    </row>
    <row r="6" customFormat="false" ht="12" hidden="false" customHeight="false" outlineLevel="0" collapsed="false">
      <c r="B6" s="57"/>
      <c r="C6" s="58"/>
      <c r="D6" s="59" t="n">
        <f aca="false">B6*C6*10000</f>
        <v>0</v>
      </c>
      <c r="E6" s="46"/>
      <c r="F6" s="60"/>
      <c r="G6" s="58"/>
      <c r="H6" s="61" t="n">
        <f aca="false">F6*G6*10000</f>
        <v>0</v>
      </c>
      <c r="J6" s="65" t="n">
        <f aca="false">J2+J4</f>
        <v>0</v>
      </c>
      <c r="K6" s="64"/>
      <c r="L6" s="46" t="s">
        <v>36</v>
      </c>
    </row>
    <row r="7" customFormat="false" ht="12" hidden="false" customHeight="false" outlineLevel="0" collapsed="false">
      <c r="B7" s="57"/>
      <c r="C7" s="58"/>
      <c r="D7" s="59" t="n">
        <f aca="false">B7*C7*10000</f>
        <v>0</v>
      </c>
      <c r="E7" s="46"/>
      <c r="F7" s="60"/>
      <c r="G7" s="58"/>
      <c r="H7" s="61" t="n">
        <f aca="false">F7*G7*10000</f>
        <v>0</v>
      </c>
      <c r="J7" s="63"/>
    </row>
    <row r="8" customFormat="false" ht="11.25" hidden="false" customHeight="false" outlineLevel="0" collapsed="false">
      <c r="B8" s="60"/>
      <c r="C8" s="58"/>
      <c r="D8" s="59" t="n">
        <f aca="false">B8*C8*10000</f>
        <v>0</v>
      </c>
      <c r="E8" s="46"/>
      <c r="F8" s="60"/>
      <c r="G8" s="58"/>
      <c r="H8" s="61" t="n">
        <f aca="false">F8*G8*10000</f>
        <v>0</v>
      </c>
      <c r="J8" s="63"/>
      <c r="L8" s="46"/>
    </row>
    <row r="9" customFormat="false" ht="11.25" hidden="false" customHeight="false" outlineLevel="0" collapsed="false">
      <c r="B9" s="60"/>
      <c r="C9" s="58"/>
      <c r="D9" s="59" t="n">
        <f aca="false">B9*C9*10000</f>
        <v>0</v>
      </c>
      <c r="E9" s="46"/>
      <c r="F9" s="60"/>
      <c r="G9" s="58"/>
      <c r="H9" s="61" t="n">
        <f aca="false">F9*G9*10000</f>
        <v>0</v>
      </c>
      <c r="J9" s="66" t="n">
        <f aca="false">F30-B2+F2</f>
        <v>0</v>
      </c>
      <c r="L9" s="37" t="s">
        <v>1</v>
      </c>
    </row>
    <row r="10" customFormat="false" ht="11.25" hidden="false" customHeight="false" outlineLevel="0" collapsed="false">
      <c r="B10" s="60"/>
      <c r="C10" s="58"/>
      <c r="D10" s="59" t="n">
        <f aca="false">B10*C10*10000</f>
        <v>0</v>
      </c>
      <c r="E10" s="46"/>
      <c r="F10" s="60"/>
      <c r="G10" s="58"/>
      <c r="H10" s="61" t="n">
        <f aca="false">F10*G10*10000</f>
        <v>0</v>
      </c>
      <c r="J10" s="67" t="n">
        <f aca="false">IF($F$2&lt;1,($J$9/$A$3),$J$9/$A$3)</f>
        <v>0</v>
      </c>
      <c r="L10" s="37" t="s">
        <v>2</v>
      </c>
    </row>
    <row r="11" customFormat="false" ht="11.25" hidden="false" customHeight="false" outlineLevel="0" collapsed="false">
      <c r="B11" s="60"/>
      <c r="C11" s="58"/>
      <c r="D11" s="59" t="n">
        <f aca="false">B11*C11*10000</f>
        <v>0</v>
      </c>
      <c r="E11" s="46"/>
      <c r="F11" s="60"/>
      <c r="G11" s="58"/>
      <c r="H11" s="61" t="n">
        <f aca="false">F11*G11*10000</f>
        <v>0</v>
      </c>
      <c r="J11" s="68" t="n">
        <f aca="false">J9</f>
        <v>0</v>
      </c>
      <c r="L11" s="37" t="s">
        <v>37</v>
      </c>
    </row>
    <row r="12" customFormat="false" ht="11.25" hidden="false" customHeight="false" outlineLevel="0" collapsed="false">
      <c r="B12" s="60"/>
      <c r="C12" s="58"/>
      <c r="D12" s="59" t="n">
        <f aca="false">B12*C12*10000</f>
        <v>0</v>
      </c>
      <c r="E12" s="46"/>
      <c r="F12" s="60"/>
      <c r="G12" s="58"/>
      <c r="H12" s="61" t="n">
        <f aca="false">F12*G12*10000</f>
        <v>0</v>
      </c>
      <c r="J12" s="69"/>
    </row>
    <row r="13" customFormat="false" ht="11.25" hidden="false" customHeight="false" outlineLevel="0" collapsed="false">
      <c r="B13" s="60"/>
      <c r="C13" s="58"/>
      <c r="D13" s="59" t="n">
        <f aca="false">B13*C13*10000</f>
        <v>0</v>
      </c>
      <c r="E13" s="46"/>
      <c r="F13" s="60"/>
      <c r="G13" s="58"/>
      <c r="H13" s="61" t="n">
        <f aca="false">F13*G13*10000</f>
        <v>0</v>
      </c>
      <c r="J13" s="69" t="n">
        <f aca="false">J10*3</f>
        <v>0</v>
      </c>
      <c r="L13" s="37" t="s">
        <v>38</v>
      </c>
    </row>
    <row r="14" customFormat="false" ht="11.25" hidden="false" customHeight="false" outlineLevel="0" collapsed="false">
      <c r="B14" s="60"/>
      <c r="C14" s="58"/>
      <c r="D14" s="59" t="n">
        <f aca="false">B14*C14*10000</f>
        <v>0</v>
      </c>
      <c r="E14" s="46"/>
      <c r="F14" s="60"/>
      <c r="G14" s="58"/>
      <c r="H14" s="61" t="n">
        <f aca="false">F14*G14*10000</f>
        <v>0</v>
      </c>
      <c r="J14" s="69"/>
    </row>
    <row r="15" customFormat="false" ht="11.25" hidden="false" customHeight="false" outlineLevel="0" collapsed="false">
      <c r="B15" s="60"/>
      <c r="C15" s="58"/>
      <c r="D15" s="59" t="n">
        <f aca="false">B15*C15*10000</f>
        <v>0</v>
      </c>
      <c r="E15" s="46"/>
      <c r="F15" s="60"/>
      <c r="G15" s="58"/>
      <c r="H15" s="61" t="n">
        <f aca="false">F15*G15*10000</f>
        <v>0</v>
      </c>
      <c r="J15" s="69"/>
    </row>
    <row r="16" customFormat="false" ht="11.25" hidden="false" customHeight="false" outlineLevel="0" collapsed="false">
      <c r="B16" s="60"/>
      <c r="C16" s="58"/>
      <c r="D16" s="59" t="n">
        <f aca="false">B16*C16*10000</f>
        <v>0</v>
      </c>
      <c r="E16" s="46"/>
      <c r="F16" s="60"/>
      <c r="G16" s="58"/>
      <c r="H16" s="61" t="n">
        <f aca="false">F16*G16*10000</f>
        <v>0</v>
      </c>
      <c r="J16" s="69"/>
    </row>
    <row r="17" customFormat="false" ht="11.25" hidden="false" customHeight="false" outlineLevel="0" collapsed="false">
      <c r="B17" s="60"/>
      <c r="C17" s="58"/>
      <c r="D17" s="59" t="n">
        <f aca="false">B17*C17*10000</f>
        <v>0</v>
      </c>
      <c r="E17" s="46"/>
      <c r="F17" s="60"/>
      <c r="G17" s="58"/>
      <c r="H17" s="61" t="n">
        <f aca="false">F17*G17*10000</f>
        <v>0</v>
      </c>
      <c r="J17" s="69"/>
    </row>
    <row r="18" customFormat="false" ht="11.25" hidden="false" customHeight="false" outlineLevel="0" collapsed="false">
      <c r="B18" s="60"/>
      <c r="C18" s="58"/>
      <c r="D18" s="59" t="n">
        <f aca="false">B18*C18*10000</f>
        <v>0</v>
      </c>
      <c r="E18" s="46"/>
      <c r="F18" s="60"/>
      <c r="G18" s="58"/>
      <c r="H18" s="61" t="n">
        <f aca="false">F18*G18*10000</f>
        <v>0</v>
      </c>
      <c r="J18" s="69"/>
    </row>
    <row r="19" customFormat="false" ht="11.25" hidden="false" customHeight="false" outlineLevel="0" collapsed="false">
      <c r="B19" s="60"/>
      <c r="C19" s="58"/>
      <c r="D19" s="59" t="n">
        <f aca="false">B19*C19*10000</f>
        <v>0</v>
      </c>
      <c r="E19" s="46"/>
      <c r="F19" s="60"/>
      <c r="G19" s="58"/>
      <c r="H19" s="61" t="n">
        <f aca="false">F19*G19*10000</f>
        <v>0</v>
      </c>
      <c r="J19" s="69"/>
    </row>
    <row r="20" customFormat="false" ht="11.25" hidden="false" customHeight="false" outlineLevel="0" collapsed="false">
      <c r="B20" s="60"/>
      <c r="C20" s="58"/>
      <c r="D20" s="59" t="n">
        <f aca="false">B20*C20*10000</f>
        <v>0</v>
      </c>
      <c r="E20" s="46"/>
      <c r="F20" s="60"/>
      <c r="G20" s="58"/>
      <c r="H20" s="61" t="n">
        <f aca="false">F20*G20*10000</f>
        <v>0</v>
      </c>
      <c r="J20" s="69"/>
    </row>
    <row r="21" customFormat="false" ht="11.25" hidden="false" customHeight="false" outlineLevel="0" collapsed="false">
      <c r="B21" s="60"/>
      <c r="C21" s="58"/>
      <c r="D21" s="59" t="n">
        <f aca="false">B21*C21*10000</f>
        <v>0</v>
      </c>
      <c r="E21" s="46"/>
      <c r="F21" s="60"/>
      <c r="G21" s="58"/>
      <c r="H21" s="61" t="n">
        <f aca="false">F21*G21*10000</f>
        <v>0</v>
      </c>
      <c r="J21" s="69"/>
    </row>
    <row r="22" customFormat="false" ht="11.25" hidden="false" customHeight="false" outlineLevel="0" collapsed="false">
      <c r="B22" s="60"/>
      <c r="C22" s="58"/>
      <c r="D22" s="59" t="n">
        <f aca="false">B22*C22*10000</f>
        <v>0</v>
      </c>
      <c r="E22" s="46"/>
      <c r="F22" s="60"/>
      <c r="G22" s="58"/>
      <c r="H22" s="61" t="n">
        <f aca="false">F22*G22*10000</f>
        <v>0</v>
      </c>
      <c r="J22" s="69"/>
    </row>
    <row r="23" customFormat="false" ht="11.25" hidden="false" customHeight="false" outlineLevel="0" collapsed="false">
      <c r="B23" s="60"/>
      <c r="C23" s="58"/>
      <c r="D23" s="59" t="n">
        <f aca="false">B23*C23*10000</f>
        <v>0</v>
      </c>
      <c r="E23" s="46"/>
      <c r="F23" s="60"/>
      <c r="G23" s="58"/>
      <c r="H23" s="61" t="n">
        <f aca="false">F23*G23*10000</f>
        <v>0</v>
      </c>
      <c r="J23" s="69"/>
    </row>
    <row r="24" customFormat="false" ht="11.25" hidden="false" customHeight="false" outlineLevel="0" collapsed="false">
      <c r="B24" s="60"/>
      <c r="C24" s="58"/>
      <c r="D24" s="59" t="n">
        <f aca="false">B24*C24*10000</f>
        <v>0</v>
      </c>
      <c r="E24" s="46"/>
      <c r="F24" s="60"/>
      <c r="G24" s="58"/>
      <c r="H24" s="61" t="n">
        <f aca="false">F24*G24*10000</f>
        <v>0</v>
      </c>
      <c r="J24" s="69"/>
    </row>
    <row r="25" customFormat="false" ht="11.25" hidden="false" customHeight="false" outlineLevel="0" collapsed="false">
      <c r="B25" s="60"/>
      <c r="C25" s="58"/>
      <c r="D25" s="59" t="n">
        <f aca="false">B25*C25*10000</f>
        <v>0</v>
      </c>
      <c r="E25" s="46"/>
      <c r="F25" s="60"/>
      <c r="G25" s="58"/>
      <c r="H25" s="61" t="n">
        <f aca="false">F25*G25*10000</f>
        <v>0</v>
      </c>
      <c r="J25" s="69"/>
    </row>
    <row r="26" customFormat="false" ht="11.25" hidden="false" customHeight="false" outlineLevel="0" collapsed="false">
      <c r="F26" s="38"/>
      <c r="H26" s="70"/>
      <c r="J26" s="69"/>
      <c r="K26" s="71"/>
      <c r="L26" s="71"/>
    </row>
    <row r="27" customFormat="false" ht="11.25" hidden="false" customHeight="false" outlineLevel="0" collapsed="false">
      <c r="B27" s="60" t="n">
        <f aca="false">SUM(B3:B26)</f>
        <v>0</v>
      </c>
      <c r="C27" s="72" t="n">
        <f aca="false">IF(B27=0,0,D27/B27/10000)</f>
        <v>0</v>
      </c>
      <c r="D27" s="59" t="n">
        <f aca="false">SUM(D2:D26)</f>
        <v>0</v>
      </c>
      <c r="F27" s="60" t="n">
        <f aca="false">SUM(F3:F26)</f>
        <v>0</v>
      </c>
      <c r="G27" s="58" t="n">
        <f aca="false">IF(F27=0,0,H27/F27/10000)</f>
        <v>0</v>
      </c>
      <c r="H27" s="61" t="n">
        <f aca="false">SUM(H2:H26)</f>
        <v>0</v>
      </c>
      <c r="K27" s="71"/>
      <c r="L27" s="71"/>
      <c r="M27" s="46"/>
      <c r="N27" s="46"/>
    </row>
    <row r="28" customFormat="false" ht="11.25" hidden="false" customHeight="false" outlineLevel="0" collapsed="false">
      <c r="K28" s="71"/>
      <c r="L28" s="71"/>
      <c r="M28" s="46"/>
      <c r="N28" s="46"/>
    </row>
    <row r="29" customFormat="false" ht="11.25" hidden="false" customHeight="false" outlineLevel="0" collapsed="false">
      <c r="F29" s="40" t="n">
        <f aca="false">-B27+F27</f>
        <v>0</v>
      </c>
      <c r="G29" s="37" t="n">
        <f aca="false">IF(F29&lt;0,C27,G27)</f>
        <v>0</v>
      </c>
      <c r="H29" s="41" t="n">
        <f aca="false">IF(F29&lt;0,(G29-C31)*ABS(F29)*10000,-1*(G29-C31)*ABS(F29)*10000)</f>
        <v>0</v>
      </c>
      <c r="K29" s="71"/>
      <c r="L29" s="71"/>
      <c r="M29" s="46"/>
      <c r="N29" s="46"/>
    </row>
    <row r="30" customFormat="false" ht="11.25" hidden="false" customHeight="false" outlineLevel="0" collapsed="false">
      <c r="C30" s="37" t="n">
        <f aca="false">POSTION!I15</f>
        <v>2.485</v>
      </c>
      <c r="D30" s="39" t="s">
        <v>39</v>
      </c>
      <c r="F30" s="73" t="n">
        <f aca="false">-B27+F27</f>
        <v>0</v>
      </c>
      <c r="G30" s="37" t="n">
        <f aca="false">IF(F30&lt;0,(C27+(J26/(ABS(F30)*10000))),IF(F30=0,0,(G27-(J26/(ABS(F30)*10000)))))</f>
        <v>0</v>
      </c>
      <c r="H30" s="41" t="n">
        <f aca="false">IF(F30&lt;0,(G30-C31)*ABS(F30)*10000,IF(F30=0,0,-1*(G30-C31)*ABS(F30)*10000))</f>
        <v>0</v>
      </c>
      <c r="K30" s="71"/>
      <c r="L30" s="71"/>
      <c r="M30" s="46"/>
      <c r="N30" s="46"/>
    </row>
    <row r="31" customFormat="false" ht="11.25" hidden="false" customHeight="false" outlineLevel="0" collapsed="false">
      <c r="C31" s="37" t="n">
        <f aca="false">POSTION!B15</f>
        <v>2.485</v>
      </c>
      <c r="D31" s="39" t="s">
        <v>40</v>
      </c>
      <c r="J31" s="74"/>
      <c r="K31" s="75"/>
      <c r="L31" s="75"/>
      <c r="M31" s="46"/>
      <c r="N31" s="46"/>
    </row>
    <row r="32" customFormat="false" ht="11.25" hidden="false" customHeight="false" outlineLevel="0" collapsed="false">
      <c r="F32" s="76" t="n">
        <f aca="false">MIN($B$27,$F$27)*($C$27-$G$27)*10000</f>
        <v>0</v>
      </c>
      <c r="G32" s="77"/>
      <c r="H32" s="77" t="s">
        <v>41</v>
      </c>
      <c r="M32" s="46"/>
      <c r="N32" s="46"/>
    </row>
    <row r="33" customFormat="false" ht="11.25" hidden="false" customHeight="false" outlineLevel="0" collapsed="false">
      <c r="F33" s="76"/>
      <c r="G33" s="77"/>
      <c r="H33" s="77"/>
    </row>
    <row r="34" customFormat="false" ht="11.25" hidden="false" customHeight="false" outlineLevel="0" collapsed="false">
      <c r="F34" s="76" t="n">
        <f aca="false">$H$29</f>
        <v>0</v>
      </c>
      <c r="G34" s="77"/>
      <c r="H34" s="77" t="s">
        <v>42</v>
      </c>
    </row>
    <row r="35" customFormat="false" ht="11.25" hidden="false" customHeight="false" outlineLevel="0" collapsed="false">
      <c r="A35" s="49"/>
      <c r="F35" s="62" t="n">
        <f aca="false">$H$30</f>
        <v>0</v>
      </c>
      <c r="G35" s="51"/>
      <c r="H35" s="51" t="s">
        <v>43</v>
      </c>
    </row>
    <row r="36" customFormat="false" ht="11.25" hidden="false" customHeight="false" outlineLevel="0" collapsed="false">
      <c r="F36" s="42"/>
      <c r="H36" s="37"/>
    </row>
    <row r="37" customFormat="false" ht="11.25" hidden="false" customHeight="false" outlineLevel="0" collapsed="false">
      <c r="F37" s="78" t="n">
        <f aca="false">F32+F34</f>
        <v>0</v>
      </c>
      <c r="G37" s="79"/>
      <c r="H37" s="79" t="s">
        <v>44</v>
      </c>
    </row>
    <row r="39" customFormat="false" ht="11.25" hidden="false" customHeight="false" outlineLevel="0" collapsed="false">
      <c r="B39" s="40"/>
    </row>
    <row r="42" customFormat="false" ht="11.25" hidden="false" customHeight="false" outlineLevel="0" collapsed="false">
      <c r="B42" s="4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42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C5" activeCellId="0" sqref="C5"/>
    </sheetView>
  </sheetViews>
  <sheetFormatPr defaultColWidth="9.13671875" defaultRowHeight="11.25" customHeight="true" zeroHeight="false" outlineLevelRow="0" outlineLevelCol="0"/>
  <cols>
    <col collapsed="false" customWidth="false" hidden="false" outlineLevel="0" max="1" min="1" style="37" width="9.14"/>
    <col collapsed="false" customWidth="true" hidden="false" outlineLevel="0" max="2" min="2" style="38" width="6.99"/>
    <col collapsed="false" customWidth="true" hidden="false" outlineLevel="0" max="3" min="3" style="37" width="8.7"/>
    <col collapsed="false" customWidth="true" hidden="false" outlineLevel="0" max="4" min="4" style="39" width="14.41"/>
    <col collapsed="false" customWidth="true" hidden="false" outlineLevel="0" max="5" min="5" style="37" width="3.14"/>
    <col collapsed="false" customWidth="true" hidden="false" outlineLevel="0" max="6" min="6" style="40" width="9.85"/>
    <col collapsed="false" customWidth="false" hidden="false" outlineLevel="0" max="7" min="7" style="37" width="9.14"/>
    <col collapsed="false" customWidth="true" hidden="false" outlineLevel="0" max="8" min="8" style="41" width="12.56"/>
    <col collapsed="false" customWidth="true" hidden="false" outlineLevel="0" max="9" min="9" style="37" width="2.84"/>
    <col collapsed="false" customWidth="true" hidden="false" outlineLevel="0" max="10" min="10" style="42" width="14.85"/>
    <col collapsed="false" customWidth="true" hidden="false" outlineLevel="0" max="11" min="11" style="37" width="2.13"/>
    <col collapsed="false" customWidth="true" hidden="false" outlineLevel="0" max="12" min="12" style="37" width="21.7"/>
    <col collapsed="false" customWidth="false" hidden="false" outlineLevel="0" max="257" min="13" style="37" width="9.14"/>
  </cols>
  <sheetData>
    <row r="1" customFormat="false" ht="11.25" hidden="false" customHeight="false" outlineLevel="0" collapsed="false">
      <c r="B1" s="38" t="s">
        <v>31</v>
      </c>
      <c r="F1" s="40" t="s">
        <v>32</v>
      </c>
    </row>
    <row r="2" customFormat="false" ht="11.25" hidden="false" customHeight="false" outlineLevel="0" collapsed="false">
      <c r="A2" s="37" t="s">
        <v>33</v>
      </c>
      <c r="B2" s="43" t="n">
        <v>48</v>
      </c>
      <c r="C2" s="44" t="n">
        <v>2.96</v>
      </c>
      <c r="D2" s="45"/>
      <c r="E2" s="46"/>
      <c r="F2" s="43"/>
      <c r="G2" s="44"/>
      <c r="H2" s="47"/>
      <c r="J2" s="48" t="n">
        <f aca="false">IF(F2&lt;1,(C2-C31)*(B2*10000),(C31-G2)*(F2*10000))</f>
        <v>16800.0000000001</v>
      </c>
      <c r="L2" s="49" t="s">
        <v>0</v>
      </c>
    </row>
    <row r="3" customFormat="false" ht="11.25" hidden="false" customHeight="false" outlineLevel="0" collapsed="false">
      <c r="A3" s="37" t="n">
        <f aca="false">POSTION!$E$24</f>
        <v>21</v>
      </c>
      <c r="B3" s="57"/>
      <c r="C3" s="58"/>
      <c r="D3" s="59" t="n">
        <f aca="false">B3*C3*10000</f>
        <v>0</v>
      </c>
      <c r="E3" s="46"/>
      <c r="F3" s="60" t="n">
        <v>46.5</v>
      </c>
      <c r="G3" s="58" t="n">
        <v>2.97</v>
      </c>
      <c r="H3" s="61" t="n">
        <f aca="false">F3*G3*10000</f>
        <v>1381050</v>
      </c>
      <c r="J3" s="55"/>
      <c r="L3" s="56" t="s">
        <v>34</v>
      </c>
    </row>
    <row r="4" customFormat="false" ht="11.25" hidden="false" customHeight="false" outlineLevel="0" collapsed="false">
      <c r="B4" s="57" t="n">
        <v>31</v>
      </c>
      <c r="C4" s="58" t="n">
        <v>2.875</v>
      </c>
      <c r="D4" s="59" t="n">
        <f aca="false">B4*C4*10000</f>
        <v>891250</v>
      </c>
      <c r="E4" s="46"/>
      <c r="F4" s="60"/>
      <c r="G4" s="58"/>
      <c r="H4" s="61" t="n">
        <f aca="false">F4*G4*10000</f>
        <v>0</v>
      </c>
      <c r="J4" s="62" t="n">
        <f aca="false">F37</f>
        <v>-36425.0000000001</v>
      </c>
      <c r="K4" s="63"/>
      <c r="L4" s="46" t="s">
        <v>35</v>
      </c>
    </row>
    <row r="5" customFormat="false" ht="11.25" hidden="false" customHeight="false" outlineLevel="0" collapsed="false">
      <c r="B5" s="57"/>
      <c r="C5" s="58"/>
      <c r="D5" s="59" t="n">
        <f aca="false">B5*C5*10000</f>
        <v>0</v>
      </c>
      <c r="E5" s="46"/>
      <c r="F5" s="60"/>
      <c r="G5" s="58"/>
      <c r="H5" s="61" t="n">
        <f aca="false">F5*G5*10000</f>
        <v>0</v>
      </c>
      <c r="J5" s="63"/>
      <c r="K5" s="64"/>
      <c r="L5" s="46"/>
    </row>
    <row r="6" customFormat="false" ht="12" hidden="false" customHeight="false" outlineLevel="0" collapsed="false">
      <c r="B6" s="57"/>
      <c r="C6" s="58"/>
      <c r="D6" s="59" t="n">
        <f aca="false">B6*C6*10000</f>
        <v>0</v>
      </c>
      <c r="E6" s="46"/>
      <c r="F6" s="60"/>
      <c r="G6" s="58"/>
      <c r="H6" s="61" t="n">
        <f aca="false">F6*G6*10000</f>
        <v>0</v>
      </c>
      <c r="J6" s="65" t="n">
        <f aca="false">J2+J3+J4</f>
        <v>-19625</v>
      </c>
      <c r="K6" s="64"/>
      <c r="L6" s="46" t="s">
        <v>36</v>
      </c>
    </row>
    <row r="7" customFormat="false" ht="12" hidden="false" customHeight="false" outlineLevel="0" collapsed="false">
      <c r="B7" s="57"/>
      <c r="C7" s="58"/>
      <c r="D7" s="59" t="n">
        <f aca="false">B7*C7*10000</f>
        <v>0</v>
      </c>
      <c r="E7" s="46"/>
      <c r="F7" s="60"/>
      <c r="G7" s="58"/>
      <c r="H7" s="61" t="n">
        <f aca="false">F7*G7*10000</f>
        <v>0</v>
      </c>
      <c r="J7" s="63"/>
    </row>
    <row r="8" customFormat="false" ht="11.25" hidden="false" customHeight="false" outlineLevel="0" collapsed="false">
      <c r="B8" s="60"/>
      <c r="C8" s="58"/>
      <c r="D8" s="59" t="n">
        <f aca="false">B8*C8*10000</f>
        <v>0</v>
      </c>
      <c r="E8" s="46"/>
      <c r="F8" s="60"/>
      <c r="G8" s="58"/>
      <c r="H8" s="61" t="n">
        <f aca="false">F8*G8*10000</f>
        <v>0</v>
      </c>
      <c r="J8" s="63"/>
      <c r="L8" s="46"/>
    </row>
    <row r="9" customFormat="false" ht="11.25" hidden="false" customHeight="false" outlineLevel="0" collapsed="false">
      <c r="B9" s="60"/>
      <c r="C9" s="58"/>
      <c r="D9" s="59" t="n">
        <f aca="false">B9*C9*10000</f>
        <v>0</v>
      </c>
      <c r="E9" s="46"/>
      <c r="F9" s="60"/>
      <c r="G9" s="58"/>
      <c r="H9" s="61" t="n">
        <f aca="false">F9*G9*10000</f>
        <v>0</v>
      </c>
      <c r="J9" s="66" t="n">
        <f aca="false">F30-B2+F2</f>
        <v>-32.5</v>
      </c>
      <c r="L9" s="37" t="s">
        <v>1</v>
      </c>
      <c r="M9" s="57"/>
      <c r="N9" s="58"/>
    </row>
    <row r="10" customFormat="false" ht="11.25" hidden="false" customHeight="false" outlineLevel="0" collapsed="false">
      <c r="B10" s="60"/>
      <c r="C10" s="58"/>
      <c r="D10" s="59" t="n">
        <f aca="false">B10*C10*10000</f>
        <v>0</v>
      </c>
      <c r="E10" s="46"/>
      <c r="F10" s="60"/>
      <c r="G10" s="58"/>
      <c r="H10" s="61" t="n">
        <f aca="false">F10*G10*10000</f>
        <v>0</v>
      </c>
      <c r="J10" s="67"/>
      <c r="L10" s="37" t="s">
        <v>2</v>
      </c>
      <c r="M10" s="57"/>
      <c r="N10" s="58"/>
    </row>
    <row r="11" customFormat="false" ht="11.25" hidden="false" customHeight="false" outlineLevel="0" collapsed="false">
      <c r="B11" s="60"/>
      <c r="C11" s="58"/>
      <c r="D11" s="59" t="n">
        <f aca="false">B11*C11*10000</f>
        <v>0</v>
      </c>
      <c r="E11" s="46"/>
      <c r="F11" s="60"/>
      <c r="G11" s="58"/>
      <c r="H11" s="61" t="n">
        <f aca="false">F11*G11*10000</f>
        <v>0</v>
      </c>
      <c r="J11" s="68" t="n">
        <f aca="false">J9-J10</f>
        <v>-32.5</v>
      </c>
      <c r="L11" s="37" t="s">
        <v>37</v>
      </c>
      <c r="M11" s="57"/>
      <c r="N11" s="58"/>
    </row>
    <row r="12" customFormat="false" ht="11.25" hidden="false" customHeight="false" outlineLevel="0" collapsed="false">
      <c r="B12" s="60"/>
      <c r="C12" s="58"/>
      <c r="D12" s="59" t="n">
        <f aca="false">B12*C12*10000</f>
        <v>0</v>
      </c>
      <c r="E12" s="46"/>
      <c r="F12" s="60"/>
      <c r="G12" s="58"/>
      <c r="H12" s="61" t="n">
        <f aca="false">F12*G12*10000</f>
        <v>0</v>
      </c>
      <c r="J12" s="69"/>
    </row>
    <row r="13" customFormat="false" ht="11.25" hidden="false" customHeight="false" outlineLevel="0" collapsed="false">
      <c r="B13" s="60"/>
      <c r="C13" s="58"/>
      <c r="D13" s="59" t="n">
        <f aca="false">B13*C13*10000</f>
        <v>0</v>
      </c>
      <c r="E13" s="46"/>
      <c r="F13" s="60"/>
      <c r="G13" s="58"/>
      <c r="H13" s="61" t="n">
        <f aca="false">F13*G13*10000</f>
        <v>0</v>
      </c>
      <c r="J13" s="69"/>
    </row>
    <row r="14" customFormat="false" ht="11.25" hidden="false" customHeight="false" outlineLevel="0" collapsed="false">
      <c r="B14" s="60"/>
      <c r="C14" s="58"/>
      <c r="D14" s="59" t="n">
        <f aca="false">B14*C14*10000</f>
        <v>0</v>
      </c>
      <c r="E14" s="46"/>
      <c r="F14" s="60"/>
      <c r="G14" s="58"/>
      <c r="H14" s="61" t="n">
        <f aca="false">F14*G14*10000</f>
        <v>0</v>
      </c>
      <c r="J14" s="69"/>
    </row>
    <row r="15" customFormat="false" ht="11.25" hidden="false" customHeight="false" outlineLevel="0" collapsed="false">
      <c r="B15" s="60"/>
      <c r="C15" s="58"/>
      <c r="D15" s="59" t="n">
        <f aca="false">B15*C15*10000</f>
        <v>0</v>
      </c>
      <c r="E15" s="46"/>
      <c r="F15" s="60"/>
      <c r="G15" s="58"/>
      <c r="H15" s="61" t="n">
        <f aca="false">F15*G15*10000</f>
        <v>0</v>
      </c>
      <c r="J15" s="69"/>
      <c r="L15" s="37" t="n">
        <f aca="false">127.5-75</f>
        <v>52.5</v>
      </c>
    </row>
    <row r="16" customFormat="false" ht="11.25" hidden="false" customHeight="false" outlineLevel="0" collapsed="false">
      <c r="B16" s="60"/>
      <c r="C16" s="58"/>
      <c r="D16" s="59" t="n">
        <f aca="false">B16*C16*10000</f>
        <v>0</v>
      </c>
      <c r="E16" s="46"/>
      <c r="F16" s="60"/>
      <c r="G16" s="58"/>
      <c r="H16" s="61" t="n">
        <f aca="false">F16*G16*10000</f>
        <v>0</v>
      </c>
      <c r="J16" s="69"/>
    </row>
    <row r="17" customFormat="false" ht="11.25" hidden="false" customHeight="false" outlineLevel="0" collapsed="false">
      <c r="B17" s="60"/>
      <c r="C17" s="58"/>
      <c r="D17" s="59" t="n">
        <f aca="false">B17*C17*10000</f>
        <v>0</v>
      </c>
      <c r="E17" s="46"/>
      <c r="F17" s="60"/>
      <c r="G17" s="58"/>
      <c r="H17" s="61" t="n">
        <f aca="false">F17*G17*10000</f>
        <v>0</v>
      </c>
      <c r="J17" s="69"/>
    </row>
    <row r="18" customFormat="false" ht="11.25" hidden="false" customHeight="false" outlineLevel="0" collapsed="false">
      <c r="B18" s="60"/>
      <c r="C18" s="58"/>
      <c r="D18" s="59" t="n">
        <f aca="false">B18*C18*10000</f>
        <v>0</v>
      </c>
      <c r="E18" s="46"/>
      <c r="F18" s="60"/>
      <c r="G18" s="58"/>
      <c r="H18" s="61" t="n">
        <f aca="false">F18*G18*10000</f>
        <v>0</v>
      </c>
      <c r="J18" s="69"/>
    </row>
    <row r="19" customFormat="false" ht="11.25" hidden="false" customHeight="false" outlineLevel="0" collapsed="false">
      <c r="B19" s="60"/>
      <c r="C19" s="58"/>
      <c r="D19" s="59" t="n">
        <f aca="false">B19*C19*10000</f>
        <v>0</v>
      </c>
      <c r="E19" s="46"/>
      <c r="F19" s="60"/>
      <c r="G19" s="58"/>
      <c r="H19" s="61" t="n">
        <f aca="false">F19*G19*10000</f>
        <v>0</v>
      </c>
      <c r="J19" s="69"/>
    </row>
    <row r="20" customFormat="false" ht="11.25" hidden="false" customHeight="false" outlineLevel="0" collapsed="false">
      <c r="B20" s="60"/>
      <c r="C20" s="58"/>
      <c r="D20" s="59" t="n">
        <f aca="false">B20*C20*10000</f>
        <v>0</v>
      </c>
      <c r="E20" s="46"/>
      <c r="F20" s="60"/>
      <c r="G20" s="58"/>
      <c r="H20" s="61" t="n">
        <f aca="false">F20*G20*10000</f>
        <v>0</v>
      </c>
      <c r="J20" s="69"/>
      <c r="M20" s="37" t="n">
        <v>31</v>
      </c>
    </row>
    <row r="21" customFormat="false" ht="11.25" hidden="false" customHeight="false" outlineLevel="0" collapsed="false">
      <c r="B21" s="60"/>
      <c r="C21" s="58"/>
      <c r="D21" s="59" t="n">
        <f aca="false">B21*C21*10000</f>
        <v>0</v>
      </c>
      <c r="E21" s="46"/>
      <c r="F21" s="60"/>
      <c r="G21" s="58"/>
      <c r="H21" s="61" t="n">
        <f aca="false">F21*G21*10000</f>
        <v>0</v>
      </c>
      <c r="J21" s="69"/>
      <c r="L21" s="37" t="n">
        <f aca="false">24.2-15</f>
        <v>9.2</v>
      </c>
      <c r="M21" s="37" t="n">
        <v>2500</v>
      </c>
      <c r="N21" s="37" t="n">
        <f aca="false">(M21*$M$20)/10000</f>
        <v>7.75</v>
      </c>
    </row>
    <row r="22" customFormat="false" ht="11.25" hidden="false" customHeight="false" outlineLevel="0" collapsed="false">
      <c r="B22" s="60"/>
      <c r="C22" s="58"/>
      <c r="D22" s="59" t="n">
        <f aca="false">B22*C22*10000</f>
        <v>0</v>
      </c>
      <c r="E22" s="46"/>
      <c r="F22" s="60"/>
      <c r="G22" s="58"/>
      <c r="H22" s="61" t="n">
        <f aca="false">F22*G22*10000</f>
        <v>0</v>
      </c>
      <c r="J22" s="69"/>
      <c r="M22" s="37" t="n">
        <v>5000</v>
      </c>
      <c r="N22" s="37" t="n">
        <f aca="false">(M22*$M$20)/10000</f>
        <v>15.5</v>
      </c>
    </row>
    <row r="23" customFormat="false" ht="11.25" hidden="false" customHeight="false" outlineLevel="0" collapsed="false">
      <c r="B23" s="60"/>
      <c r="C23" s="58"/>
      <c r="D23" s="59" t="n">
        <f aca="false">B23*C23*10000</f>
        <v>0</v>
      </c>
      <c r="E23" s="46"/>
      <c r="F23" s="60"/>
      <c r="G23" s="58"/>
      <c r="H23" s="61" t="n">
        <f aca="false">F23*G23*10000</f>
        <v>0</v>
      </c>
      <c r="J23" s="69"/>
      <c r="M23" s="37" t="n">
        <v>7500</v>
      </c>
      <c r="N23" s="37" t="n">
        <f aca="false">(M23*$M$20)/10000</f>
        <v>23.25</v>
      </c>
    </row>
    <row r="24" customFormat="false" ht="11.25" hidden="false" customHeight="false" outlineLevel="0" collapsed="false">
      <c r="B24" s="60"/>
      <c r="C24" s="58"/>
      <c r="D24" s="59" t="n">
        <f aca="false">B24*C24*10000</f>
        <v>0</v>
      </c>
      <c r="E24" s="46"/>
      <c r="F24" s="60"/>
      <c r="G24" s="58"/>
      <c r="H24" s="61" t="n">
        <f aca="false">F24*G24*10000</f>
        <v>0</v>
      </c>
      <c r="J24" s="69"/>
      <c r="M24" s="37" t="n">
        <v>10000</v>
      </c>
      <c r="N24" s="37" t="n">
        <f aca="false">(M24*$M$20)/10000</f>
        <v>31</v>
      </c>
    </row>
    <row r="25" customFormat="false" ht="11.25" hidden="false" customHeight="false" outlineLevel="0" collapsed="false">
      <c r="B25" s="60"/>
      <c r="C25" s="58"/>
      <c r="D25" s="59" t="n">
        <f aca="false">B25*C25*10000</f>
        <v>0</v>
      </c>
      <c r="E25" s="46"/>
      <c r="F25" s="60"/>
      <c r="G25" s="58"/>
      <c r="H25" s="61" t="n">
        <f aca="false">F25*G25*10000</f>
        <v>0</v>
      </c>
      <c r="J25" s="69"/>
      <c r="M25" s="37" t="n">
        <v>12500</v>
      </c>
      <c r="N25" s="37" t="n">
        <f aca="false">(M25*$M$20)/10000</f>
        <v>38.75</v>
      </c>
    </row>
    <row r="26" customFormat="false" ht="11.25" hidden="false" customHeight="false" outlineLevel="0" collapsed="false">
      <c r="F26" s="38"/>
      <c r="H26" s="70"/>
      <c r="J26" s="69"/>
      <c r="K26" s="71"/>
      <c r="L26" s="71"/>
      <c r="M26" s="37" t="n">
        <v>15000</v>
      </c>
      <c r="N26" s="37" t="n">
        <f aca="false">(M26*$M$20)/10000</f>
        <v>46.5</v>
      </c>
    </row>
    <row r="27" customFormat="false" ht="11.25" hidden="false" customHeight="false" outlineLevel="0" collapsed="false">
      <c r="B27" s="60" t="n">
        <f aca="false">SUM(B3:B26)</f>
        <v>31</v>
      </c>
      <c r="C27" s="72" t="n">
        <f aca="false">IF(B27=0,0,D27/B27/10000)</f>
        <v>2.875</v>
      </c>
      <c r="D27" s="59" t="n">
        <f aca="false">SUM(D2:D26)</f>
        <v>891250</v>
      </c>
      <c r="F27" s="60" t="n">
        <f aca="false">SUM(F3:F26)</f>
        <v>46.5</v>
      </c>
      <c r="G27" s="58" t="n">
        <f aca="false">IF(F27=0,0,H27/F27/10000)</f>
        <v>2.97</v>
      </c>
      <c r="H27" s="61" t="n">
        <f aca="false">SUM(H2:H26)</f>
        <v>1381050</v>
      </c>
      <c r="K27" s="71"/>
      <c r="L27" s="71"/>
      <c r="M27" s="46" t="n">
        <v>17500</v>
      </c>
      <c r="N27" s="46" t="n">
        <f aca="false">(M27*$M$20)/10000</f>
        <v>54.25</v>
      </c>
    </row>
    <row r="28" customFormat="false" ht="11.25" hidden="false" customHeight="false" outlineLevel="0" collapsed="false">
      <c r="C28" s="88" t="n">
        <f aca="false">C27-0.0175</f>
        <v>2.8575</v>
      </c>
      <c r="K28" s="71"/>
      <c r="L28" s="71"/>
      <c r="M28" s="46" t="n">
        <v>20000</v>
      </c>
      <c r="N28" s="46" t="n">
        <f aca="false">(M28*$M$20)/10000</f>
        <v>62</v>
      </c>
    </row>
    <row r="29" customFormat="false" ht="11.25" hidden="false" customHeight="false" outlineLevel="0" collapsed="false">
      <c r="F29" s="73" t="n">
        <f aca="false">-B27+F27</f>
        <v>15.5</v>
      </c>
      <c r="G29" s="37" t="n">
        <f aca="false">IF(F29&lt;0,C27,G27)</f>
        <v>2.97</v>
      </c>
      <c r="H29" s="41" t="n">
        <f aca="false">IF(F29&lt;0,(G29-C31)*ABS(F29)*10000,-1*(G29-C31)*ABS(F29)*10000)</f>
        <v>-6975.00000000006</v>
      </c>
      <c r="K29" s="71"/>
      <c r="L29" s="71"/>
      <c r="M29" s="46" t="n">
        <v>25000</v>
      </c>
      <c r="N29" s="46" t="n">
        <f aca="false">(M29*$M$20)/10000</f>
        <v>77.5</v>
      </c>
    </row>
    <row r="30" customFormat="false" ht="11.25" hidden="false" customHeight="false" outlineLevel="0" collapsed="false">
      <c r="F30" s="73" t="n">
        <f aca="false">-B27+F27</f>
        <v>15.5</v>
      </c>
      <c r="G30" s="37" t="n">
        <f aca="false">IF(F30&lt;0,(C27+(J26/(ABS(F30)*10000))),IF(F30=0,0,(G27-(J26/(ABS(F30)*10000)))))</f>
        <v>2.97</v>
      </c>
      <c r="H30" s="41" t="n">
        <f aca="false">IF(F30&lt;0,(G30-C31)*ABS(F30)*10000,IF(F30=0,0,-1*(G30-C31)*ABS(F30)*10000))</f>
        <v>-6975.00000000006</v>
      </c>
      <c r="K30" s="71"/>
      <c r="L30" s="71"/>
      <c r="M30" s="46"/>
      <c r="N30" s="46"/>
    </row>
    <row r="31" customFormat="false" ht="11.25" hidden="false" customHeight="false" outlineLevel="0" collapsed="false">
      <c r="C31" s="88" t="n">
        <f aca="false">POSTION!B4</f>
        <v>2.925</v>
      </c>
      <c r="D31" s="39" t="s">
        <v>40</v>
      </c>
      <c r="J31" s="74"/>
      <c r="K31" s="75"/>
      <c r="L31" s="75"/>
      <c r="M31" s="46"/>
      <c r="N31" s="46"/>
    </row>
    <row r="32" customFormat="false" ht="11.25" hidden="false" customHeight="false" outlineLevel="0" collapsed="false">
      <c r="F32" s="76" t="n">
        <f aca="false">MIN($B$27,$F$27)*($C$27-$G$27)*10000</f>
        <v>-29450.0000000001</v>
      </c>
      <c r="G32" s="77"/>
      <c r="H32" s="77" t="s">
        <v>41</v>
      </c>
      <c r="L32" s="37" t="n">
        <f aca="false">SUM(L28:L31)</f>
        <v>0</v>
      </c>
      <c r="M32" s="46"/>
      <c r="N32" s="46" t="n">
        <f aca="false">SUM(N28:N31)</f>
        <v>139.5</v>
      </c>
    </row>
    <row r="33" customFormat="false" ht="11.25" hidden="false" customHeight="false" outlineLevel="0" collapsed="false">
      <c r="F33" s="76"/>
      <c r="G33" s="77"/>
      <c r="H33" s="77"/>
      <c r="M33" s="37" t="e">
        <f aca="false">N32/L32</f>
        <v>#DIV/0!</v>
      </c>
    </row>
    <row r="34" customFormat="false" ht="11.25" hidden="false" customHeight="false" outlineLevel="0" collapsed="false">
      <c r="F34" s="76" t="n">
        <f aca="false">$H$29</f>
        <v>-6975.00000000006</v>
      </c>
      <c r="G34" s="77"/>
      <c r="H34" s="77" t="s">
        <v>42</v>
      </c>
    </row>
    <row r="35" customFormat="false" ht="11.25" hidden="false" customHeight="false" outlineLevel="0" collapsed="false">
      <c r="A35" s="49"/>
      <c r="F35" s="62" t="n">
        <f aca="false">$H$30</f>
        <v>-6975.00000000006</v>
      </c>
      <c r="G35" s="51"/>
      <c r="H35" s="51" t="s">
        <v>43</v>
      </c>
    </row>
    <row r="36" customFormat="false" ht="11.25" hidden="false" customHeight="false" outlineLevel="0" collapsed="false">
      <c r="F36" s="42"/>
      <c r="H36" s="37"/>
    </row>
    <row r="37" customFormat="false" ht="11.25" hidden="false" customHeight="false" outlineLevel="0" collapsed="false">
      <c r="F37" s="78" t="n">
        <f aca="false">F32+F34</f>
        <v>-36425.0000000001</v>
      </c>
      <c r="G37" s="79"/>
      <c r="H37" s="79" t="s">
        <v>44</v>
      </c>
    </row>
    <row r="39" customFormat="false" ht="11.25" hidden="false" customHeight="false" outlineLevel="0" collapsed="false">
      <c r="B39" s="40"/>
    </row>
    <row r="42" customFormat="false" ht="11.25" hidden="false" customHeight="false" outlineLevel="0" collapsed="false">
      <c r="B42" s="4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42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C5" activeCellId="0" sqref="C5"/>
    </sheetView>
  </sheetViews>
  <sheetFormatPr defaultColWidth="9.13671875" defaultRowHeight="11.25" customHeight="true" zeroHeight="false" outlineLevelRow="0" outlineLevelCol="0"/>
  <cols>
    <col collapsed="false" customWidth="false" hidden="false" outlineLevel="0" max="1" min="1" style="37" width="9.14"/>
    <col collapsed="false" customWidth="true" hidden="false" outlineLevel="0" max="2" min="2" style="38" width="6.99"/>
    <col collapsed="false" customWidth="true" hidden="false" outlineLevel="0" max="3" min="3" style="37" width="8.7"/>
    <col collapsed="false" customWidth="true" hidden="false" outlineLevel="0" max="4" min="4" style="39" width="14.41"/>
    <col collapsed="false" customWidth="true" hidden="false" outlineLevel="0" max="5" min="5" style="37" width="3.14"/>
    <col collapsed="false" customWidth="true" hidden="false" outlineLevel="0" max="6" min="6" style="40" width="9.85"/>
    <col collapsed="false" customWidth="false" hidden="false" outlineLevel="0" max="7" min="7" style="37" width="9.14"/>
    <col collapsed="false" customWidth="true" hidden="false" outlineLevel="0" max="8" min="8" style="41" width="12.56"/>
    <col collapsed="false" customWidth="true" hidden="false" outlineLevel="0" max="9" min="9" style="37" width="2.84"/>
    <col collapsed="false" customWidth="true" hidden="false" outlineLevel="0" max="10" min="10" style="42" width="14.85"/>
    <col collapsed="false" customWidth="true" hidden="false" outlineLevel="0" max="11" min="11" style="37" width="2.13"/>
    <col collapsed="false" customWidth="true" hidden="false" outlineLevel="0" max="12" min="12" style="37" width="21.7"/>
    <col collapsed="false" customWidth="false" hidden="false" outlineLevel="0" max="257" min="13" style="37" width="9.14"/>
  </cols>
  <sheetData>
    <row r="1" customFormat="false" ht="11.25" hidden="false" customHeight="false" outlineLevel="0" collapsed="false">
      <c r="B1" s="38" t="s">
        <v>31</v>
      </c>
      <c r="F1" s="40" t="s">
        <v>32</v>
      </c>
    </row>
    <row r="2" customFormat="false" ht="11.25" hidden="false" customHeight="false" outlineLevel="0" collapsed="false">
      <c r="A2" s="37" t="s">
        <v>33</v>
      </c>
      <c r="B2" s="43"/>
      <c r="C2" s="44"/>
      <c r="D2" s="45"/>
      <c r="E2" s="46"/>
      <c r="F2" s="43"/>
      <c r="G2" s="44"/>
      <c r="H2" s="47"/>
      <c r="J2" s="48" t="n">
        <f aca="false">IF(F2&lt;1,(C2-C31)*(B2*10000),(C31-G2)*(F2*10000))</f>
        <v>-0</v>
      </c>
      <c r="L2" s="49" t="s">
        <v>0</v>
      </c>
    </row>
    <row r="3" customFormat="false" ht="11.25" hidden="false" customHeight="false" outlineLevel="0" collapsed="false">
      <c r="A3" s="37" t="n">
        <f aca="false">POSTION!$E$24</f>
        <v>21</v>
      </c>
      <c r="B3" s="57"/>
      <c r="C3" s="58"/>
      <c r="D3" s="59" t="n">
        <f aca="false">B3*C3*10000</f>
        <v>0</v>
      </c>
      <c r="E3" s="46"/>
      <c r="F3" s="60" t="n">
        <v>38.75</v>
      </c>
      <c r="G3" s="58" t="n">
        <v>3.1275</v>
      </c>
      <c r="H3" s="61" t="n">
        <f aca="false">F3*G3*10000</f>
        <v>1211906.25</v>
      </c>
      <c r="J3" s="55"/>
      <c r="L3" s="56" t="s">
        <v>34</v>
      </c>
    </row>
    <row r="4" customFormat="false" ht="11.25" hidden="false" customHeight="false" outlineLevel="0" collapsed="false">
      <c r="B4" s="57" t="n">
        <v>31</v>
      </c>
      <c r="C4" s="58" t="n">
        <v>3.1175</v>
      </c>
      <c r="D4" s="59" t="n">
        <f aca="false">B4*C4*10000</f>
        <v>966425</v>
      </c>
      <c r="E4" s="46"/>
      <c r="F4" s="60"/>
      <c r="G4" s="58"/>
      <c r="H4" s="61" t="n">
        <f aca="false">F4*G4*10000</f>
        <v>0</v>
      </c>
      <c r="J4" s="62" t="n">
        <f aca="false">F37</f>
        <v>-4843.74999999993</v>
      </c>
      <c r="K4" s="63"/>
      <c r="L4" s="46" t="s">
        <v>35</v>
      </c>
    </row>
    <row r="5" customFormat="false" ht="11.25" hidden="false" customHeight="false" outlineLevel="0" collapsed="false">
      <c r="B5" s="57"/>
      <c r="C5" s="58"/>
      <c r="D5" s="59" t="n">
        <f aca="false">B5*C5*10000</f>
        <v>0</v>
      </c>
      <c r="E5" s="46"/>
      <c r="F5" s="60"/>
      <c r="G5" s="58"/>
      <c r="H5" s="61" t="n">
        <f aca="false">F5*G5*10000</f>
        <v>0</v>
      </c>
      <c r="J5" s="63"/>
      <c r="K5" s="64"/>
      <c r="L5" s="46"/>
    </row>
    <row r="6" customFormat="false" ht="12" hidden="false" customHeight="false" outlineLevel="0" collapsed="false">
      <c r="B6" s="57"/>
      <c r="C6" s="58"/>
      <c r="D6" s="59" t="n">
        <f aca="false">B6*C6*10000</f>
        <v>0</v>
      </c>
      <c r="E6" s="46"/>
      <c r="F6" s="60"/>
      <c r="G6" s="58"/>
      <c r="H6" s="61" t="n">
        <f aca="false">F6*G6*10000</f>
        <v>0</v>
      </c>
      <c r="J6" s="65" t="n">
        <f aca="false">J2+J3+J4</f>
        <v>-4843.74999999993</v>
      </c>
      <c r="K6" s="64"/>
      <c r="L6" s="46" t="s">
        <v>36</v>
      </c>
    </row>
    <row r="7" customFormat="false" ht="12" hidden="false" customHeight="false" outlineLevel="0" collapsed="false">
      <c r="B7" s="57"/>
      <c r="C7" s="58"/>
      <c r="D7" s="59" t="n">
        <f aca="false">B7*C7*10000</f>
        <v>0</v>
      </c>
      <c r="E7" s="46"/>
      <c r="F7" s="60"/>
      <c r="G7" s="58"/>
      <c r="H7" s="61" t="n">
        <f aca="false">F7*G7*10000</f>
        <v>0</v>
      </c>
      <c r="J7" s="63"/>
    </row>
    <row r="8" customFormat="false" ht="11.25" hidden="false" customHeight="false" outlineLevel="0" collapsed="false">
      <c r="B8" s="60"/>
      <c r="C8" s="58"/>
      <c r="D8" s="59" t="n">
        <f aca="false">B8*C8*10000</f>
        <v>0</v>
      </c>
      <c r="E8" s="46"/>
      <c r="F8" s="60"/>
      <c r="G8" s="58"/>
      <c r="H8" s="61" t="n">
        <f aca="false">F8*G8*10000</f>
        <v>0</v>
      </c>
      <c r="J8" s="63"/>
      <c r="L8" s="46"/>
    </row>
    <row r="9" customFormat="false" ht="11.25" hidden="false" customHeight="false" outlineLevel="0" collapsed="false">
      <c r="B9" s="60"/>
      <c r="C9" s="58"/>
      <c r="D9" s="59" t="n">
        <f aca="false">B9*C9*10000</f>
        <v>0</v>
      </c>
      <c r="E9" s="46"/>
      <c r="F9" s="60"/>
      <c r="G9" s="58"/>
      <c r="H9" s="61" t="n">
        <f aca="false">F9*G9*10000</f>
        <v>0</v>
      </c>
      <c r="J9" s="66" t="n">
        <f aca="false">F30-B2+F2</f>
        <v>7.75</v>
      </c>
      <c r="L9" s="37" t="s">
        <v>1</v>
      </c>
    </row>
    <row r="10" customFormat="false" ht="11.25" hidden="false" customHeight="false" outlineLevel="0" collapsed="false">
      <c r="B10" s="60"/>
      <c r="C10" s="58"/>
      <c r="D10" s="59" t="n">
        <f aca="false">B10*C10*10000</f>
        <v>0</v>
      </c>
      <c r="E10" s="46"/>
      <c r="F10" s="60"/>
      <c r="G10" s="58"/>
      <c r="H10" s="61" t="n">
        <f aca="false">F10*G10*10000</f>
        <v>0</v>
      </c>
      <c r="J10" s="67"/>
      <c r="L10" s="37" t="s">
        <v>2</v>
      </c>
    </row>
    <row r="11" customFormat="false" ht="11.25" hidden="false" customHeight="false" outlineLevel="0" collapsed="false">
      <c r="B11" s="60"/>
      <c r="C11" s="58"/>
      <c r="D11" s="59" t="n">
        <f aca="false">B11*C11*10000</f>
        <v>0</v>
      </c>
      <c r="E11" s="46"/>
      <c r="F11" s="60"/>
      <c r="G11" s="58"/>
      <c r="H11" s="61" t="n">
        <f aca="false">F11*G11*10000</f>
        <v>0</v>
      </c>
      <c r="J11" s="68" t="n">
        <f aca="false">J9-J10</f>
        <v>7.75</v>
      </c>
      <c r="L11" s="37" t="s">
        <v>37</v>
      </c>
    </row>
    <row r="12" customFormat="false" ht="11.25" hidden="false" customHeight="false" outlineLevel="0" collapsed="false">
      <c r="B12" s="60"/>
      <c r="C12" s="58"/>
      <c r="D12" s="59" t="n">
        <f aca="false">B12*C12*10000</f>
        <v>0</v>
      </c>
      <c r="E12" s="46"/>
      <c r="F12" s="60"/>
      <c r="G12" s="58"/>
      <c r="H12" s="61" t="n">
        <f aca="false">F12*G12*10000</f>
        <v>0</v>
      </c>
      <c r="J12" s="69"/>
    </row>
    <row r="13" customFormat="false" ht="11.25" hidden="false" customHeight="false" outlineLevel="0" collapsed="false">
      <c r="B13" s="60"/>
      <c r="C13" s="58"/>
      <c r="D13" s="59" t="n">
        <f aca="false">B13*C13*10000</f>
        <v>0</v>
      </c>
      <c r="E13" s="46"/>
      <c r="F13" s="60"/>
      <c r="G13" s="58"/>
      <c r="H13" s="61" t="n">
        <f aca="false">F13*G13*10000</f>
        <v>0</v>
      </c>
      <c r="J13" s="69"/>
    </row>
    <row r="14" customFormat="false" ht="11.25" hidden="false" customHeight="false" outlineLevel="0" collapsed="false">
      <c r="B14" s="60"/>
      <c r="C14" s="58"/>
      <c r="D14" s="59" t="n">
        <f aca="false">B14*C14*10000</f>
        <v>0</v>
      </c>
      <c r="E14" s="46"/>
      <c r="F14" s="60"/>
      <c r="G14" s="58"/>
      <c r="H14" s="61" t="n">
        <f aca="false">F14*G14*10000</f>
        <v>0</v>
      </c>
      <c r="J14" s="69"/>
    </row>
    <row r="15" customFormat="false" ht="11.25" hidden="false" customHeight="false" outlineLevel="0" collapsed="false">
      <c r="B15" s="60"/>
      <c r="C15" s="58"/>
      <c r="D15" s="59" t="n">
        <f aca="false">B15*C15*10000</f>
        <v>0</v>
      </c>
      <c r="E15" s="46"/>
      <c r="F15" s="60"/>
      <c r="G15" s="58"/>
      <c r="H15" s="61" t="n">
        <f aca="false">F15*G15*10000</f>
        <v>0</v>
      </c>
      <c r="J15" s="69"/>
      <c r="M15" s="37" t="n">
        <v>2500</v>
      </c>
      <c r="N15" s="37" t="n">
        <f aca="false">M15*31</f>
        <v>77500</v>
      </c>
    </row>
    <row r="16" customFormat="false" ht="11.25" hidden="false" customHeight="false" outlineLevel="0" collapsed="false">
      <c r="B16" s="60"/>
      <c r="C16" s="58"/>
      <c r="D16" s="59" t="n">
        <f aca="false">B16*C16*10000</f>
        <v>0</v>
      </c>
      <c r="E16" s="46"/>
      <c r="F16" s="60"/>
      <c r="G16" s="58"/>
      <c r="H16" s="61" t="n">
        <f aca="false">F16*G16*10000</f>
        <v>0</v>
      </c>
      <c r="J16" s="69"/>
      <c r="M16" s="37" t="n">
        <v>12500</v>
      </c>
      <c r="N16" s="37" t="n">
        <f aca="false">M16*31</f>
        <v>387500</v>
      </c>
    </row>
    <row r="17" customFormat="false" ht="11.25" hidden="false" customHeight="false" outlineLevel="0" collapsed="false">
      <c r="B17" s="60"/>
      <c r="C17" s="58"/>
      <c r="D17" s="59" t="n">
        <f aca="false">B17*C17*10000</f>
        <v>0</v>
      </c>
      <c r="E17" s="46"/>
      <c r="F17" s="60"/>
      <c r="G17" s="58"/>
      <c r="H17" s="61" t="n">
        <f aca="false">F17*G17*10000</f>
        <v>0</v>
      </c>
      <c r="J17" s="69"/>
      <c r="M17" s="37" t="n">
        <v>17500</v>
      </c>
      <c r="N17" s="37" t="n">
        <f aca="false">M17*31</f>
        <v>542500</v>
      </c>
    </row>
    <row r="18" customFormat="false" ht="11.25" hidden="false" customHeight="false" outlineLevel="0" collapsed="false">
      <c r="B18" s="60"/>
      <c r="C18" s="58"/>
      <c r="D18" s="59" t="n">
        <f aca="false">B18*C18*10000</f>
        <v>0</v>
      </c>
      <c r="E18" s="46"/>
      <c r="F18" s="60"/>
      <c r="G18" s="58"/>
      <c r="H18" s="61" t="n">
        <f aca="false">F18*G18*10000</f>
        <v>0</v>
      </c>
      <c r="J18" s="69"/>
      <c r="M18" s="37" t="n">
        <v>7500</v>
      </c>
      <c r="N18" s="37" t="n">
        <f aca="false">M18*31</f>
        <v>232500</v>
      </c>
    </row>
    <row r="19" customFormat="false" ht="11.25" hidden="false" customHeight="false" outlineLevel="0" collapsed="false">
      <c r="B19" s="60"/>
      <c r="C19" s="58"/>
      <c r="D19" s="59" t="n">
        <f aca="false">B19*C19*10000</f>
        <v>0</v>
      </c>
      <c r="E19" s="46"/>
      <c r="F19" s="60"/>
      <c r="G19" s="58"/>
      <c r="H19" s="61" t="n">
        <f aca="false">F19*G19*10000</f>
        <v>0</v>
      </c>
      <c r="J19" s="69"/>
    </row>
    <row r="20" customFormat="false" ht="11.25" hidden="false" customHeight="false" outlineLevel="0" collapsed="false">
      <c r="B20" s="60"/>
      <c r="C20" s="58"/>
      <c r="D20" s="59" t="n">
        <f aca="false">B20*C20*10000</f>
        <v>0</v>
      </c>
      <c r="E20" s="46"/>
      <c r="F20" s="60"/>
      <c r="G20" s="58"/>
      <c r="H20" s="61" t="n">
        <f aca="false">F20*G20*10000</f>
        <v>0</v>
      </c>
      <c r="J20" s="69"/>
    </row>
    <row r="21" customFormat="false" ht="11.25" hidden="false" customHeight="false" outlineLevel="0" collapsed="false">
      <c r="B21" s="60"/>
      <c r="C21" s="58"/>
      <c r="D21" s="59" t="n">
        <f aca="false">B21*C21*10000</f>
        <v>0</v>
      </c>
      <c r="E21" s="46"/>
      <c r="F21" s="60"/>
      <c r="G21" s="58"/>
      <c r="H21" s="61" t="n">
        <f aca="false">F21*G21*10000</f>
        <v>0</v>
      </c>
      <c r="J21" s="69"/>
    </row>
    <row r="22" customFormat="false" ht="11.25" hidden="false" customHeight="false" outlineLevel="0" collapsed="false">
      <c r="B22" s="60"/>
      <c r="C22" s="58"/>
      <c r="D22" s="59" t="n">
        <f aca="false">B22*C22*10000</f>
        <v>0</v>
      </c>
      <c r="E22" s="46"/>
      <c r="F22" s="60"/>
      <c r="G22" s="58"/>
      <c r="H22" s="61" t="n">
        <f aca="false">F22*G22*10000</f>
        <v>0</v>
      </c>
      <c r="J22" s="69"/>
    </row>
    <row r="23" customFormat="false" ht="11.25" hidden="false" customHeight="false" outlineLevel="0" collapsed="false">
      <c r="B23" s="60"/>
      <c r="C23" s="58"/>
      <c r="D23" s="59" t="n">
        <f aca="false">B23*C23*10000</f>
        <v>0</v>
      </c>
      <c r="E23" s="46"/>
      <c r="F23" s="60"/>
      <c r="G23" s="58"/>
      <c r="H23" s="61" t="n">
        <f aca="false">F23*G23*10000</f>
        <v>0</v>
      </c>
      <c r="J23" s="69"/>
    </row>
    <row r="24" customFormat="false" ht="11.25" hidden="false" customHeight="false" outlineLevel="0" collapsed="false">
      <c r="B24" s="60"/>
      <c r="C24" s="58"/>
      <c r="D24" s="59" t="n">
        <f aca="false">B24*C24*10000</f>
        <v>0</v>
      </c>
      <c r="E24" s="46"/>
      <c r="F24" s="60"/>
      <c r="G24" s="58"/>
      <c r="H24" s="61" t="n">
        <f aca="false">F24*G24*10000</f>
        <v>0</v>
      </c>
      <c r="J24" s="69"/>
    </row>
    <row r="25" customFormat="false" ht="11.25" hidden="false" customHeight="false" outlineLevel="0" collapsed="false">
      <c r="B25" s="60"/>
      <c r="C25" s="58"/>
      <c r="D25" s="59" t="n">
        <f aca="false">B25*C25*10000</f>
        <v>0</v>
      </c>
      <c r="E25" s="46"/>
      <c r="F25" s="60"/>
      <c r="G25" s="58"/>
      <c r="H25" s="61" t="n">
        <f aca="false">F25*G25*10000</f>
        <v>0</v>
      </c>
      <c r="J25" s="69"/>
      <c r="L25" s="37" t="n">
        <f aca="false">152.7-46.5</f>
        <v>106.2</v>
      </c>
    </row>
    <row r="26" customFormat="false" ht="11.25" hidden="false" customHeight="false" outlineLevel="0" collapsed="false">
      <c r="F26" s="38"/>
      <c r="H26" s="70"/>
      <c r="J26" s="69"/>
      <c r="K26" s="71"/>
      <c r="L26" s="71"/>
    </row>
    <row r="27" customFormat="false" ht="11.25" hidden="false" customHeight="false" outlineLevel="0" collapsed="false">
      <c r="B27" s="60" t="n">
        <f aca="false">SUM(B3:B26)</f>
        <v>31</v>
      </c>
      <c r="C27" s="72" t="n">
        <f aca="false">IF(B27=0,0,D27/B27/10000)</f>
        <v>3.1175</v>
      </c>
      <c r="D27" s="59" t="n">
        <f aca="false">SUM(D2:D26)</f>
        <v>966425</v>
      </c>
      <c r="F27" s="60" t="n">
        <f aca="false">SUM(F3:F26)</f>
        <v>38.75</v>
      </c>
      <c r="G27" s="58" t="n">
        <f aca="false">IF(F27=0,0,H27/F27/10000)</f>
        <v>3.1275</v>
      </c>
      <c r="H27" s="61" t="n">
        <f aca="false">SUM(H2:H26)</f>
        <v>1211906.25</v>
      </c>
      <c r="K27" s="71"/>
      <c r="L27" s="71"/>
      <c r="M27" s="46"/>
      <c r="N27" s="46"/>
    </row>
    <row r="28" customFormat="false" ht="11.25" hidden="false" customHeight="false" outlineLevel="0" collapsed="false">
      <c r="K28" s="71"/>
      <c r="L28" s="71"/>
      <c r="M28" s="46"/>
      <c r="N28" s="46"/>
    </row>
    <row r="29" customFormat="false" ht="11.25" hidden="false" customHeight="false" outlineLevel="0" collapsed="false">
      <c r="F29" s="40" t="n">
        <f aca="false">-B27+F27</f>
        <v>7.75</v>
      </c>
      <c r="G29" s="37" t="n">
        <f aca="false">IF(F29&lt;0,C27,G27)</f>
        <v>3.1275</v>
      </c>
      <c r="H29" s="41" t="n">
        <f aca="false">IF(F29&lt;0,(G29-C31)*ABS(F29)*10000,-1*(G29-C31)*ABS(F29)*10000)</f>
        <v>-1743.75</v>
      </c>
      <c r="K29" s="71"/>
      <c r="L29" s="71"/>
      <c r="M29" s="46"/>
      <c r="N29" s="46"/>
    </row>
    <row r="30" customFormat="false" ht="11.25" hidden="false" customHeight="false" outlineLevel="0" collapsed="false">
      <c r="F30" s="73" t="n">
        <f aca="false">-B27+F27</f>
        <v>7.75</v>
      </c>
      <c r="G30" s="37" t="n">
        <f aca="false">IF(F30&lt;0,(C27+(J26/(ABS(F30)*10000))),IF(F30=0,0,(G27-(J26/(ABS(F30)*10000)))))</f>
        <v>3.1275</v>
      </c>
      <c r="H30" s="41" t="n">
        <f aca="false">IF(F30&lt;0,(G30-C31)*ABS(F30)*10000,IF(F30=0,0,-1*(G30-C31)*ABS(F30)*10000))</f>
        <v>-1743.75</v>
      </c>
      <c r="K30" s="71"/>
      <c r="L30" s="71"/>
      <c r="M30" s="46"/>
      <c r="N30" s="46"/>
    </row>
    <row r="31" customFormat="false" ht="11.25" hidden="false" customHeight="false" outlineLevel="0" collapsed="false">
      <c r="C31" s="37" t="n">
        <f aca="false">POSTION!B5</f>
        <v>3.105</v>
      </c>
      <c r="D31" s="39" t="s">
        <v>40</v>
      </c>
      <c r="J31" s="74"/>
      <c r="K31" s="75"/>
      <c r="L31" s="75"/>
      <c r="M31" s="46"/>
      <c r="N31" s="46"/>
    </row>
    <row r="32" customFormat="false" ht="11.25" hidden="false" customHeight="false" outlineLevel="0" collapsed="false">
      <c r="F32" s="76" t="n">
        <f aca="false">MIN($B$27,$F$27)*($C$27-$G$27)*10000</f>
        <v>-3099.99999999993</v>
      </c>
      <c r="G32" s="77"/>
      <c r="H32" s="77" t="s">
        <v>41</v>
      </c>
      <c r="M32" s="46"/>
      <c r="N32" s="46"/>
    </row>
    <row r="33" customFormat="false" ht="11.25" hidden="false" customHeight="false" outlineLevel="0" collapsed="false">
      <c r="F33" s="76"/>
      <c r="G33" s="77"/>
      <c r="H33" s="77"/>
    </row>
    <row r="34" customFormat="false" ht="11.25" hidden="false" customHeight="false" outlineLevel="0" collapsed="false">
      <c r="F34" s="76" t="n">
        <f aca="false">$H$29</f>
        <v>-1743.75</v>
      </c>
      <c r="G34" s="77"/>
      <c r="H34" s="77" t="s">
        <v>42</v>
      </c>
    </row>
    <row r="35" customFormat="false" ht="11.25" hidden="false" customHeight="false" outlineLevel="0" collapsed="false">
      <c r="A35" s="49"/>
      <c r="F35" s="62" t="n">
        <f aca="false">$H$30</f>
        <v>-1743.75</v>
      </c>
      <c r="G35" s="51"/>
      <c r="H35" s="51" t="s">
        <v>43</v>
      </c>
    </row>
    <row r="36" customFormat="false" ht="11.25" hidden="false" customHeight="false" outlineLevel="0" collapsed="false">
      <c r="F36" s="42"/>
      <c r="H36" s="37"/>
    </row>
    <row r="37" customFormat="false" ht="11.25" hidden="false" customHeight="false" outlineLevel="0" collapsed="false">
      <c r="F37" s="78" t="n">
        <f aca="false">F32+F34</f>
        <v>-4843.74999999993</v>
      </c>
      <c r="G37" s="79"/>
      <c r="H37" s="79" t="s">
        <v>44</v>
      </c>
    </row>
    <row r="39" customFormat="false" ht="11.25" hidden="false" customHeight="false" outlineLevel="0" collapsed="false">
      <c r="B39" s="40"/>
    </row>
    <row r="42" customFormat="false" ht="11.25" hidden="false" customHeight="false" outlineLevel="0" collapsed="false">
      <c r="B42" s="4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2001-06-04T23:57:59Z</dcterms:created>
  <dc:creator>Joseph H Parks Jr</dc:creator>
  <dc:description/>
  <dc:language>en-US</dc:language>
  <cp:lastModifiedBy>jparks</cp:lastModifiedBy>
  <cp:lastPrinted>2001-07-24T14:25:32Z</cp:lastPrinted>
  <dcterms:modified xsi:type="dcterms:W3CDTF">2001-11-09T18:38:20Z</dcterms:modified>
  <cp:revision>0</cp:revision>
  <dc:subject/>
  <dc:title/>
</cp:coreProperties>
</file>