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ctrlProps/ctrlProps5.xml" ContentType="application/vnd.ms-excel.controlproperties+xml"/>
  <Override PartName="/xl/ctrlProps/ctrlProps14.xml" ContentType="application/vnd.ms-excel.controlproperties+xml"/>
  <Override PartName="/xl/ctrlProps/ctrlProps7.xml" ContentType="application/vnd.ms-excel.controlproperties+xml"/>
  <Override PartName="/xl/ctrlProps/ctrlProps16.xml" ContentType="application/vnd.ms-excel.controlproperties+xml"/>
  <Override PartName="/xl/ctrlProps/ctrlProps8.xml" ContentType="application/vnd.ms-excel.controlproperties+xml"/>
  <Override PartName="/xl/ctrlProps/ctrlProps17.xml" ContentType="application/vnd.ms-excel.controlproperties+xml"/>
  <Override PartName="/xl/ctrlProps/ctrlProps10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vmlDrawing2.vml" ContentType="application/vnd.openxmlformats-officedocument.vmlDrawing"/>
  <Override PartName="/xl/drawings/drawing9.xml" ContentType="application/vnd.openxmlformats-officedocument.drawing+xml"/>
  <Override PartName="/xl/drawings/drawing12.xml" ContentType="application/vnd.openxmlformats-officedocument.drawing+xml"/>
  <Override PartName="/xl/drawings/vmlDrawing4.vml" ContentType="application/vnd.openxmlformats-officedocument.vmlDrawing"/>
  <Override PartName="/xl/drawings/drawing15.xml" ContentType="application/vnd.openxmlformats-officedocument.drawing+xml"/>
  <Override PartName="/xl/drawings/vmlDrawing5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LINKS" sheetId="1" state="visible" r:id="rId3"/>
    <sheet name="NYISO A" sheetId="2" state="visible" r:id="rId4"/>
    <sheet name="NYISO G" sheetId="3" state="visible" r:id="rId5"/>
    <sheet name="NYISO J" sheetId="4" state="visible" r:id="rId6"/>
    <sheet name="NEPOOL" sheetId="5" state="visible" r:id="rId7"/>
    <sheet name="PJM" sheetId="6" state="visible" r:id="rId8"/>
    <sheet name="Positions" sheetId="7" state="visible" r:id="rId9"/>
    <sheet name="Summary" sheetId="8" state="visible" r:id="rId10"/>
    <sheet name="Prices" sheetId="9" state="visible" r:id="rId11"/>
    <sheet name="NET P&amp;L" sheetId="10" state="visible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function="false" hidden="false" localSheetId="1" name="_xlnm.Print_Area" vbProcedure="false">'NYISO A'!$A$1:$R$56</definedName>
    <definedName function="false" hidden="false" name="DaysLeft" vbProcedure="false">[1]DayCalc!$AA$48</definedName>
    <definedName function="false" hidden="false" name="DldName" vbProcedure="false">'NYISO A'!$B$88</definedName>
    <definedName function="false" hidden="false" name="NumProducts" vbProcedure="false">'EOL LINKS'!$G$1</definedName>
    <definedName function="false" hidden="false" name="OrigName" vbProcedure="false">'NYISO A'!$B$89</definedName>
    <definedName function="false" hidden="false" name="TradeDate" vbProcedure="false">'NYISO A'!$B$5</definedName>
    <definedName function="false" hidden="false" localSheetId="8" name="TradeDate" vbProcedure="false">[5]TradeSum!$B$2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<sst xmlns="http://schemas.openxmlformats.org/spreadsheetml/2006/main" count="1044" uniqueCount="163">
  <si>
    <t xml:space="preserve">Product ID</t>
  </si>
  <si>
    <t xml:space="preserve">Bid price</t>
  </si>
  <si>
    <t xml:space="preserve">Offer Price</t>
  </si>
  <si>
    <t xml:space="preserve">Actual time stamp</t>
  </si>
  <si>
    <t xml:space="preserve">Description</t>
  </si>
  <si>
    <t xml:space="preserve">Enter number of products</t>
  </si>
  <si>
    <t xml:space="preserve">Min</t>
  </si>
  <si>
    <t xml:space="preserve">Max</t>
  </si>
  <si>
    <t xml:space="preserve">Power Row</t>
  </si>
  <si>
    <t xml:space="preserve">Gas Row</t>
  </si>
  <si>
    <t xml:space="preserve">Q-4 01</t>
  </si>
  <si>
    <t xml:space="preserve">Next Day HeatRate</t>
  </si>
  <si>
    <t xml:space="preserve">FG-02</t>
  </si>
  <si>
    <t xml:space="preserve">Bal Mo HeatRate</t>
  </si>
  <si>
    <t xml:space="preserve">HJ-02</t>
  </si>
  <si>
    <t xml:space="preserve">K-02</t>
  </si>
  <si>
    <t xml:space="preserve">M-02</t>
  </si>
  <si>
    <t xml:space="preserve">NQ-02</t>
  </si>
  <si>
    <t xml:space="preserve">Prompt Month HeatRate</t>
  </si>
  <si>
    <t xml:space="preserve">U-02</t>
  </si>
  <si>
    <t xml:space="preserve">Q4-02</t>
  </si>
  <si>
    <t xml:space="preserve">JUNE4-8</t>
  </si>
  <si>
    <t xml:space="preserve">CAL-02</t>
  </si>
  <si>
    <t xml:space="preserve">29-31</t>
  </si>
  <si>
    <t xml:space="preserve">Sep Naty</t>
  </si>
  <si>
    <t xml:space="preserve">Oct Naty</t>
  </si>
  <si>
    <t xml:space="preserve">Nov Naty</t>
  </si>
  <si>
    <t xml:space="preserve">Nov-Mar 01</t>
  </si>
  <si>
    <t xml:space="preserve">Cal-02 Naty</t>
  </si>
  <si>
    <t xml:space="preserve">Apr-Oct Naty</t>
  </si>
  <si>
    <t xml:space="preserve">Cal-03 Naty</t>
  </si>
  <si>
    <t xml:space="preserve">Q-4 01 G</t>
  </si>
  <si>
    <t xml:space="preserve">FG-02 G</t>
  </si>
  <si>
    <t xml:space="preserve">NQ-02 G</t>
  </si>
  <si>
    <t xml:space="preserve">Q4-02 G</t>
  </si>
  <si>
    <t xml:space="preserve">Cin U-01</t>
  </si>
  <si>
    <t xml:space="preserve">Cin NQ-02</t>
  </si>
  <si>
    <t xml:space="preserve">Cin K-02</t>
  </si>
  <si>
    <t xml:space="preserve">Cin M-02</t>
  </si>
  <si>
    <t xml:space="preserve"> </t>
  </si>
  <si>
    <t xml:space="preserve">NYISO</t>
  </si>
  <si>
    <t xml:space="preserve">Curve </t>
  </si>
  <si>
    <t xml:space="preserve">New </t>
  </si>
  <si>
    <t xml:space="preserve">Trade Date</t>
  </si>
  <si>
    <t xml:space="preserve">Shift ($)</t>
  </si>
  <si>
    <t xml:space="preserve">Deals ($)</t>
  </si>
  <si>
    <t xml:space="preserve">P&amp;L ($)</t>
  </si>
  <si>
    <t xml:space="preserve">Prior Date</t>
  </si>
  <si>
    <t xml:space="preserve">Beg Pos</t>
  </si>
  <si>
    <t xml:space="preserve">Day's</t>
  </si>
  <si>
    <t xml:space="preserve">Option</t>
  </si>
  <si>
    <t xml:space="preserve">Current Pos.</t>
  </si>
  <si>
    <t xml:space="preserve">Prior</t>
  </si>
  <si>
    <t xml:space="preserve">Current </t>
  </si>
  <si>
    <t xml:space="preserve">New</t>
  </si>
  <si>
    <t xml:space="preserve">Bid-Ask</t>
  </si>
  <si>
    <t xml:space="preserve">Mid Change</t>
  </si>
  <si>
    <t xml:space="preserve">Net</t>
  </si>
  <si>
    <t xml:space="preserve">Average</t>
  </si>
  <si>
    <t xml:space="preserve">Absolute</t>
  </si>
  <si>
    <t xml:space="preserve">Trading</t>
  </si>
  <si>
    <t xml:space="preserve">Discount Factor</t>
  </si>
  <si>
    <t xml:space="preserve">Avg Price</t>
  </si>
  <si>
    <t xml:space="preserve">New Deal</t>
  </si>
  <si>
    <t xml:space="preserve">Date</t>
  </si>
  <si>
    <t xml:space="preserve">Peak MW</t>
  </si>
  <si>
    <t xml:space="preserve">Trade</t>
  </si>
  <si>
    <t xml:space="preserve">]</t>
  </si>
  <si>
    <t xml:space="preserve">MW</t>
  </si>
  <si>
    <t xml:space="preserve">Price</t>
  </si>
  <si>
    <t xml:space="preserve">Change</t>
  </si>
  <si>
    <t xml:space="preserve">Bid</t>
  </si>
  <si>
    <t xml:space="preserve">Offer</t>
  </si>
  <si>
    <t xml:space="preserve">Overide</t>
  </si>
  <si>
    <t xml:space="preserve">Volume</t>
  </si>
  <si>
    <t xml:space="preserve">Volume (MW)</t>
  </si>
  <si>
    <t xml:space="preserve">Hours</t>
  </si>
  <si>
    <t xml:space="preserve">Pos (MW)</t>
  </si>
  <si>
    <t xml:space="preserve">Weeday</t>
  </si>
  <si>
    <t xml:space="preserve">Peak Days</t>
  </si>
  <si>
    <t xml:space="preserve">DAILY CALLS</t>
  </si>
  <si>
    <t xml:space="preserve">MONTHLY CALLS</t>
  </si>
  <si>
    <t xml:space="preserve">DAILY PUTS</t>
  </si>
  <si>
    <t xml:space="preserve">MONTHLY PUTS</t>
  </si>
  <si>
    <t xml:space="preserve">LONG</t>
  </si>
  <si>
    <t xml:space="preserve">SHORT</t>
  </si>
  <si>
    <t xml:space="preserve">Strike</t>
  </si>
  <si>
    <t xml:space="preserve">Exercise</t>
  </si>
  <si>
    <t xml:space="preserve">Ex. Volume</t>
  </si>
  <si>
    <t xml:space="preserve">Notional</t>
  </si>
  <si>
    <t xml:space="preserve">Daily Volume</t>
  </si>
  <si>
    <t xml:space="preserve">Monthly Volume</t>
  </si>
  <si>
    <t xml:space="preserve">Filename</t>
  </si>
  <si>
    <t xml:space="preserve">NYPosMgr</t>
  </si>
  <si>
    <t xml:space="preserve">Still Working on it</t>
  </si>
  <si>
    <t xml:space="preserve">Cash</t>
  </si>
  <si>
    <t xml:space="preserve">Zone A</t>
  </si>
  <si>
    <t xml:space="preserve">Zone G</t>
  </si>
  <si>
    <t xml:space="preserve">Zone J</t>
  </si>
  <si>
    <t xml:space="preserve">Nepool</t>
  </si>
  <si>
    <t xml:space="preserve">PJM</t>
  </si>
  <si>
    <t xml:space="preserve">Total</t>
  </si>
  <si>
    <t xml:space="preserve">Price Summary</t>
  </si>
  <si>
    <t xml:space="preserve">Position</t>
  </si>
  <si>
    <t xml:space="preserve">NY</t>
  </si>
  <si>
    <t xml:space="preserve">Prior Day</t>
  </si>
  <si>
    <t xml:space="preserve">Current Day</t>
  </si>
  <si>
    <t xml:space="preserve">Mw's</t>
  </si>
  <si>
    <t xml:space="preserve">Term</t>
  </si>
  <si>
    <t xml:space="preserve">Cash Total</t>
  </si>
  <si>
    <t xml:space="preserve">Term Total</t>
  </si>
  <si>
    <t xml:space="preserve">Net Position</t>
  </si>
  <si>
    <t xml:space="preserve">Curve Shift</t>
  </si>
  <si>
    <t xml:space="preserve">New Deals</t>
  </si>
  <si>
    <t xml:space="preserve">$</t>
  </si>
  <si>
    <t xml:space="preserve">CALENDAR 2002</t>
  </si>
  <si>
    <t xml:space="preserve">ZONE A</t>
  </si>
  <si>
    <t xml:space="preserve">ZONE G</t>
  </si>
  <si>
    <t xml:space="preserve">ZONE J</t>
  </si>
  <si>
    <t xml:space="preserve">G/A</t>
  </si>
  <si>
    <t xml:space="preserve">J/A</t>
  </si>
  <si>
    <t xml:space="preserve">J/G</t>
  </si>
  <si>
    <t xml:space="preserve">"02/01"</t>
  </si>
  <si>
    <t xml:space="preserve">DAYS</t>
  </si>
  <si>
    <t xml:space="preserve">JAN</t>
  </si>
  <si>
    <t xml:space="preserve">FEB</t>
  </si>
  <si>
    <t xml:space="preserve">JAN-FEB</t>
  </si>
  <si>
    <t xml:space="preserve">MAR</t>
  </si>
  <si>
    <t xml:space="preserve">Q-1</t>
  </si>
  <si>
    <t xml:space="preserve">APR</t>
  </si>
  <si>
    <t xml:space="preserve">MAY</t>
  </si>
  <si>
    <t xml:space="preserve">JUNE</t>
  </si>
  <si>
    <t xml:space="preserve">Q-2</t>
  </si>
  <si>
    <t xml:space="preserve">JUL</t>
  </si>
  <si>
    <t xml:space="preserve">AUG</t>
  </si>
  <si>
    <t xml:space="preserve">JUL-AUG</t>
  </si>
  <si>
    <t xml:space="preserve">SEPT</t>
  </si>
  <si>
    <t xml:space="preserve">Q3</t>
  </si>
  <si>
    <t xml:space="preserve">Oct</t>
  </si>
  <si>
    <t xml:space="preserve">Nov</t>
  </si>
  <si>
    <t xml:space="preserve">Dec</t>
  </si>
  <si>
    <t xml:space="preserve">Q4</t>
  </si>
  <si>
    <t xml:space="preserve">CAL 02</t>
  </si>
  <si>
    <t xml:space="preserve">CALENDER 2003</t>
  </si>
  <si>
    <t xml:space="preserve">"03/02"</t>
  </si>
  <si>
    <t xml:space="preserve">CAL 03</t>
  </si>
  <si>
    <t xml:space="preserve">`</t>
  </si>
  <si>
    <t xml:space="preserve">MTM A</t>
  </si>
  <si>
    <t xml:space="preserve">MTM G</t>
  </si>
  <si>
    <t xml:space="preserve">MTM J</t>
  </si>
  <si>
    <t xml:space="preserve">MTM Nepool</t>
  </si>
  <si>
    <t xml:space="preserve">MTM PJM</t>
  </si>
  <si>
    <t xml:space="preserve">MTM NEPOOL</t>
  </si>
  <si>
    <t xml:space="preserve">Week</t>
  </si>
  <si>
    <t xml:space="preserve">Sat</t>
  </si>
  <si>
    <t xml:space="preserve">Sun</t>
  </si>
  <si>
    <t xml:space="preserve">Hol</t>
  </si>
  <si>
    <t xml:space="preserve">Beg. Pos</t>
  </si>
  <si>
    <t xml:space="preserve">New  Pos</t>
  </si>
  <si>
    <t xml:space="preserve">New Pos</t>
  </si>
  <si>
    <t xml:space="preserve">-Hol</t>
  </si>
  <si>
    <t xml:space="preserve">+Hol</t>
  </si>
  <si>
    <t xml:space="preserve">Mwh's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</si>
</sst>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[$-409]#,##0_);\(#,##0\)"/>
    <numFmt numFmtId="166" formatCode="#,##0"/>
    <numFmt numFmtId="167" formatCode="_(* #,##0.00_);_(* \(#,##0.00\);_(* \-??_);_(@_)"/>
    <numFmt numFmtId="168" formatCode="0"/>
    <numFmt numFmtId="169" formatCode="m/d/yy"/>
    <numFmt numFmtId="170" formatCode="_(\$* #,##0.00_);_(\$* \(#,##0.00\);_(\$* \-??_);_(@_)"/>
    <numFmt numFmtId="171" formatCode="m/d/yy\ h:mm\ AM/PM"/>
    <numFmt numFmtId="172" formatCode="_(* #,##0_);_(* \(#,##0\);_(* \-??_);_(@_)"/>
    <numFmt numFmtId="173" formatCode="[$-409]d\-mmm"/>
    <numFmt numFmtId="174" formatCode="_(\$* #,##0.0000_);_(\$* \(#,##0.0000\);_(\$* \-??_);_(@_)"/>
    <numFmt numFmtId="175" formatCode="_(* #,##0_);_(* \(#,##0\);_(* \-_);_(@_)"/>
    <numFmt numFmtId="176" formatCode="_(* #,##0.0_);_(* \(#,##0.0\);_(* \-_);_(@_)"/>
    <numFmt numFmtId="177" formatCode="[$-409]m/d/yyyy"/>
    <numFmt numFmtId="178" formatCode="[$-409]#,##0.00_);\(#,##0.00\)"/>
    <numFmt numFmtId="179" formatCode="_(* #,##0.00_);_(* \(#,##0.00\);_(* \-_);_(@_)"/>
    <numFmt numFmtId="180" formatCode="0.00"/>
    <numFmt numFmtId="181" formatCode="[$-409]d\-mmm\-yy"/>
    <numFmt numFmtId="182" formatCode="d\-mmm\,ddd"/>
    <numFmt numFmtId="183" formatCode="\$#,##0.00_);[RED]&quot;($&quot;#,##0.00\)"/>
    <numFmt numFmtId="184" formatCode="# ??/??"/>
    <numFmt numFmtId="185" formatCode="[$-409]mmm\-yy"/>
    <numFmt numFmtId="186" formatCode="_(\$* #,##0_);_(\$* \(#,##0\);_(\$* \-??_);_(@_)"/>
    <numFmt numFmtId="187" formatCode="0_);[RED]\(0\)"/>
    <numFmt numFmtId="188" formatCode="[$-409]#,##0_);[RED]\(#,##0\)"/>
    <numFmt numFmtId="189" formatCode="#,##0.0_);[RED]\(#,##0.0\)"/>
    <numFmt numFmtId="190" formatCode="[$-409]#,##0.00_);[RED]\(#,##0.00\)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 val="true"/>
      <u val="single"/>
      <sz val="2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b val="true"/>
      <sz val="14"/>
      <name val="Times New Roman"/>
      <family val="1"/>
    </font>
    <font>
      <b val="true"/>
      <sz val="11"/>
      <name val="Times New Roman"/>
      <family val="1"/>
    </font>
    <font>
      <b val="true"/>
      <sz val="16"/>
      <name val="Times New Roman"/>
      <family val="1"/>
    </font>
    <font>
      <u val="single"/>
      <sz val="10"/>
      <name val="Times New Roman"/>
      <family val="1"/>
    </font>
    <font>
      <b val="true"/>
      <sz val="26"/>
      <name val="Times New Roman"/>
      <family val="1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2"/>
    </font>
    <font>
      <b val="true"/>
      <sz val="11"/>
      <name val="Arial"/>
      <family val="2"/>
    </font>
    <font>
      <b val="true"/>
      <sz val="16"/>
      <name val="Arial"/>
      <family val="2"/>
    </font>
    <font>
      <b val="true"/>
      <sz val="9"/>
      <name val="Arial"/>
      <family val="2"/>
    </font>
    <font>
      <b val="true"/>
      <sz val="10"/>
      <color rgb="FF336666"/>
      <name val="Arial"/>
      <family val="2"/>
    </font>
    <font>
      <b val="true"/>
      <sz val="10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99"/>
        <bgColor rgb="FFFFFFC0"/>
      </patternFill>
    </fill>
    <fill>
      <patternFill patternType="solid">
        <fgColor rgb="FFFF00FF"/>
        <bgColor rgb="FFFF00FF"/>
      </patternFill>
    </fill>
    <fill>
      <patternFill patternType="solid">
        <fgColor rgb="FFC0C0C0"/>
        <bgColor rgb="FFA6CAF0"/>
      </patternFill>
    </fill>
    <fill>
      <patternFill patternType="solid">
        <fgColor rgb="FFCCFFCC"/>
        <bgColor rgb="FFE3E3E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A0E0E0"/>
        <bgColor rgb="FFA6CAF0"/>
      </patternFill>
    </fill>
    <fill>
      <patternFill patternType="solid">
        <fgColor rgb="FFE3E3E3"/>
        <bgColor rgb="FFCCFFCC"/>
      </patternFill>
    </fill>
    <fill>
      <patternFill patternType="solid">
        <fgColor rgb="FF8080FF"/>
        <bgColor rgb="FF969696"/>
      </patternFill>
    </fill>
    <fill>
      <patternFill patternType="solid">
        <fgColor rgb="FF339933"/>
        <bgColor rgb="FF008000"/>
      </patternFill>
    </fill>
    <fill>
      <patternFill patternType="solid">
        <fgColor rgb="FFCC99FF"/>
        <bgColor rgb="FFFF99CC"/>
      </patternFill>
    </fill>
    <fill>
      <patternFill patternType="solid">
        <fgColor rgb="FF33CCCC"/>
        <bgColor rgb="FF00CCFF"/>
      </patternFill>
    </fill>
    <fill>
      <patternFill patternType="solid">
        <fgColor rgb="FF000000"/>
        <bgColor rgb="FF003300"/>
      </patternFill>
    </fill>
    <fill>
      <patternFill patternType="solid">
        <fgColor rgb="FF00CCFF"/>
        <bgColor rgb="FF33CCCC"/>
      </patternFill>
    </fill>
    <fill>
      <patternFill patternType="solid">
        <fgColor rgb="FF00FF00"/>
        <bgColor rgb="FF33CCCC"/>
      </patternFill>
    </fill>
    <fill>
      <patternFill patternType="solid">
        <fgColor rgb="FFA6CAF0"/>
        <bgColor rgb="FFA0E0E0"/>
      </patternFill>
    </fill>
    <fill>
      <patternFill patternType="solid">
        <fgColor rgb="FF993366"/>
        <bgColor rgb="FF993366"/>
      </patternFill>
    </fill>
    <fill>
      <patternFill patternType="solid">
        <fgColor rgb="FF00FFFF"/>
        <bgColor rgb="FF00FFFF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1" applyFont="true" applyBorder="true" applyAlignment="true" applyProtection="false">
      <alignment horizontal="general" vertical="bottom" textRotation="0" wrapText="false" indent="0" shrinkToFit="false"/>
    </xf>
  </cellStyleXfs>
  <cellXfs count="4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6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6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8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0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7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1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1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1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7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5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1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5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7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3" fillId="8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6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4" fillId="4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4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4" fillId="7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3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4" fillId="0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0" borderId="2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4" fillId="7" borderId="25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5" fontId="14" fillId="7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7" borderId="2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14" fillId="6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4" fillId="6" borderId="25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5" fontId="14" fillId="0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8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2" fontId="10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9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1" fillId="9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5" fillId="9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9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4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6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4" fillId="7" borderId="2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5" fontId="14" fillId="0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8" fontId="14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14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7" borderId="25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4" fillId="7" borderId="2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9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3" fillId="8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4" fillId="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1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5" fillId="9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4" fillId="7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7" borderId="3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7" borderId="19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14" fillId="0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8" fontId="14" fillId="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14" fillId="0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0" borderId="19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8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8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1" fillId="1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1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1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4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5" fillId="4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4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4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4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1" fillId="4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1" fillId="7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3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4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4" fillId="7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13" fillId="8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4" fillId="2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2" borderId="2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2" borderId="1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7" borderId="1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14" fillId="7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7" borderId="3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14" fillId="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8" fontId="14" fillId="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14" fillId="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0" borderId="1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14" fillId="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8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1" fillId="1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1" fillId="4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4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5" fillId="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4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1" fillId="4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1" fillId="7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1" fillId="4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3" fillId="8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5" fontId="13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4" fillId="2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7" borderId="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5" fontId="13" fillId="8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5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4" fillId="2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2" borderId="4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14" fillId="7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7" borderId="4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7" borderId="43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14" fillId="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0" borderId="4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14" fillId="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8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8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1" fillId="1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1" fillId="9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1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4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5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4" borderId="4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4" borderId="4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1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1" fillId="7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1" fillId="4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6" fillId="7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4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4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3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4" fillId="2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2" borderId="3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14" fillId="7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7" borderId="4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14" fillId="0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8" fontId="14" fillId="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14" fillId="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0" borderId="3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14" fillId="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8" borderId="4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1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1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13" borderId="5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1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14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14" borderId="5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14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4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4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4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4" fillId="7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4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4" fillId="4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4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4" fillId="1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4" fillId="15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4" fillId="1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4" fillId="1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4" fillId="15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4" fillId="1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4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4" fillId="4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4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6" borderId="2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14" fillId="6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6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11" fillId="9" borderId="5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1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6" fillId="7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2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2" borderId="19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7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14" fillId="7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4" fillId="7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4" fillId="2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2" borderId="13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14" fillId="7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7" borderId="13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7" borderId="4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14" fillId="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0" borderId="13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14" fillId="0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8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1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8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8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25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5" fontId="15" fillId="7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4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4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4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4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4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7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4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14" borderId="5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14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7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7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7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4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4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15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15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9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8" borderId="1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8" borderId="5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5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1" fillId="4" borderId="5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4" fillId="4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4" borderId="1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4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1" fillId="4" borderId="1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4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4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11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5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7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7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7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0" fillId="7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8" fillId="1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1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7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7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7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7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0" fillId="7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8" fillId="1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1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1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4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7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0" fillId="7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7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0" fillId="7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8" fillId="1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7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7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3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7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16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1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7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7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7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1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7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7" borderId="5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7" fillId="7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8" fillId="1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27" fillId="19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8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7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7" fillId="7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8" fillId="1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8" fillId="2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8" fillId="2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8" fillId="2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8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2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8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7" borderId="6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7" fillId="7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7" fillId="7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7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8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7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7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7" fillId="7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7" fillId="7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18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7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7" borderId="6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7" fillId="7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7" fillId="7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7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7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2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8" fillId="2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7" fillId="7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8" fillId="16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1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2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2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16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16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18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2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9" fillId="2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6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Unprot" xfId="28"/>
    <cellStyle name="Unprot$" xfId="29"/>
    <cellStyle name="Unprotect" xfId="30"/>
  </cellStyles>
  <dxfs count="1">
    <dxf>
      <font>
        <name val="Arial"/>
        <family val="0"/>
        <color rgb="00FFFFFF"/>
      </font>
      <fill>
        <patternFill>
          <bgColor rgb="FF69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A0E0E0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69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36666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externalLink" Target="externalLinks/externalLink3.xml"/><Relationship Id="rId16" Type="http://schemas.openxmlformats.org/officeDocument/2006/relationships/externalLink" Target="externalLinks/externalLink4.xml"/><Relationship Id="rId17" Type="http://schemas.openxmlformats.org/officeDocument/2006/relationships/externalLink" Target="externalLinks/externalLink5.xml"/><Relationship Id="rId18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CheckBox" autoLine="false" print="true" fmlaLink="NYISO J!$C$4" lockText="1" noThreeD="1"/>
</file>

<file path=xl/ctrlProps/ctrlProps11.xml><?xml version="1.0" encoding="utf-8"?>
<formControlPr xmlns="http://schemas.microsoft.com/office/spreadsheetml/2009/9/main" objectType="CheckBox" autoLine="false" print="true" fmlaLink="NYISO J!$Q$9" lockText="1" noThreeD="1"/>
</file>

<file path=xl/ctrlProps/ctrlProps13.xml><?xml version="1.0" encoding="utf-8"?>
<formControlPr xmlns="http://schemas.microsoft.com/office/spreadsheetml/2009/9/main" objectType="CheckBox" autoLine="false" print="true" fmlaLink="NEPOOL!$C$4" lockText="1" noThreeD="1"/>
</file>

<file path=xl/ctrlProps/ctrlProps14.xml><?xml version="1.0" encoding="utf-8"?>
<formControlPr xmlns="http://schemas.microsoft.com/office/spreadsheetml/2009/9/main" objectType="CheckBox" autoLine="false" print="true" fmlaLink="NEPOOL!$Q$9" lockText="1" noThreeD="1"/>
</file>

<file path=xl/ctrlProps/ctrlProps16.xml><?xml version="1.0" encoding="utf-8"?>
<formControlPr xmlns="http://schemas.microsoft.com/office/spreadsheetml/2009/9/main" objectType="CheckBox" autoLine="false" print="true" fmlaLink="PJM!$C$4" lockText="1" noThreeD="1"/>
</file>

<file path=xl/ctrlProps/ctrlProps17.xml><?xml version="1.0" encoding="utf-8"?>
<formControlPr xmlns="http://schemas.microsoft.com/office/spreadsheetml/2009/9/main" objectType="CheckBox" autoLine="false" print="true" fmlaLink="PJM!$Q$9" lockText="1" noThreeD="1"/>
</file>

<file path=xl/ctrlProps/ctrlProps2.xml><?xml version="1.0" encoding="utf-8"?>
<formControlPr xmlns="http://schemas.microsoft.com/office/spreadsheetml/2009/9/main" objectType="CheckBox" autoLine="false" print="true" fmlaLink="NYISO A!$C$4" lockText="1" noThreeD="1"/>
</file>

<file path=xl/ctrlProps/ctrlProps3.xml><?xml version="1.0" encoding="utf-8"?>
<formControlPr xmlns="http://schemas.microsoft.com/office/spreadsheetml/2009/9/main" objectType="CheckBox" autoLine="false" print="true" fmlaLink="NYISO A!$Q$9" lockText="1" noThreeD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CheckBox" autoLine="false" print="true" fmlaLink="NYISO G!$C$4" lockText="1" noThreeD="1"/>
</file>

<file path=xl/ctrlProps/ctrlProps8.xml><?xml version="1.0" encoding="utf-8"?>
<formControlPr xmlns="http://schemas.microsoft.com/office/spreadsheetml/2009/9/main" objectType="CheckBox" autoLine="false" print="true" fmlaLink="NYISO G!$Q$9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9720</xdr:colOff>
          <xdr:row>8</xdr:row>
          <xdr:rowOff>38160</xdr:rowOff>
        </xdr:from>
        <xdr:to>
          <xdr:col>17</xdr:col>
          <xdr:colOff>-512280</xdr:colOff>
          <xdr:row>9</xdr:row>
          <xdr:rowOff>47520</xdr:rowOff>
        </xdr:to>
        <xdr:sp>
          <xdr:nvSpPr>
            <xdr:cNvPr id="1001" name="Check Box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9720</xdr:colOff>
          <xdr:row>8</xdr:row>
          <xdr:rowOff>29160</xdr:rowOff>
        </xdr:from>
        <xdr:to>
          <xdr:col>17</xdr:col>
          <xdr:colOff>-472320</xdr:colOff>
          <xdr:row>9</xdr:row>
          <xdr:rowOff>28800</xdr:rowOff>
        </xdr:to>
        <xdr:sp>
          <xdr:nvSpPr>
            <xdr:cNvPr id="1002" name="Check Box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90720</xdr:colOff>
          <xdr:row>1</xdr:row>
          <xdr:rowOff>218880</xdr:rowOff>
        </xdr:from>
        <xdr:to>
          <xdr:col>6</xdr:col>
          <xdr:colOff>483480</xdr:colOff>
          <xdr:row>4</xdr:row>
          <xdr:rowOff>9360</xdr:rowOff>
        </xdr:to>
        <xdr:sp>
          <xdr:nvSpPr>
            <xdr:cNvPr id="1003" name="Button 16" descr="Clear Deal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Clear Deals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30240</xdr:colOff>
          <xdr:row>1</xdr:row>
          <xdr:rowOff>256680</xdr:rowOff>
        </xdr:from>
        <xdr:to>
          <xdr:col>4</xdr:col>
          <xdr:colOff>373320</xdr:colOff>
          <xdr:row>4</xdr:row>
          <xdr:rowOff>9360</xdr:rowOff>
        </xdr:to>
        <xdr:sp>
          <xdr:nvSpPr>
            <xdr:cNvPr id="1004" name="Button 17" descr="End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End Day</a:t>
              </a:r>
            </a:p>
          </xdr:txBody>
        </xdr:sp>
        <xdr:clientData/>
      </xdr:twoCellAnchor>
    </mc:Choice>
  </mc:AlternateContent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9720</xdr:colOff>
          <xdr:row>8</xdr:row>
          <xdr:rowOff>37800</xdr:rowOff>
        </xdr:from>
        <xdr:to>
          <xdr:col>17</xdr:col>
          <xdr:colOff>-511920</xdr:colOff>
          <xdr:row>9</xdr:row>
          <xdr:rowOff>47520</xdr:rowOff>
        </xdr:to>
        <xdr:sp>
          <xdr:nvSpPr>
            <xdr:cNvPr id="1001" name="Check Box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9720</xdr:colOff>
          <xdr:row>8</xdr:row>
          <xdr:rowOff>29160</xdr:rowOff>
        </xdr:from>
        <xdr:to>
          <xdr:col>17</xdr:col>
          <xdr:colOff>-471960</xdr:colOff>
          <xdr:row>9</xdr:row>
          <xdr:rowOff>28800</xdr:rowOff>
        </xdr:to>
        <xdr:sp>
          <xdr:nvSpPr>
            <xdr:cNvPr id="1002" name="Check Box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9720</xdr:colOff>
          <xdr:row>8</xdr:row>
          <xdr:rowOff>38160</xdr:rowOff>
        </xdr:from>
        <xdr:to>
          <xdr:col>17</xdr:col>
          <xdr:colOff>-512280</xdr:colOff>
          <xdr:row>9</xdr:row>
          <xdr:rowOff>47520</xdr:rowOff>
        </xdr:to>
        <xdr:sp>
          <xdr:nvSpPr>
            <xdr:cNvPr id="1001" name="Check Box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9720</xdr:colOff>
          <xdr:row>8</xdr:row>
          <xdr:rowOff>29160</xdr:rowOff>
        </xdr:from>
        <xdr:to>
          <xdr:col>17</xdr:col>
          <xdr:colOff>-472320</xdr:colOff>
          <xdr:row>9</xdr:row>
          <xdr:rowOff>28800</xdr:rowOff>
        </xdr:to>
        <xdr:sp>
          <xdr:nvSpPr>
            <xdr:cNvPr id="1002" name="Check Box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9720</xdr:colOff>
          <xdr:row>8</xdr:row>
          <xdr:rowOff>37800</xdr:rowOff>
        </xdr:from>
        <xdr:to>
          <xdr:col>17</xdr:col>
          <xdr:colOff>-511920</xdr:colOff>
          <xdr:row>9</xdr:row>
          <xdr:rowOff>47520</xdr:rowOff>
        </xdr:to>
        <xdr:sp>
          <xdr:nvSpPr>
            <xdr:cNvPr id="1001" name="Check Box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9720</xdr:colOff>
          <xdr:row>8</xdr:row>
          <xdr:rowOff>29160</xdr:rowOff>
        </xdr:from>
        <xdr:to>
          <xdr:col>17</xdr:col>
          <xdr:colOff>-471960</xdr:colOff>
          <xdr:row>9</xdr:row>
          <xdr:rowOff>28800</xdr:rowOff>
        </xdr:to>
        <xdr:sp>
          <xdr:nvSpPr>
            <xdr:cNvPr id="1002" name="Check Box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10080</xdr:colOff>
          <xdr:row>8</xdr:row>
          <xdr:rowOff>37800</xdr:rowOff>
        </xdr:from>
        <xdr:to>
          <xdr:col>17</xdr:col>
          <xdr:colOff>-613440</xdr:colOff>
          <xdr:row>9</xdr:row>
          <xdr:rowOff>47520</xdr:rowOff>
        </xdr:to>
        <xdr:sp>
          <xdr:nvSpPr>
            <xdr:cNvPr id="1001" name="Check Box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10080</xdr:colOff>
          <xdr:row>8</xdr:row>
          <xdr:rowOff>29160</xdr:rowOff>
        </xdr:from>
        <xdr:to>
          <xdr:col>17</xdr:col>
          <xdr:colOff>-573120</xdr:colOff>
          <xdr:row>9</xdr:row>
          <xdr:rowOff>28800</xdr:rowOff>
        </xdr:to>
        <xdr:sp>
          <xdr:nvSpPr>
            <xdr:cNvPr id="1002" name="Check Box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Curve/NEW_SYS/CASH/pjm/PJMCASH/1999/PosMgr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Curve/NEW_SYS/MW/MWSUM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Curve/NEW_SYS/CASH/NYISOCash4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Curve/NEW_SYS/NE/ny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Curve/NEW_SYS/CASH/Necash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kV"/>
      <sheetName val="Sheet1"/>
      <sheetName val="West"/>
      <sheetName val="Sheet3"/>
      <sheetName val="Sheet2"/>
      <sheetName val="NEPOOL"/>
      <sheetName val="Spreads"/>
      <sheetName val="DayCalc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erm"/>
      <sheetName val="Total"/>
      <sheetName val="Master"/>
      <sheetName val="TradeSum"/>
      <sheetName val="GencoPosn"/>
      <sheetName val="NYMEX"/>
      <sheetName val="OthNewDeals"/>
      <sheetName val="NymexData"/>
      <sheetName val="Interest"/>
      <sheetName val="FuturesPosn"/>
      <sheetName val="EOL LINKS"/>
      <sheetName val="Cd"/>
      <sheetName val="Module1"/>
      <sheetName val="Module2"/>
      <sheetName val="MWSU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op"/>
      <sheetName val="NYZoneA"/>
      <sheetName val="NYZoneD"/>
      <sheetName val="NYZoneG"/>
      <sheetName val="NYZoneJ"/>
      <sheetName val="Nepool"/>
      <sheetName val="PJM"/>
      <sheetName val="WestHub"/>
      <sheetName val="OtherPosn"/>
      <sheetName val="Cd"/>
    </sheetNames>
    <sheetDataSet>
      <sheetData sheetId="0">
        <row r="4">
          <cell r="B4">
            <v>37134</v>
          </cell>
        </row>
        <row r="5">
          <cell r="B5">
            <v>37133</v>
          </cell>
        </row>
      </sheetData>
      <sheetData sheetId="1">
        <row r="3">
          <cell r="C3">
            <v>34</v>
          </cell>
        </row>
        <row r="3">
          <cell r="L3">
            <v>0</v>
          </cell>
        </row>
        <row r="4">
          <cell r="C4">
            <v>34</v>
          </cell>
        </row>
        <row r="4">
          <cell r="L4">
            <v>0</v>
          </cell>
        </row>
        <row r="5">
          <cell r="C5">
            <v>34</v>
          </cell>
        </row>
        <row r="5">
          <cell r="L5">
            <v>0</v>
          </cell>
        </row>
        <row r="6">
          <cell r="C6">
            <v>38.5</v>
          </cell>
        </row>
        <row r="6">
          <cell r="L6">
            <v>-3188.60620117188</v>
          </cell>
        </row>
        <row r="7">
          <cell r="C7">
            <v>38.5</v>
          </cell>
        </row>
        <row r="7">
          <cell r="L7">
            <v>-3188.60620117188</v>
          </cell>
        </row>
        <row r="8">
          <cell r="C8">
            <v>38.5</v>
          </cell>
        </row>
        <row r="8">
          <cell r="L8">
            <v>-3188.60620117188</v>
          </cell>
        </row>
        <row r="9">
          <cell r="C9">
            <v>38.5</v>
          </cell>
        </row>
        <row r="9">
          <cell r="L9">
            <v>-3188.60620117188</v>
          </cell>
        </row>
        <row r="10">
          <cell r="C10">
            <v>34</v>
          </cell>
        </row>
        <row r="10">
          <cell r="L10">
            <v>0</v>
          </cell>
        </row>
        <row r="11">
          <cell r="C11">
            <v>34</v>
          </cell>
        </row>
        <row r="11">
          <cell r="L11">
            <v>0</v>
          </cell>
        </row>
        <row r="12">
          <cell r="C12">
            <v>34</v>
          </cell>
        </row>
        <row r="12">
          <cell r="L12">
            <v>-3985.7578125</v>
          </cell>
        </row>
        <row r="13">
          <cell r="C13">
            <v>34</v>
          </cell>
        </row>
        <row r="13">
          <cell r="L13">
            <v>-3985.7578125</v>
          </cell>
        </row>
        <row r="14">
          <cell r="C14">
            <v>34</v>
          </cell>
        </row>
        <row r="14">
          <cell r="L14">
            <v>-3985.7578125</v>
          </cell>
        </row>
        <row r="15">
          <cell r="C15">
            <v>34</v>
          </cell>
        </row>
        <row r="15">
          <cell r="L15">
            <v>-3985.7578125</v>
          </cell>
        </row>
        <row r="16">
          <cell r="C16">
            <v>34</v>
          </cell>
        </row>
        <row r="16">
          <cell r="L16">
            <v>-3985.7578125</v>
          </cell>
        </row>
        <row r="17">
          <cell r="C17">
            <v>33</v>
          </cell>
        </row>
        <row r="17">
          <cell r="L17">
            <v>0</v>
          </cell>
        </row>
        <row r="18">
          <cell r="C18">
            <v>33</v>
          </cell>
        </row>
        <row r="18">
          <cell r="L18">
            <v>0</v>
          </cell>
        </row>
        <row r="19">
          <cell r="C19">
            <v>34</v>
          </cell>
        </row>
        <row r="19">
          <cell r="L19">
            <v>-3985.7578125</v>
          </cell>
        </row>
        <row r="20">
          <cell r="C20">
            <v>34</v>
          </cell>
        </row>
        <row r="20">
          <cell r="L20">
            <v>-3985.7578125</v>
          </cell>
        </row>
        <row r="21">
          <cell r="C21">
            <v>34</v>
          </cell>
        </row>
        <row r="21">
          <cell r="L21">
            <v>-3985.7578125</v>
          </cell>
        </row>
        <row r="22">
          <cell r="C22">
            <v>34</v>
          </cell>
        </row>
        <row r="22">
          <cell r="L22">
            <v>-3985.7578125</v>
          </cell>
        </row>
        <row r="23">
          <cell r="C23">
            <v>34</v>
          </cell>
        </row>
        <row r="23">
          <cell r="L23">
            <v>-3985.7578125</v>
          </cell>
        </row>
        <row r="24">
          <cell r="C24">
            <v>33</v>
          </cell>
        </row>
        <row r="24">
          <cell r="L24">
            <v>0</v>
          </cell>
        </row>
        <row r="25">
          <cell r="C25">
            <v>33</v>
          </cell>
        </row>
        <row r="25">
          <cell r="L25">
            <v>0</v>
          </cell>
        </row>
        <row r="26">
          <cell r="C26">
            <v>34</v>
          </cell>
        </row>
        <row r="26">
          <cell r="L26">
            <v>-3985.7578125</v>
          </cell>
        </row>
        <row r="27">
          <cell r="C27">
            <v>34</v>
          </cell>
        </row>
        <row r="27">
          <cell r="L27">
            <v>-3985.7578125</v>
          </cell>
        </row>
        <row r="28">
          <cell r="C28">
            <v>34</v>
          </cell>
        </row>
        <row r="28">
          <cell r="L28">
            <v>-3985.7578125</v>
          </cell>
        </row>
        <row r="29">
          <cell r="C29">
            <v>34</v>
          </cell>
        </row>
        <row r="29">
          <cell r="L29">
            <v>-3985.7578125</v>
          </cell>
        </row>
        <row r="30">
          <cell r="C30">
            <v>34</v>
          </cell>
        </row>
        <row r="30">
          <cell r="L30">
            <v>-3985.7578125</v>
          </cell>
        </row>
        <row r="31">
          <cell r="C31">
            <v>33</v>
          </cell>
        </row>
        <row r="31">
          <cell r="L31">
            <v>0</v>
          </cell>
        </row>
        <row r="32">
          <cell r="C32">
            <v>33</v>
          </cell>
        </row>
        <row r="32">
          <cell r="L32">
            <v>0</v>
          </cell>
        </row>
        <row r="33">
          <cell r="C33">
            <v>34.25</v>
          </cell>
        </row>
        <row r="33">
          <cell r="L33">
            <v>-73105</v>
          </cell>
        </row>
        <row r="34">
          <cell r="C34">
            <v>34.25</v>
          </cell>
        </row>
        <row r="34">
          <cell r="L34">
            <v>0</v>
          </cell>
        </row>
        <row r="35">
          <cell r="C35">
            <v>34.25</v>
          </cell>
        </row>
        <row r="35">
          <cell r="L35">
            <v>-66560.9140625</v>
          </cell>
        </row>
        <row r="36">
          <cell r="C36">
            <v>34.25</v>
          </cell>
        </row>
        <row r="36">
          <cell r="L36">
            <v>-63206.4140625</v>
          </cell>
        </row>
        <row r="37">
          <cell r="C37">
            <v>38.5</v>
          </cell>
        </row>
        <row r="37">
          <cell r="L37">
            <v>51998.2109375</v>
          </cell>
        </row>
        <row r="38">
          <cell r="C38">
            <v>38.5</v>
          </cell>
        </row>
        <row r="38">
          <cell r="L38">
            <v>47146.87890625</v>
          </cell>
        </row>
        <row r="39">
          <cell r="C39">
            <v>34.5</v>
          </cell>
        </row>
        <row r="39">
          <cell r="L39">
            <v>16456.11328125</v>
          </cell>
        </row>
        <row r="40">
          <cell r="C40">
            <v>34.5</v>
          </cell>
        </row>
        <row r="40">
          <cell r="L40">
            <v>17186.7109375</v>
          </cell>
        </row>
        <row r="41">
          <cell r="C41">
            <v>35.25</v>
          </cell>
        </row>
        <row r="41">
          <cell r="L41">
            <v>-2.00000002670286E-010</v>
          </cell>
        </row>
        <row r="42">
          <cell r="C42">
            <v>42.75</v>
          </cell>
        </row>
        <row r="42">
          <cell r="L42">
            <v>-46587.87890625</v>
          </cell>
        </row>
        <row r="43">
          <cell r="C43">
            <v>56.5</v>
          </cell>
        </row>
        <row r="43">
          <cell r="L43">
            <v>17029.357421875</v>
          </cell>
        </row>
        <row r="44">
          <cell r="C44">
            <v>56.5</v>
          </cell>
        </row>
        <row r="44">
          <cell r="L44">
            <v>16970.353515625</v>
          </cell>
        </row>
        <row r="45">
          <cell r="C45">
            <v>34.25</v>
          </cell>
        </row>
        <row r="45">
          <cell r="L45">
            <v>15380.6826171875</v>
          </cell>
        </row>
        <row r="46">
          <cell r="C46">
            <v>33.8999977111816</v>
          </cell>
        </row>
        <row r="46">
          <cell r="L46">
            <v>52878.0546875</v>
          </cell>
        </row>
        <row r="47">
          <cell r="C47">
            <v>33.8999977111816</v>
          </cell>
        </row>
        <row r="47">
          <cell r="L47">
            <v>45827.55078125</v>
          </cell>
        </row>
        <row r="48">
          <cell r="C48">
            <v>33.8999977111816</v>
          </cell>
        </row>
        <row r="48">
          <cell r="L48">
            <v>0</v>
          </cell>
        </row>
        <row r="49">
          <cell r="C49">
            <v>40</v>
          </cell>
        </row>
        <row r="49">
          <cell r="L49">
            <v>0</v>
          </cell>
        </row>
        <row r="50">
          <cell r="C50">
            <v>40</v>
          </cell>
        </row>
        <row r="50">
          <cell r="L50">
            <v>0</v>
          </cell>
        </row>
        <row r="51">
          <cell r="C51">
            <v>34.0999984741211</v>
          </cell>
        </row>
        <row r="51">
          <cell r="L51">
            <v>0</v>
          </cell>
        </row>
      </sheetData>
      <sheetData sheetId="2">
        <row r="3">
          <cell r="L3">
            <v>0</v>
          </cell>
        </row>
        <row r="4">
          <cell r="L4">
            <v>0</v>
          </cell>
        </row>
        <row r="5">
          <cell r="L5">
            <v>0</v>
          </cell>
        </row>
        <row r="10">
          <cell r="L10">
            <v>0</v>
          </cell>
        </row>
        <row r="11">
          <cell r="L11">
            <v>0</v>
          </cell>
        </row>
        <row r="12">
          <cell r="L12">
            <v>0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L21">
            <v>0</v>
          </cell>
        </row>
        <row r="22">
          <cell r="L22">
            <v>0</v>
          </cell>
        </row>
        <row r="23">
          <cell r="L23">
            <v>0</v>
          </cell>
        </row>
        <row r="24">
          <cell r="L24">
            <v>0</v>
          </cell>
        </row>
        <row r="25">
          <cell r="L25">
            <v>0</v>
          </cell>
        </row>
        <row r="26">
          <cell r="L26">
            <v>0</v>
          </cell>
        </row>
        <row r="27">
          <cell r="L27">
            <v>0</v>
          </cell>
        </row>
        <row r="28">
          <cell r="L28">
            <v>0</v>
          </cell>
        </row>
        <row r="29">
          <cell r="L29">
            <v>0</v>
          </cell>
        </row>
        <row r="30">
          <cell r="L30">
            <v>0</v>
          </cell>
        </row>
        <row r="31">
          <cell r="L31">
            <v>0</v>
          </cell>
        </row>
        <row r="32">
          <cell r="L32">
            <v>0</v>
          </cell>
        </row>
        <row r="33">
          <cell r="L33">
            <v>0</v>
          </cell>
        </row>
        <row r="34">
          <cell r="L34">
            <v>0</v>
          </cell>
        </row>
      </sheetData>
      <sheetData sheetId="3">
        <row r="3">
          <cell r="C3">
            <v>38</v>
          </cell>
        </row>
        <row r="3">
          <cell r="L3">
            <v>0</v>
          </cell>
        </row>
        <row r="4">
          <cell r="C4">
            <v>38</v>
          </cell>
        </row>
        <row r="4">
          <cell r="L4">
            <v>0</v>
          </cell>
        </row>
        <row r="5">
          <cell r="C5">
            <v>38</v>
          </cell>
        </row>
        <row r="5">
          <cell r="L5">
            <v>0</v>
          </cell>
        </row>
        <row r="6">
          <cell r="C6">
            <v>45.5</v>
          </cell>
        </row>
        <row r="6">
          <cell r="L6">
            <v>-797.151550292969</v>
          </cell>
        </row>
        <row r="7">
          <cell r="C7">
            <v>45.5</v>
          </cell>
        </row>
        <row r="7">
          <cell r="L7">
            <v>-797.151550292969</v>
          </cell>
        </row>
        <row r="8">
          <cell r="C8">
            <v>45.5</v>
          </cell>
        </row>
        <row r="8">
          <cell r="L8">
            <v>-797.151550292969</v>
          </cell>
        </row>
        <row r="9">
          <cell r="C9">
            <v>45.5</v>
          </cell>
        </row>
        <row r="9">
          <cell r="L9">
            <v>-797.151550292969</v>
          </cell>
        </row>
        <row r="10">
          <cell r="C10">
            <v>38</v>
          </cell>
        </row>
        <row r="10">
          <cell r="L10">
            <v>0</v>
          </cell>
        </row>
        <row r="11">
          <cell r="C11">
            <v>38</v>
          </cell>
        </row>
        <row r="11">
          <cell r="L11">
            <v>0</v>
          </cell>
        </row>
        <row r="12">
          <cell r="C12">
            <v>40.5</v>
          </cell>
        </row>
        <row r="12">
          <cell r="L12">
            <v>1.99999999200839E-012</v>
          </cell>
        </row>
        <row r="13">
          <cell r="C13">
            <v>40.5</v>
          </cell>
        </row>
        <row r="13">
          <cell r="L13">
            <v>1.99999999200839E-012</v>
          </cell>
        </row>
        <row r="14">
          <cell r="C14">
            <v>40.5</v>
          </cell>
        </row>
        <row r="14">
          <cell r="L14">
            <v>1.99999999200839E-012</v>
          </cell>
        </row>
        <row r="15">
          <cell r="C15">
            <v>40.5</v>
          </cell>
        </row>
        <row r="15">
          <cell r="L15">
            <v>1.99999999200839E-012</v>
          </cell>
        </row>
        <row r="16">
          <cell r="C16">
            <v>40.5</v>
          </cell>
        </row>
        <row r="16">
          <cell r="L16">
            <v>1.99999999200839E-012</v>
          </cell>
        </row>
        <row r="17">
          <cell r="C17">
            <v>38</v>
          </cell>
        </row>
        <row r="17">
          <cell r="L17">
            <v>0</v>
          </cell>
        </row>
        <row r="18">
          <cell r="C18">
            <v>38</v>
          </cell>
        </row>
        <row r="18">
          <cell r="L18">
            <v>0</v>
          </cell>
        </row>
        <row r="19">
          <cell r="C19">
            <v>40.5</v>
          </cell>
        </row>
        <row r="19">
          <cell r="L19">
            <v>1.99999999200839E-012</v>
          </cell>
        </row>
        <row r="20">
          <cell r="C20">
            <v>40.5</v>
          </cell>
        </row>
        <row r="20">
          <cell r="L20">
            <v>0</v>
          </cell>
        </row>
        <row r="21">
          <cell r="C21">
            <v>40.5</v>
          </cell>
        </row>
        <row r="21">
          <cell r="L21">
            <v>3.99999998401679E-012</v>
          </cell>
        </row>
        <row r="22">
          <cell r="C22">
            <v>40.5</v>
          </cell>
        </row>
        <row r="22">
          <cell r="L22">
            <v>3.99999998401679E-012</v>
          </cell>
        </row>
        <row r="23">
          <cell r="C23">
            <v>40.5</v>
          </cell>
        </row>
        <row r="23">
          <cell r="L23">
            <v>3.99999998401679E-012</v>
          </cell>
        </row>
        <row r="24">
          <cell r="C24">
            <v>38</v>
          </cell>
        </row>
        <row r="24">
          <cell r="L24">
            <v>0</v>
          </cell>
        </row>
        <row r="25">
          <cell r="C25">
            <v>38</v>
          </cell>
        </row>
        <row r="25">
          <cell r="L25">
            <v>0</v>
          </cell>
        </row>
        <row r="26">
          <cell r="C26">
            <v>40.5</v>
          </cell>
        </row>
        <row r="26">
          <cell r="L26">
            <v>3.99999998401679E-012</v>
          </cell>
        </row>
        <row r="27">
          <cell r="C27">
            <v>40.5</v>
          </cell>
        </row>
        <row r="27">
          <cell r="L27">
            <v>3.99999998401679E-012</v>
          </cell>
        </row>
        <row r="28">
          <cell r="C28">
            <v>40.5</v>
          </cell>
        </row>
        <row r="28">
          <cell r="L28">
            <v>3.99999998401679E-012</v>
          </cell>
        </row>
        <row r="29">
          <cell r="C29">
            <v>40.5</v>
          </cell>
        </row>
        <row r="29">
          <cell r="L29">
            <v>3.99999998401679E-012</v>
          </cell>
        </row>
        <row r="30">
          <cell r="C30">
            <v>40.5</v>
          </cell>
        </row>
        <row r="30">
          <cell r="L30">
            <v>3.99999998401679E-012</v>
          </cell>
        </row>
        <row r="31">
          <cell r="C31">
            <v>38</v>
          </cell>
        </row>
        <row r="31">
          <cell r="L31">
            <v>0</v>
          </cell>
        </row>
        <row r="32">
          <cell r="C32">
            <v>38</v>
          </cell>
        </row>
        <row r="32">
          <cell r="L32">
            <v>0</v>
          </cell>
        </row>
        <row r="33">
          <cell r="C33">
            <v>41</v>
          </cell>
        </row>
        <row r="33">
          <cell r="L33">
            <v>-18276.25</v>
          </cell>
        </row>
        <row r="34">
          <cell r="C34">
            <v>41</v>
          </cell>
        </row>
        <row r="34">
          <cell r="L34">
            <v>0</v>
          </cell>
        </row>
        <row r="35">
          <cell r="C35">
            <v>41</v>
          </cell>
        </row>
        <row r="35">
          <cell r="L35">
            <v>-16640.228515625</v>
          </cell>
        </row>
        <row r="36">
          <cell r="C36">
            <v>41</v>
          </cell>
        </row>
        <row r="36">
          <cell r="L36">
            <v>-15801.603515625</v>
          </cell>
        </row>
        <row r="37">
          <cell r="C37">
            <v>47</v>
          </cell>
        </row>
        <row r="37">
          <cell r="L37">
            <v>-3.99999998401679E-011</v>
          </cell>
        </row>
        <row r="38">
          <cell r="C38">
            <v>47</v>
          </cell>
        </row>
        <row r="38">
          <cell r="L38">
            <v>3.99999998401679E-011</v>
          </cell>
        </row>
        <row r="39">
          <cell r="C39">
            <v>41.5</v>
          </cell>
        </row>
        <row r="39">
          <cell r="L39">
            <v>1.99999999200839E-011</v>
          </cell>
        </row>
        <row r="40">
          <cell r="C40">
            <v>40.5</v>
          </cell>
        </row>
        <row r="40">
          <cell r="L40">
            <v>3.99999998401679E-011</v>
          </cell>
        </row>
        <row r="41">
          <cell r="C41">
            <v>43</v>
          </cell>
        </row>
        <row r="41">
          <cell r="L41">
            <v>17135.123046875</v>
          </cell>
        </row>
        <row r="42">
          <cell r="C42">
            <v>52</v>
          </cell>
        </row>
        <row r="42">
          <cell r="L42">
            <v>31058.5859375</v>
          </cell>
        </row>
        <row r="43">
          <cell r="C43">
            <v>74</v>
          </cell>
        </row>
        <row r="43">
          <cell r="L43">
            <v>-17029.357421875</v>
          </cell>
        </row>
        <row r="44">
          <cell r="C44">
            <v>74</v>
          </cell>
        </row>
        <row r="44">
          <cell r="L44">
            <v>-16970.353515625</v>
          </cell>
        </row>
        <row r="45">
          <cell r="C45">
            <v>40.75</v>
          </cell>
        </row>
        <row r="45">
          <cell r="L45">
            <v>1.99999999200839E-011</v>
          </cell>
        </row>
        <row r="46">
          <cell r="C46">
            <v>40.75</v>
          </cell>
        </row>
        <row r="46">
          <cell r="L46">
            <v>-17626.017578125</v>
          </cell>
        </row>
        <row r="47">
          <cell r="C47">
            <v>40.75</v>
          </cell>
        </row>
        <row r="47">
          <cell r="L47">
            <v>-15275.8505859375</v>
          </cell>
        </row>
        <row r="49">
          <cell r="L49">
            <v>0</v>
          </cell>
        </row>
        <row r="50">
          <cell r="L50">
            <v>0</v>
          </cell>
        </row>
        <row r="51">
          <cell r="L51">
            <v>0</v>
          </cell>
        </row>
      </sheetData>
      <sheetData sheetId="4">
        <row r="3">
          <cell r="C3">
            <v>42</v>
          </cell>
        </row>
        <row r="3">
          <cell r="L3">
            <v>0</v>
          </cell>
        </row>
        <row r="4">
          <cell r="C4">
            <v>42</v>
          </cell>
        </row>
        <row r="4">
          <cell r="L4">
            <v>0</v>
          </cell>
        </row>
        <row r="5">
          <cell r="C5">
            <v>42</v>
          </cell>
        </row>
        <row r="5">
          <cell r="L5">
            <v>0</v>
          </cell>
        </row>
        <row r="6">
          <cell r="C6">
            <v>48.25</v>
          </cell>
        </row>
        <row r="6">
          <cell r="L6">
            <v>1195.72729492188</v>
          </cell>
        </row>
        <row r="7">
          <cell r="C7">
            <v>48.25</v>
          </cell>
        </row>
        <row r="7">
          <cell r="L7">
            <v>1195.72729492188</v>
          </cell>
        </row>
        <row r="8">
          <cell r="C8">
            <v>48.25</v>
          </cell>
        </row>
        <row r="8">
          <cell r="L8">
            <v>1195.72729492188</v>
          </cell>
        </row>
        <row r="9">
          <cell r="C9">
            <v>48.25</v>
          </cell>
        </row>
        <row r="9">
          <cell r="L9">
            <v>1195.72729492188</v>
          </cell>
        </row>
        <row r="10">
          <cell r="C10">
            <v>42</v>
          </cell>
        </row>
        <row r="10">
          <cell r="L10">
            <v>0</v>
          </cell>
        </row>
        <row r="11">
          <cell r="C11">
            <v>42</v>
          </cell>
        </row>
        <row r="11">
          <cell r="L11">
            <v>0</v>
          </cell>
        </row>
        <row r="12">
          <cell r="C12">
            <v>45.75</v>
          </cell>
        </row>
        <row r="12">
          <cell r="L12">
            <v>1195.72729492188</v>
          </cell>
        </row>
        <row r="13">
          <cell r="C13">
            <v>45.75</v>
          </cell>
        </row>
        <row r="13">
          <cell r="L13">
            <v>1195.72729492188</v>
          </cell>
        </row>
        <row r="14">
          <cell r="C14">
            <v>45.75</v>
          </cell>
        </row>
        <row r="14">
          <cell r="L14">
            <v>1195.72729492188</v>
          </cell>
        </row>
        <row r="15">
          <cell r="C15">
            <v>45.75</v>
          </cell>
        </row>
        <row r="15">
          <cell r="L15">
            <v>1195.72729492188</v>
          </cell>
        </row>
        <row r="16">
          <cell r="C16">
            <v>45.75</v>
          </cell>
        </row>
        <row r="16">
          <cell r="L16">
            <v>1195.72729492188</v>
          </cell>
        </row>
        <row r="17">
          <cell r="C17">
            <v>42</v>
          </cell>
        </row>
        <row r="17">
          <cell r="L17">
            <v>0</v>
          </cell>
        </row>
        <row r="18">
          <cell r="C18">
            <v>42</v>
          </cell>
        </row>
        <row r="18">
          <cell r="L18">
            <v>0</v>
          </cell>
        </row>
        <row r="19">
          <cell r="C19">
            <v>45.75</v>
          </cell>
        </row>
        <row r="19">
          <cell r="L19">
            <v>1195.72729492188</v>
          </cell>
        </row>
        <row r="20">
          <cell r="C20">
            <v>45.75</v>
          </cell>
        </row>
        <row r="20">
          <cell r="L20">
            <v>1195.72729492188</v>
          </cell>
        </row>
        <row r="21">
          <cell r="C21">
            <v>45.75</v>
          </cell>
        </row>
        <row r="21">
          <cell r="L21">
            <v>1195.72729492188</v>
          </cell>
        </row>
        <row r="22">
          <cell r="C22">
            <v>45.75</v>
          </cell>
        </row>
        <row r="22">
          <cell r="L22">
            <v>1195.72729492188</v>
          </cell>
        </row>
        <row r="23">
          <cell r="C23">
            <v>45.75</v>
          </cell>
        </row>
        <row r="23">
          <cell r="L23">
            <v>1195.72729492188</v>
          </cell>
        </row>
        <row r="24">
          <cell r="C24">
            <v>42</v>
          </cell>
        </row>
        <row r="24">
          <cell r="L24">
            <v>0</v>
          </cell>
        </row>
        <row r="25">
          <cell r="C25">
            <v>42</v>
          </cell>
        </row>
        <row r="25">
          <cell r="L25">
            <v>0</v>
          </cell>
        </row>
        <row r="26">
          <cell r="C26">
            <v>45.75</v>
          </cell>
        </row>
        <row r="26">
          <cell r="L26">
            <v>1195.72729492188</v>
          </cell>
        </row>
        <row r="27">
          <cell r="C27">
            <v>45.75</v>
          </cell>
        </row>
        <row r="27">
          <cell r="L27">
            <v>1195.72729492188</v>
          </cell>
        </row>
        <row r="28">
          <cell r="C28">
            <v>45.75</v>
          </cell>
        </row>
        <row r="28">
          <cell r="L28">
            <v>1195.72729492188</v>
          </cell>
        </row>
        <row r="29">
          <cell r="C29">
            <v>45.75</v>
          </cell>
        </row>
        <row r="29">
          <cell r="L29">
            <v>1195.72729492188</v>
          </cell>
        </row>
        <row r="30">
          <cell r="C30">
            <v>45.75</v>
          </cell>
        </row>
        <row r="30">
          <cell r="L30">
            <v>1195.72729492188</v>
          </cell>
        </row>
        <row r="31">
          <cell r="C31">
            <v>47</v>
          </cell>
        </row>
        <row r="31">
          <cell r="L31">
            <v>0</v>
          </cell>
        </row>
        <row r="32">
          <cell r="C32">
            <v>47</v>
          </cell>
        </row>
        <row r="32">
          <cell r="L32">
            <v>0</v>
          </cell>
        </row>
        <row r="33">
          <cell r="C33">
            <v>45.75</v>
          </cell>
        </row>
        <row r="33">
          <cell r="L33">
            <v>18276.25</v>
          </cell>
        </row>
        <row r="34">
          <cell r="C34">
            <v>45.75</v>
          </cell>
        </row>
        <row r="34">
          <cell r="L34">
            <v>0</v>
          </cell>
        </row>
        <row r="35">
          <cell r="C35">
            <v>45.75</v>
          </cell>
        </row>
        <row r="35">
          <cell r="L35">
            <v>16640.228515625</v>
          </cell>
        </row>
        <row r="36">
          <cell r="C36">
            <v>45.75</v>
          </cell>
        </row>
        <row r="36">
          <cell r="L36">
            <v>15801.603515625</v>
          </cell>
        </row>
        <row r="37">
          <cell r="C37">
            <v>56</v>
          </cell>
        </row>
        <row r="37">
          <cell r="L37">
            <v>0</v>
          </cell>
        </row>
        <row r="38">
          <cell r="C38">
            <v>56</v>
          </cell>
        </row>
        <row r="38">
          <cell r="L38">
            <v>0</v>
          </cell>
        </row>
        <row r="39">
          <cell r="C39">
            <v>44</v>
          </cell>
        </row>
        <row r="39">
          <cell r="L39">
            <v>0</v>
          </cell>
        </row>
        <row r="40">
          <cell r="C40">
            <v>44</v>
          </cell>
        </row>
        <row r="40">
          <cell r="L40">
            <v>0</v>
          </cell>
        </row>
        <row r="41">
          <cell r="C41">
            <v>49</v>
          </cell>
        </row>
        <row r="41">
          <cell r="L41">
            <v>0</v>
          </cell>
        </row>
        <row r="42">
          <cell r="C42">
            <v>58</v>
          </cell>
        </row>
        <row r="42">
          <cell r="L42">
            <v>0</v>
          </cell>
        </row>
        <row r="43">
          <cell r="C43">
            <v>85.5</v>
          </cell>
        </row>
        <row r="43">
          <cell r="L43">
            <v>0</v>
          </cell>
        </row>
        <row r="44">
          <cell r="C44">
            <v>85.5</v>
          </cell>
        </row>
        <row r="44">
          <cell r="L44">
            <v>0</v>
          </cell>
        </row>
        <row r="45">
          <cell r="C45">
            <v>48.5</v>
          </cell>
        </row>
        <row r="45">
          <cell r="L45">
            <v>0</v>
          </cell>
        </row>
        <row r="46">
          <cell r="C46">
            <v>47.5</v>
          </cell>
        </row>
        <row r="46">
          <cell r="L46">
            <v>0</v>
          </cell>
        </row>
        <row r="47">
          <cell r="C47">
            <v>47.5</v>
          </cell>
        </row>
      </sheetData>
      <sheetData sheetId="5">
        <row r="3">
          <cell r="C3">
            <v>32</v>
          </cell>
        </row>
        <row r="3">
          <cell r="L3">
            <v>0</v>
          </cell>
        </row>
        <row r="4">
          <cell r="C4">
            <v>32</v>
          </cell>
        </row>
        <row r="4">
          <cell r="L4">
            <v>0</v>
          </cell>
        </row>
        <row r="5">
          <cell r="C5">
            <v>32</v>
          </cell>
        </row>
        <row r="5">
          <cell r="L5">
            <v>0</v>
          </cell>
        </row>
        <row r="6">
          <cell r="C6">
            <v>44.5</v>
          </cell>
        </row>
        <row r="6">
          <cell r="L6">
            <v>2387.97314453125</v>
          </cell>
        </row>
        <row r="7">
          <cell r="C7">
            <v>44.5</v>
          </cell>
        </row>
        <row r="7">
          <cell r="L7">
            <v>2387.97314453125</v>
          </cell>
        </row>
        <row r="8">
          <cell r="C8">
            <v>44.5</v>
          </cell>
        </row>
        <row r="8">
          <cell r="L8">
            <v>2387.97314453125</v>
          </cell>
        </row>
        <row r="9">
          <cell r="C9">
            <v>44.5</v>
          </cell>
        </row>
        <row r="9">
          <cell r="L9">
            <v>2387.97314453125</v>
          </cell>
        </row>
        <row r="10">
          <cell r="C10">
            <v>30</v>
          </cell>
        </row>
        <row r="10">
          <cell r="L10">
            <v>0</v>
          </cell>
        </row>
        <row r="11">
          <cell r="C11">
            <v>30</v>
          </cell>
        </row>
        <row r="11">
          <cell r="L11">
            <v>0</v>
          </cell>
        </row>
        <row r="12">
          <cell r="C12">
            <v>40.5</v>
          </cell>
        </row>
        <row r="12">
          <cell r="L12">
            <v>-3183.96411132813</v>
          </cell>
        </row>
        <row r="13">
          <cell r="C13">
            <v>40.5</v>
          </cell>
        </row>
        <row r="13">
          <cell r="L13">
            <v>-3183.96411132813</v>
          </cell>
        </row>
        <row r="14">
          <cell r="C14">
            <v>40.5</v>
          </cell>
        </row>
        <row r="14">
          <cell r="L14">
            <v>-3183.96411132813</v>
          </cell>
        </row>
        <row r="15">
          <cell r="C15">
            <v>40.5</v>
          </cell>
        </row>
        <row r="15">
          <cell r="L15">
            <v>-3183.96411132813</v>
          </cell>
        </row>
        <row r="16">
          <cell r="C16">
            <v>40.5</v>
          </cell>
        </row>
        <row r="16">
          <cell r="L16">
            <v>-3183.96411132813</v>
          </cell>
        </row>
        <row r="17">
          <cell r="C17">
            <v>35</v>
          </cell>
        </row>
        <row r="17">
          <cell r="L17">
            <v>0</v>
          </cell>
        </row>
        <row r="18">
          <cell r="C18">
            <v>35</v>
          </cell>
        </row>
        <row r="18">
          <cell r="L18">
            <v>0</v>
          </cell>
        </row>
        <row r="19">
          <cell r="C19">
            <v>39</v>
          </cell>
        </row>
        <row r="19">
          <cell r="L19">
            <v>-3183.96411132813</v>
          </cell>
        </row>
        <row r="20">
          <cell r="C20">
            <v>39</v>
          </cell>
        </row>
        <row r="20">
          <cell r="L20">
            <v>-3183.96411132813</v>
          </cell>
        </row>
        <row r="21">
          <cell r="C21">
            <v>39</v>
          </cell>
        </row>
        <row r="21">
          <cell r="L21">
            <v>-3183.96411132813</v>
          </cell>
        </row>
        <row r="22">
          <cell r="C22">
            <v>39</v>
          </cell>
        </row>
        <row r="22">
          <cell r="L22">
            <v>-3183.96411132813</v>
          </cell>
        </row>
        <row r="23">
          <cell r="C23">
            <v>39</v>
          </cell>
        </row>
        <row r="23">
          <cell r="L23">
            <v>-3183.96411132813</v>
          </cell>
        </row>
        <row r="24">
          <cell r="C24">
            <v>35</v>
          </cell>
        </row>
        <row r="24">
          <cell r="L24">
            <v>0</v>
          </cell>
        </row>
        <row r="25">
          <cell r="C25">
            <v>35</v>
          </cell>
        </row>
        <row r="25">
          <cell r="L25">
            <v>0</v>
          </cell>
        </row>
        <row r="26">
          <cell r="C26">
            <v>38</v>
          </cell>
        </row>
        <row r="26">
          <cell r="L26">
            <v>-3183.96411132813</v>
          </cell>
        </row>
        <row r="27">
          <cell r="C27">
            <v>38</v>
          </cell>
        </row>
        <row r="27">
          <cell r="L27">
            <v>-3183.96411132813</v>
          </cell>
        </row>
        <row r="28">
          <cell r="C28">
            <v>38</v>
          </cell>
        </row>
        <row r="28">
          <cell r="L28">
            <v>-3183.96411132813</v>
          </cell>
        </row>
        <row r="29">
          <cell r="C29">
            <v>38</v>
          </cell>
        </row>
        <row r="29">
          <cell r="L29">
            <v>-3183.96411132813</v>
          </cell>
        </row>
        <row r="30">
          <cell r="C30">
            <v>38</v>
          </cell>
        </row>
        <row r="30">
          <cell r="L30">
            <v>-3183.96411132813</v>
          </cell>
        </row>
        <row r="31">
          <cell r="C31">
            <v>35</v>
          </cell>
        </row>
        <row r="31">
          <cell r="L31">
            <v>0</v>
          </cell>
        </row>
        <row r="32">
          <cell r="C32">
            <v>35</v>
          </cell>
        </row>
        <row r="32">
          <cell r="L32">
            <v>0</v>
          </cell>
        </row>
        <row r="33">
          <cell r="C33">
            <v>38</v>
          </cell>
        </row>
        <row r="33">
          <cell r="L33">
            <v>0</v>
          </cell>
        </row>
        <row r="34">
          <cell r="C34">
            <v>38</v>
          </cell>
        </row>
        <row r="34">
          <cell r="L34">
            <v>0</v>
          </cell>
        </row>
        <row r="35">
          <cell r="C35">
            <v>39</v>
          </cell>
        </row>
        <row r="36">
          <cell r="C36">
            <v>41.5</v>
          </cell>
        </row>
        <row r="36">
          <cell r="L36">
            <v>0</v>
          </cell>
        </row>
        <row r="37">
          <cell r="C37">
            <v>45.5</v>
          </cell>
        </row>
        <row r="37">
          <cell r="L37">
            <v>0</v>
          </cell>
        </row>
        <row r="38">
          <cell r="C38">
            <v>45.5</v>
          </cell>
        </row>
        <row r="38">
          <cell r="L38">
            <v>0</v>
          </cell>
        </row>
        <row r="39">
          <cell r="C39">
            <v>36.75</v>
          </cell>
        </row>
        <row r="39">
          <cell r="L39">
            <v>0</v>
          </cell>
        </row>
        <row r="40">
          <cell r="C40">
            <v>36.75</v>
          </cell>
        </row>
        <row r="40">
          <cell r="L40">
            <v>0</v>
          </cell>
        </row>
        <row r="41">
          <cell r="C41">
            <v>37</v>
          </cell>
        </row>
        <row r="41">
          <cell r="L41">
            <v>0</v>
          </cell>
        </row>
        <row r="42">
          <cell r="C42">
            <v>44.75</v>
          </cell>
        </row>
        <row r="42">
          <cell r="L42">
            <v>0</v>
          </cell>
        </row>
        <row r="43">
          <cell r="C43">
            <v>58.5</v>
          </cell>
        </row>
        <row r="43">
          <cell r="L43">
            <v>0</v>
          </cell>
        </row>
        <row r="44">
          <cell r="C44">
            <v>58.5</v>
          </cell>
        </row>
        <row r="44">
          <cell r="L44">
            <v>0</v>
          </cell>
        </row>
        <row r="45">
          <cell r="C45">
            <v>36.25</v>
          </cell>
        </row>
        <row r="45">
          <cell r="L45">
            <v>0</v>
          </cell>
        </row>
        <row r="46">
          <cell r="C46">
            <v>34.75</v>
          </cell>
        </row>
        <row r="46">
          <cell r="L46">
            <v>0</v>
          </cell>
        </row>
        <row r="47">
          <cell r="C47">
            <v>34.75</v>
          </cell>
        </row>
        <row r="47">
          <cell r="L47">
            <v>0</v>
          </cell>
        </row>
      </sheetData>
      <sheetData sheetId="6">
        <row r="3">
          <cell r="L3">
            <v>0</v>
          </cell>
        </row>
        <row r="4">
          <cell r="L4">
            <v>0</v>
          </cell>
        </row>
        <row r="5">
          <cell r="L5">
            <v>0</v>
          </cell>
        </row>
        <row r="6">
          <cell r="L6">
            <v>0</v>
          </cell>
        </row>
        <row r="7">
          <cell r="L7">
            <v>0</v>
          </cell>
        </row>
        <row r="8">
          <cell r="L8">
            <v>0</v>
          </cell>
        </row>
        <row r="9">
          <cell r="L9">
            <v>0</v>
          </cell>
        </row>
        <row r="10">
          <cell r="L10">
            <v>0</v>
          </cell>
        </row>
        <row r="11">
          <cell r="L11">
            <v>0</v>
          </cell>
        </row>
        <row r="12">
          <cell r="L12">
            <v>0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L21">
            <v>0</v>
          </cell>
        </row>
        <row r="22">
          <cell r="L22">
            <v>0</v>
          </cell>
        </row>
        <row r="23">
          <cell r="L23">
            <v>0</v>
          </cell>
        </row>
        <row r="24">
          <cell r="L24">
            <v>0</v>
          </cell>
        </row>
        <row r="25">
          <cell r="L25">
            <v>0</v>
          </cell>
        </row>
        <row r="26">
          <cell r="L26">
            <v>0</v>
          </cell>
        </row>
        <row r="27">
          <cell r="L27">
            <v>0</v>
          </cell>
        </row>
        <row r="28">
          <cell r="L28">
            <v>0</v>
          </cell>
        </row>
        <row r="29">
          <cell r="L29">
            <v>0</v>
          </cell>
        </row>
        <row r="30">
          <cell r="L30">
            <v>0</v>
          </cell>
        </row>
        <row r="31">
          <cell r="L31">
            <v>0</v>
          </cell>
        </row>
        <row r="32">
          <cell r="L32">
            <v>0</v>
          </cell>
        </row>
        <row r="33">
          <cell r="L33">
            <v>0</v>
          </cell>
        </row>
        <row r="34">
          <cell r="L34">
            <v>0</v>
          </cell>
        </row>
      </sheetData>
      <sheetData sheetId="7">
        <row r="3">
          <cell r="C3">
            <v>24.5</v>
          </cell>
        </row>
        <row r="3">
          <cell r="L3">
            <v>0</v>
          </cell>
        </row>
        <row r="4">
          <cell r="C4">
            <v>24.5</v>
          </cell>
        </row>
        <row r="4">
          <cell r="L4">
            <v>0</v>
          </cell>
        </row>
        <row r="5">
          <cell r="C5">
            <v>24.4999980926514</v>
          </cell>
        </row>
        <row r="5">
          <cell r="L5">
            <v>0</v>
          </cell>
        </row>
        <row r="6">
          <cell r="C6">
            <v>38.8499946594238</v>
          </cell>
        </row>
        <row r="6">
          <cell r="L6">
            <v>2387.97314453125</v>
          </cell>
        </row>
        <row r="7">
          <cell r="C7">
            <v>38.8499946594238</v>
          </cell>
        </row>
        <row r="7">
          <cell r="L7">
            <v>2387.97314453125</v>
          </cell>
        </row>
        <row r="8">
          <cell r="C8">
            <v>38.8499946594238</v>
          </cell>
        </row>
        <row r="8">
          <cell r="L8">
            <v>2387.97314453125</v>
          </cell>
        </row>
        <row r="9">
          <cell r="C9">
            <v>38.8499984741211</v>
          </cell>
        </row>
        <row r="9">
          <cell r="L9">
            <v>2387.97314453125</v>
          </cell>
        </row>
        <row r="10">
          <cell r="C10">
            <v>25</v>
          </cell>
        </row>
        <row r="10">
          <cell r="L10">
            <v>0</v>
          </cell>
        </row>
        <row r="11">
          <cell r="C11">
            <v>25</v>
          </cell>
        </row>
        <row r="11">
          <cell r="L11">
            <v>0</v>
          </cell>
        </row>
        <row r="12">
          <cell r="C12">
            <v>34.2500038146973</v>
          </cell>
        </row>
        <row r="12">
          <cell r="L12">
            <v>-4.99999998002099E-012</v>
          </cell>
        </row>
        <row r="13">
          <cell r="C13">
            <v>34.2500038146973</v>
          </cell>
        </row>
        <row r="13">
          <cell r="L13">
            <v>-1.19999999520504E-011</v>
          </cell>
        </row>
        <row r="14">
          <cell r="C14">
            <v>34.2500038146973</v>
          </cell>
        </row>
        <row r="14">
          <cell r="L14">
            <v>4.99999998002099E-012</v>
          </cell>
        </row>
        <row r="15">
          <cell r="C15">
            <v>34.2500038146973</v>
          </cell>
        </row>
        <row r="15">
          <cell r="L15">
            <v>-4.99999998002099E-012</v>
          </cell>
        </row>
        <row r="16">
          <cell r="C16">
            <v>34.2500038146973</v>
          </cell>
        </row>
        <row r="16">
          <cell r="L16">
            <v>-4.99999998002099E-012</v>
          </cell>
        </row>
        <row r="17">
          <cell r="C17">
            <v>25.0000019073486</v>
          </cell>
        </row>
        <row r="17">
          <cell r="L17">
            <v>0</v>
          </cell>
        </row>
        <row r="18">
          <cell r="C18">
            <v>25.0000038146973</v>
          </cell>
        </row>
        <row r="18">
          <cell r="L18">
            <v>0</v>
          </cell>
        </row>
        <row r="19">
          <cell r="C19">
            <v>29.7000026702881</v>
          </cell>
        </row>
        <row r="19">
          <cell r="L19">
            <v>-4.99999998002099E-012</v>
          </cell>
        </row>
        <row r="20">
          <cell r="C20">
            <v>29.7000026702881</v>
          </cell>
        </row>
        <row r="20">
          <cell r="L20">
            <v>-4.99999998002099E-012</v>
          </cell>
        </row>
        <row r="21">
          <cell r="C21">
            <v>29.7000026702881</v>
          </cell>
        </row>
        <row r="21">
          <cell r="L21">
            <v>-1.19999999520504E-011</v>
          </cell>
        </row>
        <row r="22">
          <cell r="C22">
            <v>29.7000026702881</v>
          </cell>
        </row>
        <row r="22">
          <cell r="L22">
            <v>-1.19999999520504E-011</v>
          </cell>
        </row>
        <row r="23">
          <cell r="C23">
            <v>29.7000026702881</v>
          </cell>
        </row>
        <row r="23">
          <cell r="L23">
            <v>-1.99999999200839E-012</v>
          </cell>
        </row>
        <row r="24">
          <cell r="C24">
            <v>25.0000019073486</v>
          </cell>
        </row>
        <row r="24">
          <cell r="L24">
            <v>0</v>
          </cell>
        </row>
        <row r="25">
          <cell r="C25">
            <v>25.0000019073486</v>
          </cell>
        </row>
        <row r="25">
          <cell r="L25">
            <v>0</v>
          </cell>
        </row>
        <row r="26">
          <cell r="C26">
            <v>29.8000030517578</v>
          </cell>
        </row>
        <row r="26">
          <cell r="L26">
            <v>-1.99999999200839E-012</v>
          </cell>
        </row>
        <row r="27">
          <cell r="C27">
            <v>29.8000030517578</v>
          </cell>
        </row>
        <row r="27">
          <cell r="L27">
            <v>-1.99999999200839E-012</v>
          </cell>
        </row>
        <row r="28">
          <cell r="C28">
            <v>29.8000030517578</v>
          </cell>
        </row>
        <row r="28">
          <cell r="L28">
            <v>-1.99999999200839E-012</v>
          </cell>
        </row>
        <row r="29">
          <cell r="C29">
            <v>29.8000030517578</v>
          </cell>
        </row>
        <row r="29">
          <cell r="L29">
            <v>-1.99999999200839E-012</v>
          </cell>
        </row>
        <row r="30">
          <cell r="C30">
            <v>29.8000030517578</v>
          </cell>
        </row>
        <row r="30">
          <cell r="L30">
            <v>-1.99999999200839E-012</v>
          </cell>
        </row>
        <row r="31">
          <cell r="C31">
            <v>25.0000019073486</v>
          </cell>
        </row>
        <row r="31">
          <cell r="L31">
            <v>0</v>
          </cell>
        </row>
        <row r="32">
          <cell r="C32">
            <v>25.0000019073486</v>
          </cell>
        </row>
        <row r="32">
          <cell r="L32">
            <v>0</v>
          </cell>
        </row>
        <row r="33">
          <cell r="C33">
            <v>29.3500003814697</v>
          </cell>
        </row>
        <row r="33">
          <cell r="L33">
            <v>-18253.826171875</v>
          </cell>
        </row>
        <row r="34">
          <cell r="C34">
            <v>29.3500003814697</v>
          </cell>
        </row>
        <row r="34">
          <cell r="L34">
            <v>0</v>
          </cell>
        </row>
        <row r="35">
          <cell r="C35">
            <v>28.5</v>
          </cell>
        </row>
        <row r="35">
          <cell r="L35">
            <v>-16620.55078125</v>
          </cell>
        </row>
        <row r="36">
          <cell r="C36">
            <v>31.75</v>
          </cell>
        </row>
        <row r="36">
          <cell r="L36">
            <v>-15783.7373046875</v>
          </cell>
        </row>
        <row r="37">
          <cell r="C37">
            <v>35.5</v>
          </cell>
        </row>
        <row r="37">
          <cell r="L37">
            <v>-51934.80078125</v>
          </cell>
        </row>
        <row r="38">
          <cell r="C38">
            <v>35.5</v>
          </cell>
        </row>
        <row r="38">
          <cell r="L38">
            <v>-47088.9375</v>
          </cell>
        </row>
        <row r="39">
          <cell r="C39">
            <v>32.25</v>
          </cell>
        </row>
        <row r="39">
          <cell r="L39">
            <v>0</v>
          </cell>
        </row>
        <row r="40">
          <cell r="C40">
            <v>31.5</v>
          </cell>
        </row>
        <row r="40">
          <cell r="L40">
            <v>0</v>
          </cell>
        </row>
        <row r="41">
          <cell r="C41">
            <v>33.5</v>
          </cell>
        </row>
        <row r="41">
          <cell r="L41">
            <v>-34226.25390625</v>
          </cell>
        </row>
        <row r="42">
          <cell r="C42">
            <v>44.25</v>
          </cell>
        </row>
        <row r="42">
          <cell r="L42">
            <v>-15510.1259765625</v>
          </cell>
        </row>
        <row r="43">
          <cell r="C43">
            <v>59.75</v>
          </cell>
        </row>
        <row r="43">
          <cell r="L43">
            <v>-85031.4453125</v>
          </cell>
        </row>
        <row r="44">
          <cell r="C44">
            <v>59.75</v>
          </cell>
        </row>
        <row r="44">
          <cell r="L44">
            <v>-84751.3046875</v>
          </cell>
        </row>
        <row r="45">
          <cell r="C45">
            <v>31.5</v>
          </cell>
        </row>
        <row r="45">
          <cell r="L45">
            <v>0</v>
          </cell>
        </row>
        <row r="46">
          <cell r="C46">
            <v>31.25</v>
          </cell>
        </row>
        <row r="46">
          <cell r="L46">
            <v>0</v>
          </cell>
        </row>
        <row r="47">
          <cell r="C47">
            <v>31.25</v>
          </cell>
        </row>
        <row r="47">
          <cell r="L47">
            <v>0</v>
          </cell>
        </row>
      </sheetData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op"/>
      <sheetName val="NYZoneA"/>
      <sheetName val="NYZoneG"/>
      <sheetName val="Tregion"/>
      <sheetName val="Tbasis"/>
      <sheetName val="NYZoneJ"/>
      <sheetName val="OtherPosn"/>
      <sheetName val="Nepool"/>
      <sheetName val="Days"/>
      <sheetName val="Cd"/>
      <sheetName val="NYZoneD"/>
      <sheetName val="WestHub"/>
      <sheetName val="PJM"/>
      <sheetName val="ny4"/>
    </sheetNames>
    <sheetDataSet>
      <sheetData sheetId="0"/>
      <sheetData sheetId="1">
        <row r="3">
          <cell r="D3">
            <v>37135</v>
          </cell>
        </row>
        <row r="4">
          <cell r="D4">
            <v>37136</v>
          </cell>
        </row>
        <row r="5">
          <cell r="D5">
            <v>37137</v>
          </cell>
        </row>
        <row r="6">
          <cell r="D6">
            <v>37138</v>
          </cell>
        </row>
        <row r="7">
          <cell r="D7">
            <v>37139</v>
          </cell>
        </row>
        <row r="8">
          <cell r="D8">
            <v>37140</v>
          </cell>
        </row>
        <row r="9">
          <cell r="D9">
            <v>37141</v>
          </cell>
        </row>
        <row r="10">
          <cell r="D10">
            <v>37142</v>
          </cell>
        </row>
        <row r="11">
          <cell r="D11">
            <v>37143</v>
          </cell>
        </row>
        <row r="12">
          <cell r="D12">
            <v>37144</v>
          </cell>
        </row>
        <row r="13">
          <cell r="D13">
            <v>37145</v>
          </cell>
        </row>
        <row r="14">
          <cell r="D14">
            <v>37146</v>
          </cell>
        </row>
        <row r="15">
          <cell r="D15">
            <v>37147</v>
          </cell>
        </row>
        <row r="16">
          <cell r="D16">
            <v>37148</v>
          </cell>
        </row>
        <row r="17">
          <cell r="D17">
            <v>37149</v>
          </cell>
        </row>
        <row r="18">
          <cell r="D18">
            <v>37150</v>
          </cell>
        </row>
        <row r="19">
          <cell r="D19">
            <v>37151</v>
          </cell>
        </row>
        <row r="20">
          <cell r="D20">
            <v>37152</v>
          </cell>
        </row>
        <row r="21">
          <cell r="D21">
            <v>37153</v>
          </cell>
        </row>
        <row r="22">
          <cell r="D22">
            <v>37154</v>
          </cell>
        </row>
        <row r="23">
          <cell r="D23">
            <v>37155</v>
          </cell>
        </row>
        <row r="24">
          <cell r="D24">
            <v>37156</v>
          </cell>
        </row>
        <row r="25">
          <cell r="D25">
            <v>37157</v>
          </cell>
        </row>
        <row r="26">
          <cell r="D26">
            <v>37158</v>
          </cell>
        </row>
        <row r="27">
          <cell r="D27">
            <v>37159</v>
          </cell>
        </row>
        <row r="28">
          <cell r="D28">
            <v>37160</v>
          </cell>
        </row>
        <row r="29">
          <cell r="D29">
            <v>37161</v>
          </cell>
        </row>
        <row r="30">
          <cell r="D30">
            <v>37162</v>
          </cell>
        </row>
        <row r="31">
          <cell r="D31">
            <v>37163</v>
          </cell>
        </row>
        <row r="32">
          <cell r="D32">
            <v>37164</v>
          </cell>
        </row>
        <row r="33">
          <cell r="D33">
            <v>37165</v>
          </cell>
        </row>
        <row r="34">
          <cell r="D34">
            <v>37195</v>
          </cell>
        </row>
        <row r="35">
          <cell r="D35">
            <v>37196</v>
          </cell>
        </row>
        <row r="36">
          <cell r="D36">
            <v>37226</v>
          </cell>
        </row>
        <row r="37">
          <cell r="D37">
            <v>37257</v>
          </cell>
        </row>
        <row r="38">
          <cell r="D38">
            <v>37288</v>
          </cell>
        </row>
        <row r="39">
          <cell r="D39">
            <v>37316</v>
          </cell>
        </row>
        <row r="40">
          <cell r="D40">
            <v>37347</v>
          </cell>
        </row>
        <row r="41">
          <cell r="D41">
            <v>37377</v>
          </cell>
        </row>
        <row r="42">
          <cell r="D42">
            <v>37408</v>
          </cell>
        </row>
        <row r="43">
          <cell r="D43">
            <v>37438</v>
          </cell>
        </row>
        <row r="44">
          <cell r="D44">
            <v>37469</v>
          </cell>
        </row>
        <row r="45">
          <cell r="D45">
            <v>37500</v>
          </cell>
        </row>
        <row r="46">
          <cell r="D46">
            <v>37530</v>
          </cell>
        </row>
        <row r="47">
          <cell r="D47">
            <v>37561</v>
          </cell>
        </row>
        <row r="48">
          <cell r="D48">
            <v>37591</v>
          </cell>
        </row>
        <row r="49">
          <cell r="D49">
            <v>37622</v>
          </cell>
        </row>
        <row r="50">
          <cell r="D50">
            <v>37653</v>
          </cell>
        </row>
        <row r="51">
          <cell r="D51">
            <v>37681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p"/>
      <sheetName val="OtherPosn"/>
      <sheetName val="WestHub"/>
      <sheetName val="PJM"/>
      <sheetName val="NEPOOL"/>
      <sheetName val="WestPJM"/>
      <sheetName val="EastHub"/>
      <sheetName val="Cd"/>
      <sheetName val=""/>
      <sheetName val="Necash4"/>
    </sheetNames>
    <sheetDataSet>
      <sheetData sheetId="0"/>
      <sheetData sheetId="1"/>
      <sheetData sheetId="2"/>
      <sheetData sheetId="3"/>
      <sheetData sheetId="4">
        <row r="10">
          <cell r="L10">
            <v>-1189.7</v>
          </cell>
        </row>
        <row r="11">
          <cell r="L11">
            <v>-1189.7</v>
          </cell>
        </row>
        <row r="12">
          <cell r="L12">
            <v>-1189.7</v>
          </cell>
        </row>
        <row r="13">
          <cell r="L13">
            <v>-1189.7</v>
          </cell>
        </row>
        <row r="16">
          <cell r="L16">
            <v>-1189.7</v>
          </cell>
        </row>
        <row r="17">
          <cell r="L17">
            <v>-1189.7</v>
          </cell>
        </row>
        <row r="18">
          <cell r="L18">
            <v>-1189.7</v>
          </cell>
        </row>
        <row r="19">
          <cell r="L19">
            <v>-1189.7</v>
          </cell>
        </row>
        <row r="20">
          <cell r="L20">
            <v>-1189.7</v>
          </cell>
        </row>
        <row r="23">
          <cell r="L23">
            <v>-1189.7</v>
          </cell>
        </row>
        <row r="24">
          <cell r="L24">
            <v>-1189.7</v>
          </cell>
        </row>
        <row r="25">
          <cell r="L25">
            <v>-1189.7</v>
          </cell>
        </row>
        <row r="26">
          <cell r="L26">
            <v>-1189.7</v>
          </cell>
        </row>
        <row r="27">
          <cell r="L27">
            <v>-1189.7</v>
          </cell>
        </row>
        <row r="29">
          <cell r="L29">
            <v>-1189.7</v>
          </cell>
        </row>
        <row r="30">
          <cell r="L30">
            <v>-1189.7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7.xml"/><Relationship Id="rId4" Type="http://schemas.openxmlformats.org/officeDocument/2006/relationships/ctrlProp" Target="../ctrlProps/ctrlProps8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10.xml"/><Relationship Id="rId4" Type="http://schemas.openxmlformats.org/officeDocument/2006/relationships/ctrlProp" Target="../ctrlProps/ctrlProps1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13.xml"/><Relationship Id="rId4" Type="http://schemas.openxmlformats.org/officeDocument/2006/relationships/ctrlProp" Target="../ctrlProps/ctrlProps1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5.vml"/><Relationship Id="rId3" Type="http://schemas.openxmlformats.org/officeDocument/2006/relationships/ctrlProp" Target="../ctrlProps/ctrlProps16.xml"/><Relationship Id="rId4" Type="http://schemas.openxmlformats.org/officeDocument/2006/relationships/ctrlProp" Target="../ctrlProps/ctrlProps1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10.99"/>
    <col collapsed="false" customWidth="true" hidden="false" outlineLevel="0" max="3" min="3" style="0" width="9.85"/>
    <col collapsed="false" customWidth="true" hidden="false" outlineLevel="0" max="4" min="4" style="1" width="1.41"/>
    <col collapsed="false" customWidth="true" hidden="false" outlineLevel="0" max="5" min="5" style="2" width="16.28"/>
    <col collapsed="false" customWidth="true" hidden="false" outlineLevel="0" max="6" min="6" style="0" width="27.42"/>
    <col collapsed="false" customWidth="true" hidden="false" outlineLevel="0" max="7" min="7" style="0" width="3.99"/>
    <col collapsed="false" customWidth="true" hidden="false" outlineLevel="0" max="8" min="8" style="0" width="22.28"/>
    <col collapsed="false" customWidth="true" hidden="false" outlineLevel="0" max="9" min="9" style="0" width="9.99"/>
    <col collapsed="false" customWidth="true" hidden="false" outlineLevel="0" max="12" min="12" style="0" width="11.42"/>
    <col collapsed="false" customWidth="true" hidden="false" outlineLevel="0" max="13" min="13" style="0" width="8.99"/>
  </cols>
  <sheetData>
    <row r="1" customFormat="false" ht="13.5" hidden="false" customHeight="false" outlineLevel="0" collapsed="false">
      <c r="A1" s="3" t="s">
        <v>0</v>
      </c>
      <c r="B1" s="3" t="s">
        <v>1</v>
      </c>
      <c r="C1" s="3" t="s">
        <v>2</v>
      </c>
      <c r="D1" s="4"/>
      <c r="E1" s="5" t="s">
        <v>3</v>
      </c>
      <c r="F1" s="6" t="s">
        <v>4</v>
      </c>
      <c r="G1" s="7" t="n">
        <v>14</v>
      </c>
      <c r="H1" s="8" t="s">
        <v>5</v>
      </c>
      <c r="J1" s="9" t="s">
        <v>6</v>
      </c>
      <c r="K1" s="9" t="s">
        <v>7</v>
      </c>
      <c r="L1" s="9" t="s">
        <v>8</v>
      </c>
      <c r="M1" s="9" t="s">
        <v>9</v>
      </c>
    </row>
    <row r="2" customFormat="false" ht="13.5" hidden="false" customHeight="false" outlineLevel="0" collapsed="false">
      <c r="A2" s="10" t="n">
        <v>30187</v>
      </c>
      <c r="B2" s="11" t="n">
        <v>34.65</v>
      </c>
      <c r="C2" s="11" t="n">
        <v>35.15</v>
      </c>
      <c r="D2" s="1" t="n">
        <v>988116575035</v>
      </c>
      <c r="E2" s="12" t="n">
        <v>37134.5434143519</v>
      </c>
      <c r="F2" s="13" t="s">
        <v>10</v>
      </c>
      <c r="H2" s="14" t="s">
        <v>11</v>
      </c>
      <c r="I2" s="15" t="n">
        <f aca="false">+(C3+B3)/(C11+B11)*1000</f>
        <v>16866.1588683351</v>
      </c>
      <c r="J2" s="0" t="n">
        <v>9731</v>
      </c>
      <c r="K2" s="0" t="n">
        <v>9731</v>
      </c>
      <c r="L2" s="0" t="n">
        <v>5</v>
      </c>
      <c r="M2" s="0" t="n">
        <v>6</v>
      </c>
    </row>
    <row r="3" customFormat="false" ht="13.5" hidden="false" customHeight="false" outlineLevel="0" collapsed="false">
      <c r="A3" s="10" t="n">
        <v>30188</v>
      </c>
      <c r="B3" s="11" t="n">
        <v>38.25</v>
      </c>
      <c r="C3" s="11" t="n">
        <v>39.25</v>
      </c>
      <c r="D3" s="1" t="n">
        <v>988040938678</v>
      </c>
      <c r="E3" s="12" t="n">
        <v>37134.5346180556</v>
      </c>
      <c r="F3" s="16" t="s">
        <v>12</v>
      </c>
      <c r="H3" s="14" t="s">
        <v>13</v>
      </c>
      <c r="I3" s="15" t="n">
        <f aca="false">+(C18+B18)/(C10+B10)*1000</f>
        <v>1108.28025477707</v>
      </c>
      <c r="J3" s="0" t="n">
        <v>8739</v>
      </c>
      <c r="K3" s="0" t="n">
        <v>8739</v>
      </c>
      <c r="L3" s="0" t="n">
        <v>3</v>
      </c>
      <c r="M3" s="0" t="n">
        <v>6</v>
      </c>
    </row>
    <row r="4" customFormat="false" ht="13.5" hidden="false" customHeight="false" outlineLevel="0" collapsed="false">
      <c r="A4" s="10" t="n">
        <v>30190</v>
      </c>
      <c r="B4" s="11" t="n">
        <v>33.65</v>
      </c>
      <c r="C4" s="11" t="n">
        <v>34.65</v>
      </c>
      <c r="E4" s="12" t="n">
        <v>37134.5348611111</v>
      </c>
      <c r="F4" s="16" t="s">
        <v>14</v>
      </c>
      <c r="H4" s="14"/>
      <c r="I4" s="15"/>
    </row>
    <row r="5" customFormat="false" ht="13.5" hidden="false" customHeight="false" outlineLevel="0" collapsed="false">
      <c r="A5" s="10" t="n">
        <v>30192</v>
      </c>
      <c r="B5" s="11" t="n">
        <v>35.4</v>
      </c>
      <c r="C5" s="11" t="n">
        <v>36.4</v>
      </c>
      <c r="E5" s="12" t="n">
        <v>37134.5347106482</v>
      </c>
      <c r="F5" s="16" t="s">
        <v>15</v>
      </c>
      <c r="H5" s="14"/>
      <c r="I5" s="15"/>
    </row>
    <row r="6" customFormat="false" ht="13.5" hidden="false" customHeight="false" outlineLevel="0" collapsed="false">
      <c r="A6" s="10" t="n">
        <v>30193</v>
      </c>
      <c r="B6" s="11" t="n">
        <v>43.2</v>
      </c>
      <c r="C6" s="11" t="n">
        <v>44.2</v>
      </c>
      <c r="E6" s="12" t="n">
        <v>37134.5347222222</v>
      </c>
      <c r="F6" s="16" t="s">
        <v>16</v>
      </c>
      <c r="H6" s="14"/>
      <c r="I6" s="15"/>
    </row>
    <row r="7" customFormat="false" ht="13.5" hidden="false" customHeight="false" outlineLevel="0" collapsed="false">
      <c r="A7" s="10" t="n">
        <v>30194</v>
      </c>
      <c r="B7" s="11" t="n">
        <v>56.75</v>
      </c>
      <c r="C7" s="11" t="n">
        <v>58.25</v>
      </c>
      <c r="D7" s="1" t="n">
        <v>988117645653</v>
      </c>
      <c r="E7" s="12" t="n">
        <v>37134.5440625</v>
      </c>
      <c r="F7" s="13" t="s">
        <v>17</v>
      </c>
      <c r="H7" s="14" t="s">
        <v>18</v>
      </c>
      <c r="I7" s="15" t="n">
        <f aca="false">+(C9+B9)/(C7+B7)*1000</f>
        <v>602.608695652174</v>
      </c>
      <c r="J7" s="0" t="n">
        <v>9134</v>
      </c>
      <c r="K7" s="0" t="n">
        <v>9354</v>
      </c>
      <c r="L7" s="0" t="n">
        <v>2</v>
      </c>
      <c r="M7" s="0" t="n">
        <v>4</v>
      </c>
    </row>
    <row r="8" customFormat="false" ht="13.5" hidden="false" customHeight="false" outlineLevel="0" collapsed="false">
      <c r="A8" s="10" t="n">
        <v>30195</v>
      </c>
      <c r="B8" s="11" t="n">
        <v>34.35</v>
      </c>
      <c r="C8" s="11" t="n">
        <v>35.35</v>
      </c>
      <c r="E8" s="12" t="n">
        <v>37134.534837963</v>
      </c>
      <c r="F8" s="16" t="s">
        <v>19</v>
      </c>
      <c r="H8" s="17"/>
      <c r="I8" s="15"/>
    </row>
    <row r="9" customFormat="false" ht="13.5" hidden="false" customHeight="false" outlineLevel="0" collapsed="false">
      <c r="A9" s="10" t="n">
        <v>30196</v>
      </c>
      <c r="B9" s="11" t="n">
        <v>34.15</v>
      </c>
      <c r="C9" s="11" t="n">
        <v>35.15</v>
      </c>
      <c r="E9" s="12" t="n">
        <v>37134.5440277778</v>
      </c>
      <c r="F9" s="13" t="s">
        <v>20</v>
      </c>
      <c r="H9" s="18" t="s">
        <v>21</v>
      </c>
      <c r="I9" s="15" t="n">
        <f aca="false">+(C16+B16)/(C7+B7)*1000</f>
        <v>62.695652173913</v>
      </c>
      <c r="J9" s="0" t="n">
        <v>8739</v>
      </c>
      <c r="K9" s="0" t="n">
        <v>8739</v>
      </c>
    </row>
    <row r="10" customFormat="false" ht="13.5" hidden="false" customHeight="false" outlineLevel="0" collapsed="false">
      <c r="A10" s="10" t="n">
        <v>32930</v>
      </c>
      <c r="B10" s="11" t="n">
        <v>38.75</v>
      </c>
      <c r="C10" s="11" t="n">
        <v>39.75</v>
      </c>
      <c r="D10" s="1" t="n">
        <v>988054237081</v>
      </c>
      <c r="E10" s="12" t="n">
        <v>37134.4218865741</v>
      </c>
      <c r="F10" s="13" t="s">
        <v>22</v>
      </c>
      <c r="H10" s="17" t="s">
        <v>23</v>
      </c>
      <c r="I10" s="15" t="n">
        <f aca="false">+(C2+B2)/(C10+B10)*1000</f>
        <v>889.171974522293</v>
      </c>
      <c r="J10" s="0" t="n">
        <v>8739</v>
      </c>
      <c r="K10" s="0" t="n">
        <v>8739</v>
      </c>
    </row>
    <row r="11" customFormat="false" ht="13.5" hidden="false" customHeight="false" outlineLevel="0" collapsed="false">
      <c r="A11" s="10" t="n">
        <v>49613</v>
      </c>
      <c r="B11" s="19" t="n">
        <v>2.29</v>
      </c>
      <c r="C11" s="19" t="n">
        <v>2.305</v>
      </c>
      <c r="D11" s="1" t="n">
        <v>988117673560</v>
      </c>
      <c r="E11" s="12" t="n">
        <v>37132.5976851852</v>
      </c>
      <c r="F11" s="13" t="s">
        <v>24</v>
      </c>
      <c r="H11" s="20" t="n">
        <v>37043</v>
      </c>
      <c r="I11" s="15" t="n">
        <f aca="false">+(C2+B2)/(C7+B7)*1000</f>
        <v>606.95652173913</v>
      </c>
    </row>
    <row r="12" customFormat="false" ht="12.75" hidden="false" customHeight="false" outlineLevel="0" collapsed="false">
      <c r="A12" s="10" t="n">
        <v>49615</v>
      </c>
      <c r="B12" s="19" t="n">
        <v>2.4</v>
      </c>
      <c r="C12" s="19" t="n">
        <v>2.41</v>
      </c>
      <c r="D12" s="1" t="n">
        <v>988117189925</v>
      </c>
      <c r="E12" s="12" t="n">
        <v>37134.6238541667</v>
      </c>
      <c r="F12" s="13" t="s">
        <v>25</v>
      </c>
    </row>
    <row r="13" customFormat="false" ht="12.75" hidden="false" customHeight="false" outlineLevel="0" collapsed="false">
      <c r="A13" s="10" t="n">
        <v>49617</v>
      </c>
      <c r="B13" s="19" t="n">
        <v>2.73</v>
      </c>
      <c r="C13" s="19" t="n">
        <v>2.7425</v>
      </c>
      <c r="D13" s="1" t="n">
        <v>988116717414</v>
      </c>
      <c r="E13" s="12" t="n">
        <v>37134.6238541667</v>
      </c>
      <c r="F13" s="13" t="s">
        <v>26</v>
      </c>
    </row>
    <row r="14" customFormat="false" ht="12.75" hidden="false" customHeight="false" outlineLevel="0" collapsed="false">
      <c r="A14" s="10" t="n">
        <v>35353</v>
      </c>
      <c r="B14" s="19" t="n">
        <v>3.065</v>
      </c>
      <c r="C14" s="19" t="n">
        <v>3.075</v>
      </c>
      <c r="D14" s="1" t="n">
        <v>988117635766</v>
      </c>
      <c r="E14" s="12" t="n">
        <v>37134.6128240741</v>
      </c>
      <c r="F14" s="13" t="s">
        <v>27</v>
      </c>
    </row>
    <row r="15" customFormat="false" ht="12.75" hidden="false" customHeight="false" outlineLevel="0" collapsed="false">
      <c r="A15" s="10" t="n">
        <v>48724</v>
      </c>
      <c r="B15" s="19" t="n">
        <v>3.19</v>
      </c>
      <c r="C15" s="19" t="n">
        <v>3.205</v>
      </c>
      <c r="D15" s="1" t="n">
        <v>988117122150</v>
      </c>
      <c r="E15" s="12" t="n">
        <v>37134.5373148148</v>
      </c>
      <c r="F15" s="13" t="s">
        <v>28</v>
      </c>
    </row>
    <row r="16" customFormat="false" ht="12.75" hidden="false" customHeight="false" outlineLevel="0" collapsed="false">
      <c r="A16" s="10" t="n">
        <v>54674</v>
      </c>
      <c r="B16" s="19" t="n">
        <v>3.6</v>
      </c>
      <c r="C16" s="19" t="n">
        <v>3.61</v>
      </c>
      <c r="E16" s="12" t="n">
        <v>37123.5498611111</v>
      </c>
      <c r="F16" s="16" t="s">
        <v>29</v>
      </c>
    </row>
    <row r="17" customFormat="false" ht="12.75" hidden="false" customHeight="false" outlineLevel="0" collapsed="false">
      <c r="A17" s="10" t="n">
        <v>51173</v>
      </c>
      <c r="B17" s="0" t="n">
        <v>29</v>
      </c>
      <c r="C17" s="0" t="n">
        <v>30</v>
      </c>
      <c r="E17" s="12" t="n">
        <v>37040.4064930556</v>
      </c>
      <c r="F17" s="16" t="s">
        <v>30</v>
      </c>
    </row>
    <row r="18" customFormat="false" ht="12.75" hidden="false" customHeight="false" outlineLevel="0" collapsed="false">
      <c r="A18" s="10" t="n">
        <v>32218</v>
      </c>
      <c r="B18" s="0" t="n">
        <v>43</v>
      </c>
      <c r="C18" s="0" t="n">
        <v>44</v>
      </c>
      <c r="E18" s="12" t="n">
        <v>37123.360474537</v>
      </c>
      <c r="F18" s="13" t="s">
        <v>31</v>
      </c>
    </row>
    <row r="19" customFormat="false" ht="12.75" hidden="false" customHeight="false" outlineLevel="0" collapsed="false">
      <c r="A19" s="10" t="n">
        <v>32219</v>
      </c>
      <c r="B19" s="0" t="n">
        <v>50.5</v>
      </c>
      <c r="C19" s="0" t="n">
        <v>51.5</v>
      </c>
      <c r="E19" s="12" t="n">
        <v>37123.3615277778</v>
      </c>
      <c r="F19" s="16" t="s">
        <v>32</v>
      </c>
    </row>
    <row r="20" customFormat="false" ht="12.75" hidden="false" customHeight="false" outlineLevel="0" collapsed="false">
      <c r="A20" s="10" t="n">
        <v>32224</v>
      </c>
      <c r="B20" s="0" t="n">
        <v>52.5</v>
      </c>
      <c r="C20" s="0" t="n">
        <v>54</v>
      </c>
      <c r="E20" s="12" t="n">
        <v>37034.6625347222</v>
      </c>
      <c r="F20" s="13" t="s">
        <v>33</v>
      </c>
    </row>
    <row r="21" customFormat="false" ht="12.75" hidden="false" customHeight="false" outlineLevel="0" collapsed="false">
      <c r="A21" s="10" t="n">
        <v>32226</v>
      </c>
      <c r="B21" s="0" t="n">
        <v>31.75</v>
      </c>
      <c r="C21" s="0" t="n">
        <v>32.75</v>
      </c>
      <c r="E21" s="12" t="n">
        <v>37034.6625347222</v>
      </c>
      <c r="F21" s="13" t="s">
        <v>34</v>
      </c>
    </row>
    <row r="22" customFormat="false" ht="12.75" hidden="false" customHeight="false" outlineLevel="0" collapsed="false">
      <c r="A22" s="10" t="n">
        <v>3751</v>
      </c>
      <c r="B22" s="0" t="n">
        <v>31.75</v>
      </c>
      <c r="C22" s="0" t="n">
        <v>32.75</v>
      </c>
      <c r="E22" s="12" t="n">
        <v>37034.6625347222</v>
      </c>
      <c r="F22" s="13" t="s">
        <v>35</v>
      </c>
    </row>
    <row r="23" customFormat="false" ht="12.75" hidden="false" customHeight="false" outlineLevel="0" collapsed="false">
      <c r="A23" s="10" t="n">
        <v>26117</v>
      </c>
      <c r="B23" s="0" t="n">
        <v>31.75</v>
      </c>
      <c r="C23" s="0" t="n">
        <v>32.75</v>
      </c>
      <c r="E23" s="12" t="n">
        <v>37034.6625347222</v>
      </c>
      <c r="F23" s="13" t="s">
        <v>36</v>
      </c>
    </row>
    <row r="24" customFormat="false" ht="12.75" hidden="false" customHeight="false" outlineLevel="0" collapsed="false">
      <c r="A24" s="10" t="n">
        <v>48506</v>
      </c>
      <c r="B24" s="0" t="n">
        <v>31.75</v>
      </c>
      <c r="C24" s="0" t="n">
        <v>32.75</v>
      </c>
      <c r="E24" s="12" t="n">
        <v>37034.6625347222</v>
      </c>
      <c r="F24" s="13" t="s">
        <v>37</v>
      </c>
    </row>
    <row r="25" customFormat="false" ht="12.75" hidden="false" customHeight="false" outlineLevel="0" collapsed="false">
      <c r="A25" s="10" t="n">
        <v>26116</v>
      </c>
      <c r="B25" s="0" t="n">
        <v>31.75</v>
      </c>
      <c r="C25" s="0" t="n">
        <v>32.75</v>
      </c>
      <c r="E25" s="12" t="n">
        <v>37034.6625347222</v>
      </c>
      <c r="F25" s="13" t="s">
        <v>38</v>
      </c>
    </row>
  </sheetData>
  <conditionalFormatting sqref="B2:C16">
    <cfRule type="cellIs" priority="2" operator="lessThan" aboveAverage="0" equalAverage="0" bottom="0" percent="0" rank="0" text="" dxfId="0">
      <formula>10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5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6" topLeftCell="B47" activePane="bottomRight" state="frozen"/>
      <selection pane="topLeft" activeCell="A1" activeCellId="0" sqref="A1"/>
      <selection pane="topRight" activeCell="B1" activeCellId="0" sqref="B1"/>
      <selection pane="bottomLeft" activeCell="A47" activeCellId="0" sqref="A47"/>
      <selection pane="bottomRight" activeCell="F39" activeCellId="0" sqref="F39:F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3" min="3" style="0" width="10.28"/>
    <col collapsed="false" customWidth="true" hidden="false" outlineLevel="0" max="5" min="5" style="0" width="9.7"/>
    <col collapsed="false" customWidth="true" hidden="false" outlineLevel="0" max="6" min="6" style="0" width="10.56"/>
    <col collapsed="false" customWidth="true" hidden="false" outlineLevel="0" max="12" min="12" style="0" width="11.85"/>
    <col collapsed="false" customWidth="true" hidden="false" outlineLevel="0" max="13" min="13" style="457" width="12.28"/>
    <col collapsed="false" customWidth="true" hidden="false" outlineLevel="0" max="17" min="14" style="458" width="12.28"/>
    <col collapsed="false" customWidth="true" hidden="false" outlineLevel="0" max="19" min="18" style="0" width="12.28"/>
    <col collapsed="false" customWidth="true" hidden="false" outlineLevel="0" max="20" min="20" style="0" width="14.14"/>
    <col collapsed="false" customWidth="true" hidden="false" outlineLevel="0" max="21" min="21" style="0" width="10.56"/>
    <col collapsed="false" customWidth="true" hidden="false" outlineLevel="0" max="33" min="33" style="0" width="10.28"/>
  </cols>
  <sheetData>
    <row r="1" customFormat="false" ht="12.75" hidden="false" customHeight="false" outlineLevel="0" collapsed="false">
      <c r="A1" s="24"/>
    </row>
    <row r="2" customFormat="false" ht="13.5" hidden="false" customHeight="false" outlineLevel="0" collapsed="false">
      <c r="A2" s="24"/>
    </row>
    <row r="3" customFormat="false" ht="13.5" hidden="false" customHeight="false" outlineLevel="0" collapsed="false">
      <c r="A3" s="24"/>
      <c r="L3" s="459" t="n">
        <f aca="false">+SUM(L6:L38)</f>
        <v>-90721.93359375</v>
      </c>
      <c r="M3" s="460" t="n">
        <f aca="false">+SUM(M6:M38)</f>
        <v>-12725.3069763184</v>
      </c>
      <c r="N3" s="461" t="n">
        <f aca="false">+SUM(N6:N38)</f>
        <v>30746.3014526367</v>
      </c>
      <c r="O3" s="461" t="n">
        <f aca="false">+SUM(O6:O38)</f>
        <v>-2547.17135009774</v>
      </c>
      <c r="P3" s="461" t="n">
        <f aca="false">+SUM(P6:P38)</f>
        <v>-11864.9381452213</v>
      </c>
      <c r="Q3" s="459" t="n">
        <f aca="false">+SUM(Q6:Q38)</f>
        <v>0</v>
      </c>
      <c r="R3" s="460" t="n">
        <f aca="false">+SUM(R6:R38)</f>
        <v>0</v>
      </c>
      <c r="S3" s="462" t="n">
        <f aca="false">+SUM(S6:S38)</f>
        <v>0</v>
      </c>
      <c r="T3" s="462" t="s">
        <v>146</v>
      </c>
      <c r="U3" s="462" t="n">
        <f aca="false">+SUM(U6:U38)</f>
        <v>0</v>
      </c>
    </row>
    <row r="4" customFormat="false" ht="12.75" hidden="false" customHeight="false" outlineLevel="0" collapsed="false">
      <c r="A4" s="24"/>
      <c r="B4" s="463" t="s">
        <v>96</v>
      </c>
      <c r="C4" s="464" t="s">
        <v>97</v>
      </c>
      <c r="D4" s="465" t="s">
        <v>98</v>
      </c>
      <c r="E4" s="465" t="s">
        <v>99</v>
      </c>
      <c r="F4" s="465" t="s">
        <v>100</v>
      </c>
      <c r="G4" s="463" t="s">
        <v>96</v>
      </c>
      <c r="H4" s="464" t="s">
        <v>97</v>
      </c>
      <c r="I4" s="465" t="s">
        <v>98</v>
      </c>
      <c r="J4" s="465" t="s">
        <v>99</v>
      </c>
      <c r="K4" s="465" t="s">
        <v>100</v>
      </c>
      <c r="L4" s="463" t="s">
        <v>147</v>
      </c>
      <c r="M4" s="464" t="s">
        <v>148</v>
      </c>
      <c r="N4" s="465" t="s">
        <v>149</v>
      </c>
      <c r="O4" s="465" t="s">
        <v>150</v>
      </c>
      <c r="P4" s="465" t="s">
        <v>151</v>
      </c>
      <c r="Q4" s="463" t="s">
        <v>147</v>
      </c>
      <c r="R4" s="464" t="s">
        <v>148</v>
      </c>
      <c r="S4" s="465" t="s">
        <v>149</v>
      </c>
      <c r="T4" s="465" t="s">
        <v>152</v>
      </c>
      <c r="U4" s="465" t="s">
        <v>151</v>
      </c>
      <c r="AI4" s="466" t="s">
        <v>153</v>
      </c>
      <c r="AJ4" s="466" t="s">
        <v>154</v>
      </c>
      <c r="AK4" s="467" t="s">
        <v>155</v>
      </c>
      <c r="AL4" s="466" t="s">
        <v>156</v>
      </c>
    </row>
    <row r="5" customFormat="false" ht="12.75" hidden="false" customHeight="false" outlineLevel="0" collapsed="false">
      <c r="A5" s="24"/>
      <c r="B5" s="468" t="s">
        <v>157</v>
      </c>
      <c r="C5" s="469" t="s">
        <v>157</v>
      </c>
      <c r="D5" s="470" t="s">
        <v>157</v>
      </c>
      <c r="E5" s="470" t="s">
        <v>157</v>
      </c>
      <c r="F5" s="470" t="s">
        <v>157</v>
      </c>
      <c r="G5" s="468" t="s">
        <v>158</v>
      </c>
      <c r="H5" s="469" t="s">
        <v>158</v>
      </c>
      <c r="I5" s="470" t="s">
        <v>158</v>
      </c>
      <c r="J5" s="470" t="s">
        <v>159</v>
      </c>
      <c r="K5" s="470" t="s">
        <v>159</v>
      </c>
      <c r="L5" s="468" t="s">
        <v>112</v>
      </c>
      <c r="M5" s="469" t="s">
        <v>112</v>
      </c>
      <c r="N5" s="470" t="s">
        <v>112</v>
      </c>
      <c r="O5" s="470" t="s">
        <v>112</v>
      </c>
      <c r="P5" s="470" t="s">
        <v>112</v>
      </c>
      <c r="Q5" s="468" t="s">
        <v>113</v>
      </c>
      <c r="R5" s="469" t="s">
        <v>113</v>
      </c>
      <c r="S5" s="470" t="s">
        <v>113</v>
      </c>
      <c r="T5" s="470" t="s">
        <v>113</v>
      </c>
      <c r="U5" s="470" t="s">
        <v>113</v>
      </c>
      <c r="AI5" s="466" t="s">
        <v>160</v>
      </c>
      <c r="AJ5" s="466" t="s">
        <v>160</v>
      </c>
      <c r="AK5" s="467" t="s">
        <v>161</v>
      </c>
      <c r="AL5" s="466"/>
    </row>
    <row r="6" customFormat="false" ht="12.75" hidden="false" customHeight="false" outlineLevel="0" collapsed="false">
      <c r="A6" s="24"/>
      <c r="B6" s="471" t="s">
        <v>162</v>
      </c>
      <c r="C6" s="472" t="s">
        <v>162</v>
      </c>
      <c r="D6" s="473" t="s">
        <v>162</v>
      </c>
      <c r="E6" s="473" t="s">
        <v>162</v>
      </c>
      <c r="F6" s="473" t="s">
        <v>162</v>
      </c>
      <c r="G6" s="471" t="s">
        <v>162</v>
      </c>
      <c r="H6" s="472" t="s">
        <v>162</v>
      </c>
      <c r="I6" s="473" t="s">
        <v>162</v>
      </c>
      <c r="J6" s="474" t="s">
        <v>162</v>
      </c>
      <c r="K6" s="473" t="s">
        <v>162</v>
      </c>
      <c r="L6" s="471"/>
      <c r="M6" s="472"/>
      <c r="N6" s="473"/>
      <c r="O6" s="473"/>
      <c r="P6" s="473"/>
      <c r="Q6" s="471"/>
      <c r="R6" s="472"/>
      <c r="S6" s="473"/>
      <c r="T6" s="473"/>
      <c r="U6" s="473"/>
      <c r="AG6" s="475"/>
      <c r="AH6" s="476" t="n">
        <v>36831</v>
      </c>
      <c r="AI6" s="466" t="n">
        <v>21</v>
      </c>
      <c r="AJ6" s="466" t="n">
        <v>4</v>
      </c>
      <c r="AK6" s="466" t="n">
        <v>5</v>
      </c>
      <c r="AL6" s="466" t="n">
        <v>1</v>
      </c>
    </row>
    <row r="7" customFormat="false" ht="12.75" hidden="false" customHeight="false" outlineLevel="0" collapsed="false">
      <c r="A7" s="477" t="n">
        <f aca="false">+'NYISO A'!A12</f>
        <v>37135</v>
      </c>
      <c r="B7" s="478" t="n">
        <f aca="false">16*'NYISO A'!B12</f>
        <v>0</v>
      </c>
      <c r="C7" s="478" t="n">
        <f aca="false">16*'NYISO G'!B12</f>
        <v>0</v>
      </c>
      <c r="D7" s="478" t="n">
        <f aca="false">16*'NYISO J'!B12</f>
        <v>0</v>
      </c>
      <c r="E7" s="479" t="n">
        <f aca="false">16*NEPOOL!B12</f>
        <v>0</v>
      </c>
      <c r="F7" s="480" t="n">
        <f aca="false">16*PJM!B12</f>
        <v>0</v>
      </c>
      <c r="G7" s="478" t="n">
        <f aca="false">16*'NYISO A'!C12</f>
        <v>0</v>
      </c>
      <c r="H7" s="478" t="n">
        <f aca="false">16*'NYISO G'!C12</f>
        <v>0</v>
      </c>
      <c r="I7" s="478" t="n">
        <f aca="false">16*'NYISO J'!C12</f>
        <v>0</v>
      </c>
      <c r="J7" s="478" t="n">
        <f aca="false">16*NEPOOL!C12</f>
        <v>0</v>
      </c>
      <c r="K7" s="478" t="n">
        <f aca="false">16*PJM!C12</f>
        <v>0</v>
      </c>
      <c r="L7" s="481" t="n">
        <f aca="false">+'NYISO A'!I12</f>
        <v>-0</v>
      </c>
      <c r="M7" s="481" t="n">
        <f aca="false">+'NYISO G'!I12</f>
        <v>-0</v>
      </c>
      <c r="N7" s="481" t="n">
        <f aca="false">+'NYISO J'!I12</f>
        <v>-0</v>
      </c>
      <c r="O7" s="481" t="n">
        <f aca="false">+NEPOOL!I12</f>
        <v>0</v>
      </c>
      <c r="P7" s="481" t="n">
        <f aca="false">+PJM!I12</f>
        <v>0</v>
      </c>
      <c r="Q7" s="481" t="n">
        <f aca="false">+'NYISO A'!J12</f>
        <v>0</v>
      </c>
      <c r="R7" s="481" t="n">
        <f aca="false">+'NYISO G'!J12</f>
        <v>0</v>
      </c>
      <c r="S7" s="481" t="n">
        <f aca="false">+'NYISO J'!J12</f>
        <v>0</v>
      </c>
      <c r="T7" s="481" t="n">
        <f aca="false">+NEPOOL!J12</f>
        <v>0</v>
      </c>
      <c r="U7" s="481" t="n">
        <f aca="false">+PJM!J12</f>
        <v>0</v>
      </c>
      <c r="AH7" s="476" t="n">
        <v>36861</v>
      </c>
      <c r="AI7" s="466" t="n">
        <v>20</v>
      </c>
      <c r="AJ7" s="466" t="n">
        <v>5</v>
      </c>
      <c r="AK7" s="466" t="n">
        <v>6</v>
      </c>
      <c r="AL7" s="466" t="n">
        <v>1</v>
      </c>
    </row>
    <row r="8" customFormat="false" ht="12.75" hidden="false" customHeight="false" outlineLevel="0" collapsed="false">
      <c r="A8" s="482" t="n">
        <f aca="false">+'NYISO A'!A13</f>
        <v>37136</v>
      </c>
      <c r="B8" s="478" t="n">
        <f aca="false">16*'NYISO A'!B13</f>
        <v>0</v>
      </c>
      <c r="C8" s="478" t="n">
        <f aca="false">16*'NYISO G'!B13</f>
        <v>0</v>
      </c>
      <c r="D8" s="478" t="n">
        <f aca="false">16*'NYISO J'!B13</f>
        <v>0</v>
      </c>
      <c r="E8" s="478" t="n">
        <f aca="false">16*NEPOOL!B13</f>
        <v>0</v>
      </c>
      <c r="F8" s="478" t="n">
        <f aca="false">16*PJM!B13</f>
        <v>0</v>
      </c>
      <c r="G8" s="478" t="n">
        <f aca="false">16*'NYISO A'!C13</f>
        <v>0</v>
      </c>
      <c r="H8" s="478" t="n">
        <f aca="false">16*'NYISO G'!C13</f>
        <v>0</v>
      </c>
      <c r="I8" s="478" t="n">
        <f aca="false">16*'NYISO J'!C13</f>
        <v>0</v>
      </c>
      <c r="J8" s="478" t="n">
        <f aca="false">16*NEPOOL!C13</f>
        <v>0</v>
      </c>
      <c r="K8" s="478" t="n">
        <f aca="false">16*PJM!C13</f>
        <v>0</v>
      </c>
      <c r="L8" s="481" t="n">
        <f aca="false">+'NYISO A'!I13</f>
        <v>0</v>
      </c>
      <c r="M8" s="481" t="n">
        <f aca="false">+'NYISO G'!I13</f>
        <v>0</v>
      </c>
      <c r="N8" s="481" t="n">
        <f aca="false">+'NYISO J'!I13</f>
        <v>0</v>
      </c>
      <c r="O8" s="481" t="n">
        <f aca="false">+NEPOOL!I13</f>
        <v>0</v>
      </c>
      <c r="P8" s="481" t="n">
        <f aca="false">+PJM!I13</f>
        <v>0</v>
      </c>
      <c r="Q8" s="481" t="n">
        <f aca="false">+'NYISO A'!J13</f>
        <v>0</v>
      </c>
      <c r="R8" s="481" t="n">
        <f aca="false">+'NYISO G'!J13</f>
        <v>0</v>
      </c>
      <c r="S8" s="481" t="n">
        <f aca="false">+'NYISO J'!J13</f>
        <v>0</v>
      </c>
      <c r="T8" s="481" t="n">
        <f aca="false">+NEPOOL!J13</f>
        <v>0</v>
      </c>
      <c r="U8" s="481" t="n">
        <f aca="false">+PJM!J13</f>
        <v>0</v>
      </c>
      <c r="AH8" s="476" t="n">
        <v>36892</v>
      </c>
      <c r="AI8" s="466" t="n">
        <v>22</v>
      </c>
      <c r="AJ8" s="466" t="n">
        <v>4</v>
      </c>
      <c r="AK8" s="466" t="n">
        <v>5</v>
      </c>
      <c r="AL8" s="466" t="n">
        <v>1</v>
      </c>
    </row>
    <row r="9" customFormat="false" ht="12.75" hidden="false" customHeight="false" outlineLevel="0" collapsed="false">
      <c r="A9" s="482" t="n">
        <f aca="false">+'NYISO A'!A14</f>
        <v>37137</v>
      </c>
      <c r="B9" s="478" t="n">
        <f aca="false">16*'NYISO A'!B14</f>
        <v>0</v>
      </c>
      <c r="C9" s="478" t="n">
        <f aca="false">16*'NYISO G'!B14</f>
        <v>0</v>
      </c>
      <c r="D9" s="478" t="n">
        <f aca="false">16*'NYISO J'!B14</f>
        <v>0</v>
      </c>
      <c r="E9" s="478" t="n">
        <f aca="false">16*NEPOOL!B14</f>
        <v>0</v>
      </c>
      <c r="F9" s="478" t="n">
        <f aca="false">16*PJM!B14</f>
        <v>0</v>
      </c>
      <c r="G9" s="478" t="n">
        <f aca="false">16*'NYISO A'!C14</f>
        <v>0</v>
      </c>
      <c r="H9" s="478" t="n">
        <f aca="false">16*'NYISO G'!C14</f>
        <v>0</v>
      </c>
      <c r="I9" s="478" t="n">
        <f aca="false">16*'NYISO J'!C14</f>
        <v>0</v>
      </c>
      <c r="J9" s="478" t="n">
        <f aca="false">16*NEPOOL!C14</f>
        <v>0</v>
      </c>
      <c r="K9" s="478" t="n">
        <f aca="false">16*PJM!C14</f>
        <v>0</v>
      </c>
      <c r="L9" s="481" t="n">
        <f aca="false">+'NYISO A'!I14</f>
        <v>0</v>
      </c>
      <c r="M9" s="481" t="n">
        <f aca="false">+'NYISO G'!I14</f>
        <v>0</v>
      </c>
      <c r="N9" s="481" t="n">
        <f aca="false">+'NYISO J'!I14</f>
        <v>0</v>
      </c>
      <c r="O9" s="481" t="n">
        <f aca="false">+NEPOOL!I14</f>
        <v>0</v>
      </c>
      <c r="P9" s="481" t="n">
        <f aca="false">+PJM!I14</f>
        <v>0</v>
      </c>
      <c r="Q9" s="481" t="n">
        <f aca="false">+'NYISO A'!J14</f>
        <v>0</v>
      </c>
      <c r="R9" s="481" t="n">
        <f aca="false">+'NYISO G'!J14</f>
        <v>0</v>
      </c>
      <c r="S9" s="481" t="n">
        <f aca="false">+'NYISO J'!J14</f>
        <v>0</v>
      </c>
      <c r="T9" s="481" t="n">
        <f aca="false">+NEPOOL!J14</f>
        <v>0</v>
      </c>
      <c r="U9" s="481" t="n">
        <f aca="false">+PJM!J14</f>
        <v>0</v>
      </c>
      <c r="AH9" s="476" t="n">
        <v>36923</v>
      </c>
      <c r="AI9" s="466" t="n">
        <v>20</v>
      </c>
      <c r="AJ9" s="466" t="n">
        <v>4</v>
      </c>
      <c r="AK9" s="466" t="n">
        <v>4</v>
      </c>
      <c r="AL9" s="466" t="n">
        <v>0</v>
      </c>
    </row>
    <row r="10" customFormat="false" ht="12.75" hidden="false" customHeight="false" outlineLevel="0" collapsed="false">
      <c r="A10" s="482" t="n">
        <f aca="false">+'NYISO A'!A15</f>
        <v>37138</v>
      </c>
      <c r="B10" s="478" t="n">
        <f aca="false">16*'NYISO A'!B15</f>
        <v>-800</v>
      </c>
      <c r="C10" s="478" t="n">
        <f aca="false">16*'NYISO G'!B15</f>
        <v>-797.151550292969</v>
      </c>
      <c r="D10" s="478" t="n">
        <f aca="false">16*'NYISO J'!B15</f>
        <v>1195.72729492188</v>
      </c>
      <c r="E10" s="478" t="n">
        <f aca="false">16*NEPOOL!B15</f>
        <v>2387.97314453125</v>
      </c>
      <c r="F10" s="478" t="n">
        <f aca="false">16*PJM!B15</f>
        <v>2387.97314453125</v>
      </c>
      <c r="G10" s="478" t="n">
        <f aca="false">16*'NYISO A'!C15</f>
        <v>0</v>
      </c>
      <c r="H10" s="478" t="n">
        <f aca="false">16*'NYISO G'!C15</f>
        <v>0</v>
      </c>
      <c r="I10" s="478" t="n">
        <f aca="false">16*'NYISO J'!C15</f>
        <v>0</v>
      </c>
      <c r="J10" s="478" t="n">
        <f aca="false">16*NEPOOL!C15</f>
        <v>0</v>
      </c>
      <c r="K10" s="478" t="n">
        <f aca="false">16*PJM!C15</f>
        <v>0</v>
      </c>
      <c r="L10" s="481" t="n">
        <f aca="false">+'NYISO A'!I15</f>
        <v>-0</v>
      </c>
      <c r="M10" s="481" t="n">
        <f aca="false">+'NYISO G'!I15</f>
        <v>-3188.60620117188</v>
      </c>
      <c r="N10" s="481" t="n">
        <f aca="false">+'NYISO J'!I15</f>
        <v>5679.70465087891</v>
      </c>
      <c r="O10" s="481" t="n">
        <f aca="false">+NEPOOL!I15</f>
        <v>1193.98657226563</v>
      </c>
      <c r="P10" s="481" t="n">
        <f aca="false">+PJM!I15</f>
        <v>0.0127531524781545</v>
      </c>
      <c r="Q10" s="481" t="n">
        <f aca="false">+'NYISO A'!J15</f>
        <v>0</v>
      </c>
      <c r="R10" s="481" t="n">
        <f aca="false">+'NYISO G'!J15</f>
        <v>0</v>
      </c>
      <c r="S10" s="481" t="n">
        <f aca="false">+'NYISO J'!J15</f>
        <v>0</v>
      </c>
      <c r="T10" s="481" t="n">
        <f aca="false">+NEPOOL!J15</f>
        <v>0</v>
      </c>
      <c r="U10" s="481" t="n">
        <f aca="false">+PJM!J15</f>
        <v>0</v>
      </c>
      <c r="AH10" s="476" t="n">
        <v>36951</v>
      </c>
      <c r="AI10" s="466" t="n">
        <v>22</v>
      </c>
      <c r="AJ10" s="466" t="n">
        <v>5</v>
      </c>
      <c r="AK10" s="466" t="n">
        <v>4</v>
      </c>
      <c r="AL10" s="466" t="n">
        <v>0</v>
      </c>
    </row>
    <row r="11" customFormat="false" ht="12.75" hidden="false" customHeight="false" outlineLevel="0" collapsed="false">
      <c r="A11" s="482" t="n">
        <f aca="false">+'NYISO A'!A16</f>
        <v>37139</v>
      </c>
      <c r="B11" s="478" t="n">
        <f aca="false">16*'NYISO A'!B16</f>
        <v>-800</v>
      </c>
      <c r="C11" s="478" t="n">
        <f aca="false">16*'NYISO G'!B16</f>
        <v>-797.151550292969</v>
      </c>
      <c r="D11" s="478" t="n">
        <f aca="false">16*'NYISO J'!B16</f>
        <v>1195.72729492188</v>
      </c>
      <c r="E11" s="478" t="n">
        <f aca="false">16*NEPOOL!B16</f>
        <v>2387.97314453125</v>
      </c>
      <c r="F11" s="478" t="n">
        <f aca="false">16*PJM!B16</f>
        <v>2387.97314453125</v>
      </c>
      <c r="G11" s="478" t="n">
        <f aca="false">16*'NYISO A'!C16</f>
        <v>0</v>
      </c>
      <c r="H11" s="478" t="n">
        <f aca="false">16*'NYISO G'!C16</f>
        <v>0</v>
      </c>
      <c r="I11" s="478" t="n">
        <f aca="false">16*'NYISO J'!C16</f>
        <v>0</v>
      </c>
      <c r="J11" s="478" t="n">
        <f aca="false">16*NEPOOL!C16</f>
        <v>0</v>
      </c>
      <c r="K11" s="478" t="n">
        <f aca="false">16*PJM!C16</f>
        <v>0</v>
      </c>
      <c r="L11" s="481" t="n">
        <f aca="false">+'NYISO A'!I16</f>
        <v>-2000</v>
      </c>
      <c r="M11" s="481" t="n">
        <f aca="false">+'NYISO G'!I16</f>
        <v>-3188.60620117188</v>
      </c>
      <c r="N11" s="481" t="n">
        <f aca="false">+'NYISO J'!I16</f>
        <v>5679.70465087891</v>
      </c>
      <c r="O11" s="481" t="n">
        <f aca="false">+NEPOOL!I16</f>
        <v>-1193.98657226563</v>
      </c>
      <c r="P11" s="481" t="n">
        <f aca="false">+PJM!I16</f>
        <v>0.0127531524781545</v>
      </c>
      <c r="Q11" s="481" t="n">
        <f aca="false">+'NYISO A'!J16</f>
        <v>0</v>
      </c>
      <c r="R11" s="481" t="n">
        <f aca="false">+'NYISO G'!J16</f>
        <v>0</v>
      </c>
      <c r="S11" s="481" t="n">
        <f aca="false">+'NYISO J'!J16</f>
        <v>0</v>
      </c>
      <c r="T11" s="481" t="n">
        <f aca="false">+NEPOOL!J16</f>
        <v>0</v>
      </c>
      <c r="U11" s="481" t="n">
        <f aca="false">+PJM!J16</f>
        <v>0</v>
      </c>
      <c r="AH11" s="476" t="n">
        <v>36982</v>
      </c>
      <c r="AI11" s="466" t="n">
        <v>21</v>
      </c>
      <c r="AJ11" s="466" t="n">
        <v>4</v>
      </c>
      <c r="AK11" s="466" t="n">
        <v>5</v>
      </c>
      <c r="AL11" s="466" t="n">
        <v>0</v>
      </c>
    </row>
    <row r="12" customFormat="false" ht="12.75" hidden="false" customHeight="false" outlineLevel="0" collapsed="false">
      <c r="A12" s="482" t="n">
        <f aca="false">+'NYISO A'!A17</f>
        <v>37140</v>
      </c>
      <c r="B12" s="478" t="n">
        <f aca="false">16*'NYISO A'!B17</f>
        <v>-800</v>
      </c>
      <c r="C12" s="478" t="n">
        <f aca="false">16*'NYISO G'!B17</f>
        <v>-797.151550292969</v>
      </c>
      <c r="D12" s="478" t="n">
        <f aca="false">16*'NYISO J'!B17</f>
        <v>1195.72729492188</v>
      </c>
      <c r="E12" s="478" t="n">
        <f aca="false">16*NEPOOL!B17</f>
        <v>2387.97314453125</v>
      </c>
      <c r="F12" s="478" t="n">
        <f aca="false">16*PJM!B17</f>
        <v>2387.97314453125</v>
      </c>
      <c r="G12" s="478" t="n">
        <f aca="false">16*'NYISO A'!C17</f>
        <v>0</v>
      </c>
      <c r="H12" s="478" t="n">
        <f aca="false">16*'NYISO G'!C17</f>
        <v>0</v>
      </c>
      <c r="I12" s="478" t="n">
        <f aca="false">16*'NYISO J'!C17</f>
        <v>0</v>
      </c>
      <c r="J12" s="478" t="n">
        <f aca="false">16*NEPOOL!C17</f>
        <v>0</v>
      </c>
      <c r="K12" s="478" t="n">
        <f aca="false">16*PJM!C17</f>
        <v>0</v>
      </c>
      <c r="L12" s="481" t="n">
        <f aca="false">+'NYISO A'!I17</f>
        <v>-2000</v>
      </c>
      <c r="M12" s="481" t="n">
        <f aca="false">+'NYISO G'!I17</f>
        <v>-3188.60620117188</v>
      </c>
      <c r="N12" s="481" t="n">
        <f aca="false">+'NYISO J'!I17</f>
        <v>5679.70465087891</v>
      </c>
      <c r="O12" s="481" t="n">
        <f aca="false">+NEPOOL!I17</f>
        <v>-1193.98657226563</v>
      </c>
      <c r="P12" s="481" t="n">
        <f aca="false">+PJM!I17</f>
        <v>0.0127531524781545</v>
      </c>
      <c r="Q12" s="481" t="n">
        <f aca="false">+'NYISO A'!J17</f>
        <v>0</v>
      </c>
      <c r="R12" s="481" t="n">
        <f aca="false">+'NYISO G'!J17</f>
        <v>0</v>
      </c>
      <c r="S12" s="481" t="n">
        <f aca="false">+'NYISO J'!J17</f>
        <v>0</v>
      </c>
      <c r="T12" s="481" t="n">
        <f aca="false">+NEPOOL!J17</f>
        <v>0</v>
      </c>
      <c r="U12" s="481" t="n">
        <f aca="false">+PJM!J17</f>
        <v>0</v>
      </c>
      <c r="AH12" s="476" t="n">
        <v>37012</v>
      </c>
      <c r="AI12" s="466" t="n">
        <v>22</v>
      </c>
      <c r="AJ12" s="466" t="n">
        <v>4</v>
      </c>
      <c r="AK12" s="466" t="n">
        <v>5</v>
      </c>
      <c r="AL12" s="466" t="n">
        <v>1</v>
      </c>
    </row>
    <row r="13" customFormat="false" ht="12.75" hidden="false" customHeight="false" outlineLevel="0" collapsed="false">
      <c r="A13" s="482" t="n">
        <f aca="false">+'NYISO A'!A18</f>
        <v>37141</v>
      </c>
      <c r="B13" s="478" t="n">
        <f aca="false">16*'NYISO A'!B18</f>
        <v>-800</v>
      </c>
      <c r="C13" s="478" t="n">
        <f aca="false">16*'NYISO G'!B18</f>
        <v>-797.151550292969</v>
      </c>
      <c r="D13" s="478" t="n">
        <f aca="false">16*'NYISO J'!B18</f>
        <v>1195.72729492188</v>
      </c>
      <c r="E13" s="478" t="n">
        <f aca="false">16*NEPOOL!B18</f>
        <v>2387.97314453125</v>
      </c>
      <c r="F13" s="478" t="n">
        <f aca="false">16*PJM!B18</f>
        <v>2387.97314453125</v>
      </c>
      <c r="G13" s="478" t="n">
        <f aca="false">16*'NYISO A'!C18</f>
        <v>0</v>
      </c>
      <c r="H13" s="478" t="n">
        <f aca="false">16*'NYISO G'!C18</f>
        <v>0</v>
      </c>
      <c r="I13" s="478" t="n">
        <f aca="false">16*'NYISO J'!C18</f>
        <v>0</v>
      </c>
      <c r="J13" s="478" t="n">
        <f aca="false">16*NEPOOL!C18</f>
        <v>0</v>
      </c>
      <c r="K13" s="478" t="n">
        <f aca="false">16*PJM!C18</f>
        <v>0</v>
      </c>
      <c r="L13" s="481" t="n">
        <f aca="false">+'NYISO A'!I18</f>
        <v>-2000</v>
      </c>
      <c r="M13" s="481" t="n">
        <f aca="false">+'NYISO G'!I18</f>
        <v>5978.63662719727</v>
      </c>
      <c r="N13" s="481" t="n">
        <f aca="false">+'NYISO J'!I18</f>
        <v>0</v>
      </c>
      <c r="O13" s="481" t="n">
        <f aca="false">+NEPOOL!I18</f>
        <v>-1193.98657226563</v>
      </c>
      <c r="P13" s="481" t="n">
        <f aca="false">+PJM!I18</f>
        <v>0.00364375785332523</v>
      </c>
      <c r="Q13" s="481" t="n">
        <f aca="false">+'NYISO A'!J18</f>
        <v>0</v>
      </c>
      <c r="R13" s="481" t="n">
        <f aca="false">+'NYISO G'!J18</f>
        <v>0</v>
      </c>
      <c r="S13" s="481" t="n">
        <f aca="false">+'NYISO J'!J18</f>
        <v>0</v>
      </c>
      <c r="T13" s="481" t="n">
        <f aca="false">+NEPOOL!J18</f>
        <v>0</v>
      </c>
      <c r="U13" s="481" t="n">
        <f aca="false">+PJM!J18</f>
        <v>0</v>
      </c>
      <c r="AH13" s="476" t="n">
        <v>37043</v>
      </c>
      <c r="AI13" s="466" t="n">
        <v>21</v>
      </c>
      <c r="AJ13" s="466" t="n">
        <v>5</v>
      </c>
      <c r="AK13" s="466" t="n">
        <v>4</v>
      </c>
      <c r="AL13" s="466" t="n">
        <v>0</v>
      </c>
    </row>
    <row r="14" customFormat="false" ht="12.75" hidden="false" customHeight="false" outlineLevel="0" collapsed="false">
      <c r="A14" s="482" t="n">
        <f aca="false">+'NYISO A'!A19</f>
        <v>37142</v>
      </c>
      <c r="B14" s="478" t="n">
        <f aca="false">16*'NYISO A'!B19</f>
        <v>0</v>
      </c>
      <c r="C14" s="478" t="n">
        <f aca="false">16*'NYISO G'!B19</f>
        <v>0</v>
      </c>
      <c r="D14" s="478" t="n">
        <f aca="false">16*'NYISO J'!B19</f>
        <v>0</v>
      </c>
      <c r="E14" s="478" t="n">
        <f aca="false">16*NEPOOL!B19</f>
        <v>0</v>
      </c>
      <c r="F14" s="478" t="n">
        <f aca="false">16*PJM!B19</f>
        <v>0</v>
      </c>
      <c r="G14" s="478" t="n">
        <f aca="false">16*'NYISO A'!C19</f>
        <v>0</v>
      </c>
      <c r="H14" s="478" t="n">
        <f aca="false">16*'NYISO G'!C19</f>
        <v>0</v>
      </c>
      <c r="I14" s="478" t="n">
        <f aca="false">16*'NYISO J'!C19</f>
        <v>0</v>
      </c>
      <c r="J14" s="478" t="n">
        <f aca="false">16*NEPOOL!C19</f>
        <v>0</v>
      </c>
      <c r="K14" s="478" t="n">
        <f aca="false">16*PJM!C19</f>
        <v>0</v>
      </c>
      <c r="L14" s="481" t="n">
        <f aca="false">+'NYISO A'!I19</f>
        <v>0</v>
      </c>
      <c r="M14" s="481" t="n">
        <f aca="false">+'NYISO G'!I19</f>
        <v>0</v>
      </c>
      <c r="N14" s="481" t="n">
        <f aca="false">+'NYISO J'!I19</f>
        <v>0</v>
      </c>
      <c r="O14" s="481" t="n">
        <f aca="false">+NEPOOL!I19</f>
        <v>0</v>
      </c>
      <c r="P14" s="481" t="n">
        <f aca="false">+PJM!I19</f>
        <v>0</v>
      </c>
      <c r="Q14" s="481" t="n">
        <f aca="false">+'NYISO A'!J19</f>
        <v>0</v>
      </c>
      <c r="R14" s="481" t="n">
        <f aca="false">+'NYISO G'!J19</f>
        <v>0</v>
      </c>
      <c r="S14" s="481" t="n">
        <f aca="false">+'NYISO J'!J19</f>
        <v>0</v>
      </c>
      <c r="T14" s="481" t="n">
        <f aca="false">+NEPOOL!J19</f>
        <v>0</v>
      </c>
      <c r="U14" s="481" t="n">
        <f aca="false">+PJM!J19</f>
        <v>0</v>
      </c>
      <c r="AH14" s="476" t="n">
        <v>37073</v>
      </c>
      <c r="AI14" s="466" t="n">
        <v>21</v>
      </c>
      <c r="AJ14" s="466" t="n">
        <v>4</v>
      </c>
      <c r="AK14" s="466" t="n">
        <v>6</v>
      </c>
      <c r="AL14" s="466" t="n">
        <v>1</v>
      </c>
    </row>
    <row r="15" customFormat="false" ht="12.75" hidden="false" customHeight="false" outlineLevel="0" collapsed="false">
      <c r="A15" s="482" t="n">
        <f aca="false">+'NYISO A'!A20</f>
        <v>37143</v>
      </c>
      <c r="B15" s="478" t="n">
        <f aca="false">16*'NYISO A'!B20</f>
        <v>0</v>
      </c>
      <c r="C15" s="478" t="n">
        <f aca="false">16*'NYISO G'!B20</f>
        <v>0</v>
      </c>
      <c r="D15" s="478" t="n">
        <f aca="false">16*'NYISO J'!B20</f>
        <v>0</v>
      </c>
      <c r="E15" s="478" t="n">
        <f aca="false">16*NEPOOL!B20</f>
        <v>0</v>
      </c>
      <c r="F15" s="478" t="n">
        <f aca="false">16*PJM!B20</f>
        <v>0</v>
      </c>
      <c r="G15" s="478" t="n">
        <f aca="false">16*'NYISO A'!C20</f>
        <v>0</v>
      </c>
      <c r="H15" s="478" t="n">
        <f aca="false">16*'NYISO G'!C20</f>
        <v>0</v>
      </c>
      <c r="I15" s="478" t="n">
        <f aca="false">16*'NYISO J'!C20</f>
        <v>0</v>
      </c>
      <c r="J15" s="478" t="n">
        <f aca="false">16*NEPOOL!C20</f>
        <v>0</v>
      </c>
      <c r="K15" s="478" t="n">
        <f aca="false">16*PJM!C20</f>
        <v>0</v>
      </c>
      <c r="L15" s="481" t="n">
        <f aca="false">+'NYISO A'!I20</f>
        <v>0</v>
      </c>
      <c r="M15" s="481" t="n">
        <f aca="false">+'NYISO G'!I20</f>
        <v>0</v>
      </c>
      <c r="N15" s="481" t="n">
        <f aca="false">+'NYISO J'!I20</f>
        <v>0</v>
      </c>
      <c r="O15" s="481" t="n">
        <f aca="false">+NEPOOL!I20</f>
        <v>0</v>
      </c>
      <c r="P15" s="481" t="n">
        <f aca="false">+PJM!I20</f>
        <v>0</v>
      </c>
      <c r="Q15" s="481" t="n">
        <f aca="false">+'NYISO A'!J20</f>
        <v>0</v>
      </c>
      <c r="R15" s="481" t="n">
        <f aca="false">+'NYISO G'!J20</f>
        <v>0</v>
      </c>
      <c r="S15" s="481" t="n">
        <f aca="false">+'NYISO J'!J20</f>
        <v>0</v>
      </c>
      <c r="T15" s="481" t="n">
        <f aca="false">+NEPOOL!J20</f>
        <v>0</v>
      </c>
      <c r="U15" s="481" t="n">
        <f aca="false">+PJM!J20</f>
        <v>0</v>
      </c>
      <c r="AH15" s="476" t="n">
        <v>37104</v>
      </c>
      <c r="AI15" s="466" t="n">
        <v>23</v>
      </c>
      <c r="AJ15" s="466" t="n">
        <v>4</v>
      </c>
      <c r="AK15" s="466" t="n">
        <v>4</v>
      </c>
      <c r="AL15" s="466" t="n">
        <v>0</v>
      </c>
    </row>
    <row r="16" customFormat="false" ht="12.75" hidden="false" customHeight="false" outlineLevel="0" collapsed="false">
      <c r="A16" s="482" t="n">
        <f aca="false">+'NYISO A'!A21</f>
        <v>37144</v>
      </c>
      <c r="B16" s="478" t="n">
        <f aca="false">16*'NYISO A'!B21</f>
        <v>-3985.7578125</v>
      </c>
      <c r="C16" s="478" t="n">
        <f aca="false">16*'NYISO G'!B21</f>
        <v>1.99999999200839E-012</v>
      </c>
      <c r="D16" s="478" t="n">
        <f aca="false">16*'NYISO J'!B21</f>
        <v>1195.72729492188</v>
      </c>
      <c r="E16" s="478" t="n">
        <f aca="false">16*NEPOOL!B21</f>
        <v>-3183.96411132813</v>
      </c>
      <c r="F16" s="478" t="n">
        <f aca="false">16*PJM!B21</f>
        <v>-4.99999998002099E-012</v>
      </c>
      <c r="G16" s="478" t="n">
        <f aca="false">16*'NYISO A'!C21</f>
        <v>0</v>
      </c>
      <c r="H16" s="478" t="n">
        <f aca="false">16*'NYISO G'!C21</f>
        <v>0</v>
      </c>
      <c r="I16" s="478" t="n">
        <f aca="false">16*'NYISO J'!C21</f>
        <v>0</v>
      </c>
      <c r="J16" s="478" t="n">
        <f aca="false">16*NEPOOL!C21</f>
        <v>0</v>
      </c>
      <c r="K16" s="478" t="n">
        <f aca="false">16*PJM!C21</f>
        <v>0</v>
      </c>
      <c r="L16" s="481" t="n">
        <f aca="false">+'NYISO A'!I21</f>
        <v>-1992.87890625</v>
      </c>
      <c r="M16" s="481" t="n">
        <f aca="false">+'NYISO G'!I21</f>
        <v>0</v>
      </c>
      <c r="N16" s="481" t="n">
        <f aca="false">+'NYISO J'!I21</f>
        <v>0</v>
      </c>
      <c r="O16" s="481" t="n">
        <f aca="false">+NEPOOL!I21</f>
        <v>4234.6722680664</v>
      </c>
      <c r="P16" s="481" t="n">
        <f aca="false">+PJM!I21</f>
        <v>1.72500190045587E-011</v>
      </c>
      <c r="Q16" s="481" t="n">
        <f aca="false">+'NYISO A'!J21</f>
        <v>0</v>
      </c>
      <c r="R16" s="481" t="n">
        <f aca="false">+'NYISO G'!J21</f>
        <v>0</v>
      </c>
      <c r="S16" s="481" t="n">
        <f aca="false">+'NYISO J'!J21</f>
        <v>0</v>
      </c>
      <c r="T16" s="481" t="n">
        <f aca="false">+NEPOOL!J21</f>
        <v>0</v>
      </c>
      <c r="U16" s="481" t="n">
        <f aca="false">+PJM!J21</f>
        <v>0</v>
      </c>
      <c r="AH16" s="476" t="n">
        <v>37135</v>
      </c>
      <c r="AI16" s="466" t="n">
        <v>19</v>
      </c>
      <c r="AJ16" s="466" t="n">
        <v>5</v>
      </c>
      <c r="AK16" s="466" t="n">
        <v>6</v>
      </c>
      <c r="AL16" s="466" t="n">
        <v>1</v>
      </c>
    </row>
    <row r="17" customFormat="false" ht="12.75" hidden="false" customHeight="false" outlineLevel="0" collapsed="false">
      <c r="A17" s="482" t="n">
        <f aca="false">+'NYISO A'!A22</f>
        <v>37145</v>
      </c>
      <c r="B17" s="478" t="n">
        <f aca="false">16*'NYISO A'!B22</f>
        <v>-3985.7578125</v>
      </c>
      <c r="C17" s="478" t="n">
        <f aca="false">16*'NYISO G'!B22</f>
        <v>1.99999999200839E-012</v>
      </c>
      <c r="D17" s="478" t="n">
        <f aca="false">16*'NYISO J'!B22</f>
        <v>1195.72729492188</v>
      </c>
      <c r="E17" s="478" t="n">
        <f aca="false">16*NEPOOL!B22</f>
        <v>-3183.96411132813</v>
      </c>
      <c r="F17" s="478" t="n">
        <f aca="false">16*PJM!B22</f>
        <v>-1.19999999520504E-011</v>
      </c>
      <c r="G17" s="478" t="n">
        <f aca="false">16*'NYISO A'!C22</f>
        <v>0</v>
      </c>
      <c r="H17" s="478" t="n">
        <f aca="false">16*'NYISO G'!C22</f>
        <v>0</v>
      </c>
      <c r="I17" s="478" t="n">
        <f aca="false">16*'NYISO J'!C22</f>
        <v>0</v>
      </c>
      <c r="J17" s="478" t="n">
        <f aca="false">16*NEPOOL!C22</f>
        <v>0</v>
      </c>
      <c r="K17" s="478" t="n">
        <f aca="false">16*PJM!C22</f>
        <v>0</v>
      </c>
      <c r="L17" s="481" t="n">
        <f aca="false">+'NYISO A'!I22</f>
        <v>-1992.87890625</v>
      </c>
      <c r="M17" s="481" t="n">
        <f aca="false">+'NYISO G'!I22</f>
        <v>0</v>
      </c>
      <c r="N17" s="481" t="n">
        <f aca="false">+'NYISO J'!I22</f>
        <v>0</v>
      </c>
      <c r="O17" s="481" t="n">
        <f aca="false">+NEPOOL!I22</f>
        <v>4234.6722680664</v>
      </c>
      <c r="P17" s="481" t="n">
        <f aca="false">+PJM!I22</f>
        <v>4.8600045582171E-011</v>
      </c>
      <c r="Q17" s="481" t="n">
        <f aca="false">+'NYISO A'!J22</f>
        <v>0</v>
      </c>
      <c r="R17" s="481" t="n">
        <f aca="false">+'NYISO G'!J22</f>
        <v>0</v>
      </c>
      <c r="S17" s="481" t="n">
        <f aca="false">+'NYISO J'!J22</f>
        <v>0</v>
      </c>
      <c r="T17" s="481" t="n">
        <f aca="false">+NEPOOL!J22</f>
        <v>0</v>
      </c>
      <c r="U17" s="481" t="n">
        <f aca="false">+PJM!J22</f>
        <v>0</v>
      </c>
      <c r="AH17" s="476" t="n">
        <v>37165</v>
      </c>
      <c r="AI17" s="466" t="n">
        <v>23</v>
      </c>
      <c r="AJ17" s="466" t="n">
        <v>4</v>
      </c>
      <c r="AK17" s="466" t="n">
        <v>4</v>
      </c>
      <c r="AL17" s="466" t="n">
        <v>0</v>
      </c>
    </row>
    <row r="18" customFormat="false" ht="12.75" hidden="false" customHeight="false" outlineLevel="0" collapsed="false">
      <c r="A18" s="482" t="n">
        <f aca="false">+'NYISO A'!A23</f>
        <v>37146</v>
      </c>
      <c r="B18" s="478" t="n">
        <f aca="false">16*'NYISO A'!B23</f>
        <v>-3985.7578125</v>
      </c>
      <c r="C18" s="478" t="n">
        <f aca="false">16*'NYISO G'!B23</f>
        <v>1.99999999200839E-012</v>
      </c>
      <c r="D18" s="478" t="n">
        <f aca="false">16*'NYISO J'!B23</f>
        <v>1195.72729492188</v>
      </c>
      <c r="E18" s="478" t="n">
        <f aca="false">16*NEPOOL!B23</f>
        <v>-3183.96411132813</v>
      </c>
      <c r="F18" s="478" t="n">
        <f aca="false">16*PJM!B23</f>
        <v>4.99999998002099E-012</v>
      </c>
      <c r="G18" s="478" t="n">
        <f aca="false">16*'NYISO A'!C23</f>
        <v>0</v>
      </c>
      <c r="H18" s="478" t="n">
        <f aca="false">16*'NYISO G'!C23</f>
        <v>0</v>
      </c>
      <c r="I18" s="478" t="n">
        <f aca="false">16*'NYISO J'!C23</f>
        <v>0</v>
      </c>
      <c r="J18" s="478" t="n">
        <f aca="false">16*NEPOOL!C23</f>
        <v>0</v>
      </c>
      <c r="K18" s="478" t="n">
        <f aca="false">16*PJM!C23</f>
        <v>0</v>
      </c>
      <c r="L18" s="481" t="n">
        <f aca="false">+'NYISO A'!I23</f>
        <v>-1992.87890625</v>
      </c>
      <c r="M18" s="481" t="n">
        <f aca="false">+'NYISO G'!I23</f>
        <v>0</v>
      </c>
      <c r="N18" s="481" t="n">
        <f aca="false">+'NYISO J'!I23</f>
        <v>0</v>
      </c>
      <c r="O18" s="481" t="n">
        <f aca="false">+NEPOOL!I23</f>
        <v>4234.6722680664</v>
      </c>
      <c r="P18" s="481" t="n">
        <f aca="false">+PJM!I23</f>
        <v>-2.02500189925713E-011</v>
      </c>
      <c r="Q18" s="481" t="n">
        <f aca="false">+'NYISO A'!J23</f>
        <v>0</v>
      </c>
      <c r="R18" s="481" t="n">
        <f aca="false">+'NYISO G'!J23</f>
        <v>0</v>
      </c>
      <c r="S18" s="481" t="n">
        <f aca="false">+'NYISO J'!J23</f>
        <v>0</v>
      </c>
      <c r="T18" s="481" t="n">
        <f aca="false">+NEPOOL!J23</f>
        <v>0</v>
      </c>
      <c r="U18" s="481" t="n">
        <f aca="false">+PJM!J23</f>
        <v>0</v>
      </c>
      <c r="AH18" s="476" t="n">
        <v>37196</v>
      </c>
      <c r="AI18" s="466" t="n">
        <v>21</v>
      </c>
      <c r="AJ18" s="466" t="n">
        <v>4</v>
      </c>
      <c r="AK18" s="466" t="n">
        <v>5</v>
      </c>
      <c r="AL18" s="466" t="n">
        <v>1</v>
      </c>
    </row>
    <row r="19" customFormat="false" ht="12.75" hidden="false" customHeight="false" outlineLevel="0" collapsed="false">
      <c r="A19" s="482" t="n">
        <f aca="false">+'NYISO A'!A24</f>
        <v>37147</v>
      </c>
      <c r="B19" s="478" t="n">
        <f aca="false">16*'NYISO A'!B24</f>
        <v>-3985.7578125</v>
      </c>
      <c r="C19" s="478" t="n">
        <f aca="false">16*'NYISO G'!B24</f>
        <v>1.99999999200839E-012</v>
      </c>
      <c r="D19" s="478" t="n">
        <f aca="false">16*'NYISO J'!B24</f>
        <v>1195.72729492188</v>
      </c>
      <c r="E19" s="478" t="n">
        <f aca="false">16*NEPOOL!B24</f>
        <v>-3183.96411132813</v>
      </c>
      <c r="F19" s="478" t="n">
        <f aca="false">16*PJM!B24</f>
        <v>-4.99999998002099E-012</v>
      </c>
      <c r="G19" s="478" t="n">
        <f aca="false">16*'NYISO A'!C24</f>
        <v>0</v>
      </c>
      <c r="H19" s="478" t="n">
        <f aca="false">16*'NYISO G'!C24</f>
        <v>0</v>
      </c>
      <c r="I19" s="478" t="n">
        <f aca="false">16*'NYISO J'!C24</f>
        <v>0</v>
      </c>
      <c r="J19" s="478" t="n">
        <f aca="false">16*NEPOOL!C24</f>
        <v>0</v>
      </c>
      <c r="K19" s="478" t="n">
        <f aca="false">16*PJM!C24</f>
        <v>0</v>
      </c>
      <c r="L19" s="481" t="n">
        <f aca="false">+'NYISO A'!I24</f>
        <v>-1992.87890625</v>
      </c>
      <c r="M19" s="481" t="n">
        <f aca="false">+'NYISO G'!I24</f>
        <v>0</v>
      </c>
      <c r="N19" s="481" t="n">
        <f aca="false">+'NYISO J'!I24</f>
        <v>0</v>
      </c>
      <c r="O19" s="481" t="n">
        <f aca="false">+NEPOOL!I24</f>
        <v>4234.6722680664</v>
      </c>
      <c r="P19" s="481" t="n">
        <f aca="false">+PJM!I24</f>
        <v>2.02500189925713E-011</v>
      </c>
      <c r="Q19" s="481" t="n">
        <f aca="false">+'NYISO A'!J24</f>
        <v>0</v>
      </c>
      <c r="R19" s="481" t="n">
        <f aca="false">+'NYISO G'!J24</f>
        <v>0</v>
      </c>
      <c r="S19" s="481" t="n">
        <f aca="false">+'NYISO J'!J24</f>
        <v>0</v>
      </c>
      <c r="T19" s="481" t="n">
        <f aca="false">+NEPOOL!J24</f>
        <v>0</v>
      </c>
      <c r="U19" s="481" t="n">
        <f aca="false">+PJM!J24</f>
        <v>0</v>
      </c>
      <c r="AH19" s="476" t="n">
        <v>37226</v>
      </c>
      <c r="AI19" s="466" t="n">
        <v>20</v>
      </c>
      <c r="AJ19" s="466" t="n">
        <v>5</v>
      </c>
      <c r="AK19" s="466" t="n">
        <v>6</v>
      </c>
      <c r="AL19" s="466" t="n">
        <v>1</v>
      </c>
    </row>
    <row r="20" customFormat="false" ht="12.75" hidden="false" customHeight="false" outlineLevel="0" collapsed="false">
      <c r="A20" s="482" t="n">
        <f aca="false">+'NYISO A'!A25</f>
        <v>37148</v>
      </c>
      <c r="B20" s="478" t="n">
        <f aca="false">16*'NYISO A'!B25</f>
        <v>-3985.7578125</v>
      </c>
      <c r="C20" s="478" t="n">
        <f aca="false">16*'NYISO G'!B25</f>
        <v>1.99999999200839E-012</v>
      </c>
      <c r="D20" s="478" t="n">
        <f aca="false">16*'NYISO J'!B25</f>
        <v>1195.72729492188</v>
      </c>
      <c r="E20" s="478" t="n">
        <f aca="false">16*NEPOOL!B25</f>
        <v>-3183.96411132813</v>
      </c>
      <c r="F20" s="478" t="n">
        <f aca="false">16*PJM!B25</f>
        <v>-4.99999998002099E-012</v>
      </c>
      <c r="G20" s="478" t="n">
        <f aca="false">16*'NYISO A'!C25</f>
        <v>0</v>
      </c>
      <c r="H20" s="478" t="n">
        <f aca="false">16*'NYISO G'!C25</f>
        <v>0</v>
      </c>
      <c r="I20" s="478" t="n">
        <f aca="false">16*'NYISO J'!C25</f>
        <v>0</v>
      </c>
      <c r="J20" s="478" t="n">
        <f aca="false">16*NEPOOL!C25</f>
        <v>0</v>
      </c>
      <c r="K20" s="478" t="n">
        <f aca="false">16*PJM!C25</f>
        <v>0</v>
      </c>
      <c r="L20" s="481" t="n">
        <f aca="false">+'NYISO A'!I25</f>
        <v>-1992.87890625</v>
      </c>
      <c r="M20" s="481" t="n">
        <f aca="false">+'NYISO G'!I25</f>
        <v>0</v>
      </c>
      <c r="N20" s="481" t="n">
        <f aca="false">+'NYISO J'!I25</f>
        <v>0</v>
      </c>
      <c r="O20" s="481" t="n">
        <f aca="false">+NEPOOL!I25</f>
        <v>4234.6722680664</v>
      </c>
      <c r="P20" s="481" t="n">
        <f aca="false">+PJM!I25</f>
        <v>2.02500189925713E-011</v>
      </c>
      <c r="Q20" s="481" t="n">
        <f aca="false">+'NYISO A'!J25</f>
        <v>0</v>
      </c>
      <c r="R20" s="481" t="n">
        <f aca="false">+'NYISO G'!J25</f>
        <v>0</v>
      </c>
      <c r="S20" s="481" t="n">
        <f aca="false">+'NYISO J'!J25</f>
        <v>0</v>
      </c>
      <c r="T20" s="481" t="n">
        <f aca="false">+NEPOOL!J25</f>
        <v>0</v>
      </c>
      <c r="U20" s="481" t="n">
        <f aca="false">+PJM!J25</f>
        <v>0</v>
      </c>
      <c r="AH20" s="476" t="n">
        <v>37257</v>
      </c>
      <c r="AI20" s="466" t="n">
        <v>22</v>
      </c>
      <c r="AJ20" s="466" t="n">
        <v>4</v>
      </c>
      <c r="AK20" s="466" t="n">
        <v>5</v>
      </c>
      <c r="AL20" s="466" t="n">
        <v>1</v>
      </c>
    </row>
    <row r="21" customFormat="false" ht="12.75" hidden="false" customHeight="false" outlineLevel="0" collapsed="false">
      <c r="A21" s="482" t="n">
        <f aca="false">+'NYISO A'!A26</f>
        <v>37149</v>
      </c>
      <c r="B21" s="478" t="n">
        <f aca="false">16*'NYISO A'!B26</f>
        <v>0</v>
      </c>
      <c r="C21" s="478" t="n">
        <f aca="false">16*'NYISO G'!B26</f>
        <v>0</v>
      </c>
      <c r="D21" s="478" t="n">
        <f aca="false">16*'NYISO J'!B26</f>
        <v>0</v>
      </c>
      <c r="E21" s="478" t="n">
        <f aca="false">16*NEPOOL!B26</f>
        <v>0</v>
      </c>
      <c r="F21" s="478" t="n">
        <f aca="false">16*PJM!B26</f>
        <v>0</v>
      </c>
      <c r="G21" s="478" t="n">
        <f aca="false">16*'NYISO A'!C26</f>
        <v>0</v>
      </c>
      <c r="H21" s="478" t="n">
        <f aca="false">16*'NYISO G'!C26</f>
        <v>0</v>
      </c>
      <c r="I21" s="478" t="n">
        <f aca="false">16*'NYISO J'!C26</f>
        <v>0</v>
      </c>
      <c r="J21" s="478" t="n">
        <f aca="false">16*NEPOOL!C26</f>
        <v>0</v>
      </c>
      <c r="K21" s="478" t="n">
        <f aca="false">16*PJM!C26</f>
        <v>0</v>
      </c>
      <c r="L21" s="481" t="n">
        <f aca="false">+'NYISO A'!I26</f>
        <v>0</v>
      </c>
      <c r="M21" s="481" t="n">
        <f aca="false">+'NYISO G'!I26</f>
        <v>0</v>
      </c>
      <c r="N21" s="481" t="n">
        <f aca="false">+'NYISO J'!I26</f>
        <v>0</v>
      </c>
      <c r="O21" s="481" t="n">
        <f aca="false">+NEPOOL!I26</f>
        <v>0</v>
      </c>
      <c r="P21" s="481" t="n">
        <f aca="false">+PJM!I26</f>
        <v>0</v>
      </c>
      <c r="Q21" s="481" t="n">
        <f aca="false">+'NYISO A'!J26</f>
        <v>0</v>
      </c>
      <c r="R21" s="481" t="n">
        <f aca="false">+'NYISO G'!J26</f>
        <v>0</v>
      </c>
      <c r="S21" s="481" t="n">
        <f aca="false">+'NYISO J'!J26</f>
        <v>0</v>
      </c>
      <c r="T21" s="481" t="n">
        <f aca="false">+NEPOOL!J26</f>
        <v>0</v>
      </c>
      <c r="U21" s="481" t="n">
        <f aca="false">+PJM!J26</f>
        <v>0</v>
      </c>
      <c r="AH21" s="476" t="n">
        <v>37288</v>
      </c>
      <c r="AI21" s="466" t="n">
        <v>20</v>
      </c>
      <c r="AJ21" s="466" t="n">
        <v>4</v>
      </c>
      <c r="AK21" s="466" t="n">
        <v>4</v>
      </c>
      <c r="AL21" s="466" t="n">
        <v>0</v>
      </c>
    </row>
    <row r="22" customFormat="false" ht="12.75" hidden="false" customHeight="false" outlineLevel="0" collapsed="false">
      <c r="A22" s="482" t="n">
        <f aca="false">+'NYISO A'!A27</f>
        <v>37150</v>
      </c>
      <c r="B22" s="478" t="n">
        <f aca="false">16*'NYISO A'!B27</f>
        <v>0</v>
      </c>
      <c r="C22" s="478" t="n">
        <f aca="false">16*'NYISO G'!B27</f>
        <v>0</v>
      </c>
      <c r="D22" s="478" t="n">
        <f aca="false">16*'NYISO J'!B27</f>
        <v>0</v>
      </c>
      <c r="E22" s="478" t="n">
        <f aca="false">16*NEPOOL!B27</f>
        <v>0</v>
      </c>
      <c r="F22" s="478" t="n">
        <f aca="false">16*PJM!B27</f>
        <v>0</v>
      </c>
      <c r="G22" s="478" t="n">
        <f aca="false">16*'NYISO A'!C27</f>
        <v>0</v>
      </c>
      <c r="H22" s="478" t="n">
        <f aca="false">16*'NYISO G'!C27</f>
        <v>0</v>
      </c>
      <c r="I22" s="478" t="n">
        <f aca="false">16*'NYISO J'!C27</f>
        <v>0</v>
      </c>
      <c r="J22" s="478" t="n">
        <f aca="false">16*NEPOOL!C27</f>
        <v>0</v>
      </c>
      <c r="K22" s="478" t="n">
        <f aca="false">16*PJM!C27</f>
        <v>0</v>
      </c>
      <c r="L22" s="481" t="n">
        <f aca="false">+'NYISO A'!I27</f>
        <v>0</v>
      </c>
      <c r="M22" s="481" t="n">
        <f aca="false">+'NYISO G'!I27</f>
        <v>0</v>
      </c>
      <c r="N22" s="481" t="n">
        <f aca="false">+'NYISO J'!I27</f>
        <v>0</v>
      </c>
      <c r="O22" s="481" t="n">
        <f aca="false">+NEPOOL!I27</f>
        <v>0</v>
      </c>
      <c r="P22" s="481" t="n">
        <f aca="false">+PJM!I27</f>
        <v>0</v>
      </c>
      <c r="Q22" s="481" t="n">
        <f aca="false">+'NYISO A'!J27</f>
        <v>0</v>
      </c>
      <c r="R22" s="481" t="n">
        <f aca="false">+'NYISO G'!J27</f>
        <v>0</v>
      </c>
      <c r="S22" s="481" t="n">
        <f aca="false">+'NYISO J'!J27</f>
        <v>0</v>
      </c>
      <c r="T22" s="481" t="n">
        <f aca="false">+NEPOOL!J27</f>
        <v>0</v>
      </c>
      <c r="U22" s="481" t="n">
        <f aca="false">+PJM!J27</f>
        <v>0</v>
      </c>
      <c r="AH22" s="476" t="n">
        <v>37316</v>
      </c>
      <c r="AI22" s="466" t="n">
        <v>21</v>
      </c>
      <c r="AJ22" s="466" t="n">
        <v>5</v>
      </c>
      <c r="AK22" s="466" t="n">
        <v>5</v>
      </c>
      <c r="AL22" s="466" t="n">
        <v>0</v>
      </c>
    </row>
    <row r="23" customFormat="false" ht="12.75" hidden="false" customHeight="false" outlineLevel="0" collapsed="false">
      <c r="A23" s="482" t="n">
        <f aca="false">+'NYISO A'!A28</f>
        <v>37151</v>
      </c>
      <c r="B23" s="478" t="n">
        <f aca="false">16*'NYISO A'!B28</f>
        <v>-3985.7578125</v>
      </c>
      <c r="C23" s="478" t="n">
        <f aca="false">16*'NYISO G'!B28</f>
        <v>1.99999999200839E-012</v>
      </c>
      <c r="D23" s="478" t="n">
        <f aca="false">16*'NYISO J'!B28</f>
        <v>1195.72729492188</v>
      </c>
      <c r="E23" s="478" t="n">
        <f aca="false">16*NEPOOL!B28</f>
        <v>-3183.96411132813</v>
      </c>
      <c r="F23" s="478" t="n">
        <f aca="false">16*PJM!B28</f>
        <v>-4.99999998002099E-012</v>
      </c>
      <c r="G23" s="478" t="n">
        <f aca="false">16*'NYISO A'!C28</f>
        <v>0</v>
      </c>
      <c r="H23" s="478" t="n">
        <f aca="false">16*'NYISO G'!C28</f>
        <v>0</v>
      </c>
      <c r="I23" s="478" t="n">
        <f aca="false">16*'NYISO J'!C28</f>
        <v>0</v>
      </c>
      <c r="J23" s="478" t="n">
        <f aca="false">16*NEPOOL!C28</f>
        <v>0</v>
      </c>
      <c r="K23" s="478" t="n">
        <f aca="false">16*PJM!C28</f>
        <v>0</v>
      </c>
      <c r="L23" s="481" t="n">
        <f aca="false">+'NYISO A'!I28</f>
        <v>-1992.87890625</v>
      </c>
      <c r="M23" s="481" t="n">
        <f aca="false">+'NYISO G'!I28</f>
        <v>0</v>
      </c>
      <c r="N23" s="481" t="n">
        <f aca="false">+'NYISO J'!I28</f>
        <v>0</v>
      </c>
      <c r="O23" s="481" t="n">
        <f aca="false">+NEPOOL!I28</f>
        <v>-541.273898925787</v>
      </c>
      <c r="P23" s="481" t="n">
        <f aca="false">+PJM!I28</f>
        <v>-5.49998662658271E-012</v>
      </c>
      <c r="Q23" s="481" t="n">
        <f aca="false">+'NYISO A'!J28</f>
        <v>0</v>
      </c>
      <c r="R23" s="481" t="n">
        <f aca="false">+'NYISO G'!J28</f>
        <v>0</v>
      </c>
      <c r="S23" s="481" t="n">
        <f aca="false">+'NYISO J'!J28</f>
        <v>0</v>
      </c>
      <c r="T23" s="481" t="n">
        <f aca="false">+NEPOOL!J28</f>
        <v>0</v>
      </c>
      <c r="U23" s="481" t="n">
        <f aca="false">+PJM!J28</f>
        <v>0</v>
      </c>
      <c r="AH23" s="476" t="n">
        <v>37347</v>
      </c>
      <c r="AI23" s="466" t="n">
        <v>22</v>
      </c>
      <c r="AJ23" s="466" t="n">
        <v>4</v>
      </c>
      <c r="AK23" s="466" t="n">
        <v>4</v>
      </c>
      <c r="AL23" s="466" t="n">
        <v>0</v>
      </c>
    </row>
    <row r="24" customFormat="false" ht="12.75" hidden="false" customHeight="false" outlineLevel="0" collapsed="false">
      <c r="A24" s="482" t="n">
        <f aca="false">+'NYISO A'!A29</f>
        <v>37152</v>
      </c>
      <c r="B24" s="478" t="n">
        <f aca="false">16*'NYISO A'!B29</f>
        <v>-3985.7578125</v>
      </c>
      <c r="C24" s="478" t="n">
        <f aca="false">16*'NYISO G'!B29</f>
        <v>0</v>
      </c>
      <c r="D24" s="478" t="n">
        <f aca="false">16*'NYISO J'!B29</f>
        <v>1195.72729492188</v>
      </c>
      <c r="E24" s="478" t="n">
        <f aca="false">16*NEPOOL!B29</f>
        <v>-3183.96411132813</v>
      </c>
      <c r="F24" s="478" t="n">
        <f aca="false">16*PJM!B29</f>
        <v>-4.99999998002099E-012</v>
      </c>
      <c r="G24" s="478" t="n">
        <f aca="false">16*'NYISO A'!C29</f>
        <v>0</v>
      </c>
      <c r="H24" s="478" t="n">
        <f aca="false">16*'NYISO G'!C29</f>
        <v>0</v>
      </c>
      <c r="I24" s="478" t="n">
        <f aca="false">16*'NYISO J'!C29</f>
        <v>0</v>
      </c>
      <c r="J24" s="478" t="n">
        <f aca="false">16*NEPOOL!C29</f>
        <v>0</v>
      </c>
      <c r="K24" s="478" t="n">
        <f aca="false">16*PJM!C29</f>
        <v>0</v>
      </c>
      <c r="L24" s="481" t="n">
        <f aca="false">+'NYISO A'!I29</f>
        <v>-1992.87890625</v>
      </c>
      <c r="M24" s="481" t="n">
        <f aca="false">+'NYISO G'!I29</f>
        <v>0</v>
      </c>
      <c r="N24" s="481" t="n">
        <f aca="false">+'NYISO J'!I29</f>
        <v>0</v>
      </c>
      <c r="O24" s="481" t="n">
        <f aca="false">+NEPOOL!I29</f>
        <v>-541.273898925787</v>
      </c>
      <c r="P24" s="481" t="n">
        <f aca="false">+PJM!I29</f>
        <v>-2.49998663857011E-012</v>
      </c>
      <c r="Q24" s="481" t="n">
        <f aca="false">+'NYISO A'!J29</f>
        <v>0</v>
      </c>
      <c r="R24" s="481" t="n">
        <f aca="false">+'NYISO G'!J29</f>
        <v>0</v>
      </c>
      <c r="S24" s="481" t="n">
        <f aca="false">+'NYISO J'!J29</f>
        <v>0</v>
      </c>
      <c r="T24" s="481" t="n">
        <f aca="false">+NEPOOL!J29</f>
        <v>0</v>
      </c>
      <c r="U24" s="481" t="n">
        <f aca="false">+PJM!J29</f>
        <v>0</v>
      </c>
      <c r="AH24" s="476" t="n">
        <v>37377</v>
      </c>
      <c r="AI24" s="466" t="n">
        <v>22</v>
      </c>
      <c r="AJ24" s="466" t="n">
        <v>4</v>
      </c>
      <c r="AK24" s="466" t="n">
        <v>5</v>
      </c>
      <c r="AL24" s="466" t="n">
        <v>1</v>
      </c>
    </row>
    <row r="25" customFormat="false" ht="12.75" hidden="false" customHeight="false" outlineLevel="0" collapsed="false">
      <c r="A25" s="482" t="n">
        <f aca="false">+'NYISO A'!A30</f>
        <v>37153</v>
      </c>
      <c r="B25" s="478" t="n">
        <f aca="false">16*'NYISO A'!B30</f>
        <v>-3985.7578125</v>
      </c>
      <c r="C25" s="478" t="n">
        <f aca="false">16*'NYISO G'!B30</f>
        <v>3.99999998401679E-012</v>
      </c>
      <c r="D25" s="478" t="n">
        <f aca="false">16*'NYISO J'!B30</f>
        <v>1195.72729492188</v>
      </c>
      <c r="E25" s="478" t="n">
        <f aca="false">16*NEPOOL!B30</f>
        <v>-3183.96411132813</v>
      </c>
      <c r="F25" s="478" t="n">
        <f aca="false">16*PJM!B30</f>
        <v>-1.19999999520504E-011</v>
      </c>
      <c r="G25" s="478" t="n">
        <f aca="false">16*'NYISO A'!C30</f>
        <v>0</v>
      </c>
      <c r="H25" s="478" t="n">
        <f aca="false">16*'NYISO G'!C30</f>
        <v>0</v>
      </c>
      <c r="I25" s="478" t="n">
        <f aca="false">16*'NYISO J'!C30</f>
        <v>0</v>
      </c>
      <c r="J25" s="478" t="n">
        <f aca="false">16*NEPOOL!C30</f>
        <v>0</v>
      </c>
      <c r="K25" s="478" t="n">
        <f aca="false">16*PJM!C30</f>
        <v>0</v>
      </c>
      <c r="L25" s="481" t="n">
        <f aca="false">+'NYISO A'!I30</f>
        <v>-1992.87890625</v>
      </c>
      <c r="M25" s="481" t="n">
        <f aca="false">+'NYISO G'!I30</f>
        <v>0</v>
      </c>
      <c r="N25" s="481" t="n">
        <f aca="false">+'NYISO J'!I30</f>
        <v>0</v>
      </c>
      <c r="O25" s="481" t="n">
        <f aca="false">+NEPOOL!I30</f>
        <v>-541.273898925787</v>
      </c>
      <c r="P25" s="481" t="n">
        <f aca="false">+PJM!I30</f>
        <v>-5.99996793256827E-012</v>
      </c>
      <c r="Q25" s="481" t="n">
        <f aca="false">+'NYISO A'!J30</f>
        <v>0</v>
      </c>
      <c r="R25" s="481" t="n">
        <f aca="false">+'NYISO G'!J30</f>
        <v>0</v>
      </c>
      <c r="S25" s="481" t="n">
        <f aca="false">+'NYISO J'!J30</f>
        <v>0</v>
      </c>
      <c r="T25" s="481" t="n">
        <f aca="false">+NEPOOL!J30</f>
        <v>0</v>
      </c>
      <c r="U25" s="481" t="n">
        <f aca="false">+PJM!J30</f>
        <v>0</v>
      </c>
      <c r="AH25" s="476" t="n">
        <v>37408</v>
      </c>
      <c r="AI25" s="466" t="n">
        <v>20</v>
      </c>
      <c r="AJ25" s="466" t="n">
        <v>5</v>
      </c>
      <c r="AK25" s="466" t="n">
        <v>5</v>
      </c>
      <c r="AL25" s="466" t="n">
        <v>0</v>
      </c>
    </row>
    <row r="26" customFormat="false" ht="12.75" hidden="false" customHeight="false" outlineLevel="0" collapsed="false">
      <c r="A26" s="482" t="n">
        <f aca="false">+'NYISO A'!A31</f>
        <v>37154</v>
      </c>
      <c r="B26" s="478" t="n">
        <f aca="false">16*'NYISO A'!B31</f>
        <v>-3985.7578125</v>
      </c>
      <c r="C26" s="478" t="n">
        <f aca="false">16*'NYISO G'!B31</f>
        <v>3.99999998401679E-012</v>
      </c>
      <c r="D26" s="478" t="n">
        <f aca="false">16*'NYISO J'!B31</f>
        <v>1195.72729492188</v>
      </c>
      <c r="E26" s="478" t="n">
        <f aca="false">16*NEPOOL!B31</f>
        <v>-3183.96411132813</v>
      </c>
      <c r="F26" s="478" t="n">
        <f aca="false">16*PJM!B31</f>
        <v>-1.19999999520504E-011</v>
      </c>
      <c r="G26" s="478" t="n">
        <f aca="false">16*'NYISO A'!C31</f>
        <v>0</v>
      </c>
      <c r="H26" s="478" t="n">
        <f aca="false">16*'NYISO G'!C31</f>
        <v>0</v>
      </c>
      <c r="I26" s="478" t="n">
        <f aca="false">16*'NYISO J'!C31</f>
        <v>0</v>
      </c>
      <c r="J26" s="478" t="n">
        <f aca="false">16*NEPOOL!C31</f>
        <v>0</v>
      </c>
      <c r="K26" s="478" t="n">
        <f aca="false">16*PJM!C31</f>
        <v>0</v>
      </c>
      <c r="L26" s="481" t="n">
        <f aca="false">+'NYISO A'!I31</f>
        <v>-1992.87890625</v>
      </c>
      <c r="M26" s="481" t="n">
        <f aca="false">+'NYISO G'!I31</f>
        <v>0</v>
      </c>
      <c r="N26" s="481" t="n">
        <f aca="false">+'NYISO J'!I31</f>
        <v>0</v>
      </c>
      <c r="O26" s="481" t="n">
        <f aca="false">+NEPOOL!I31</f>
        <v>-541.273898925787</v>
      </c>
      <c r="P26" s="481" t="n">
        <f aca="false">+PJM!I31</f>
        <v>-5.99996793256827E-012</v>
      </c>
      <c r="Q26" s="481" t="n">
        <f aca="false">+'NYISO A'!J31</f>
        <v>0</v>
      </c>
      <c r="R26" s="481" t="n">
        <f aca="false">+'NYISO G'!J31</f>
        <v>0</v>
      </c>
      <c r="S26" s="481" t="n">
        <f aca="false">+'NYISO J'!J31</f>
        <v>0</v>
      </c>
      <c r="T26" s="481" t="n">
        <f aca="false">+NEPOOL!J31</f>
        <v>0</v>
      </c>
      <c r="U26" s="481" t="n">
        <f aca="false">+PJM!J31</f>
        <v>0</v>
      </c>
      <c r="AH26" s="476" t="n">
        <v>37438</v>
      </c>
      <c r="AI26" s="466" t="n">
        <v>22</v>
      </c>
      <c r="AJ26" s="466" t="n">
        <v>4</v>
      </c>
      <c r="AK26" s="466" t="n">
        <v>5</v>
      </c>
      <c r="AL26" s="466" t="n">
        <v>1</v>
      </c>
    </row>
    <row r="27" customFormat="false" ht="12.75" hidden="false" customHeight="false" outlineLevel="0" collapsed="false">
      <c r="A27" s="482" t="n">
        <f aca="false">+'NYISO A'!A32</f>
        <v>37155</v>
      </c>
      <c r="B27" s="478" t="n">
        <f aca="false">16*'NYISO A'!B32</f>
        <v>-3985.7578125</v>
      </c>
      <c r="C27" s="478" t="n">
        <f aca="false">16*'NYISO G'!B32</f>
        <v>3.99999998401679E-012</v>
      </c>
      <c r="D27" s="478" t="n">
        <f aca="false">16*'NYISO J'!B32</f>
        <v>1195.72729492188</v>
      </c>
      <c r="E27" s="478" t="n">
        <f aca="false">16*NEPOOL!B32</f>
        <v>-3183.96411132813</v>
      </c>
      <c r="F27" s="478" t="n">
        <f aca="false">16*PJM!B32</f>
        <v>-1.99999999200839E-012</v>
      </c>
      <c r="G27" s="478" t="n">
        <f aca="false">16*'NYISO A'!C32</f>
        <v>0</v>
      </c>
      <c r="H27" s="478" t="n">
        <f aca="false">16*'NYISO G'!C32</f>
        <v>0</v>
      </c>
      <c r="I27" s="478" t="n">
        <f aca="false">16*'NYISO J'!C32</f>
        <v>0</v>
      </c>
      <c r="J27" s="478" t="n">
        <f aca="false">16*NEPOOL!C32</f>
        <v>0</v>
      </c>
      <c r="K27" s="478" t="n">
        <f aca="false">16*PJM!C32</f>
        <v>0</v>
      </c>
      <c r="L27" s="481" t="n">
        <f aca="false">+'NYISO A'!I32</f>
        <v>-1992.87890625</v>
      </c>
      <c r="M27" s="481" t="n">
        <f aca="false">+'NYISO G'!I32</f>
        <v>0</v>
      </c>
      <c r="N27" s="481" t="n">
        <f aca="false">+'NYISO J'!I32</f>
        <v>0</v>
      </c>
      <c r="O27" s="481" t="n">
        <f aca="false">+NEPOOL!I32</f>
        <v>-541.273898925787</v>
      </c>
      <c r="P27" s="481" t="n">
        <f aca="false">+PJM!I32</f>
        <v>-9.99994655428045E-013</v>
      </c>
      <c r="Q27" s="481" t="n">
        <f aca="false">+'NYISO A'!J32</f>
        <v>0</v>
      </c>
      <c r="R27" s="481" t="n">
        <f aca="false">+'NYISO G'!J32</f>
        <v>0</v>
      </c>
      <c r="S27" s="481" t="n">
        <f aca="false">+'NYISO J'!J32</f>
        <v>0</v>
      </c>
      <c r="T27" s="481" t="n">
        <f aca="false">+NEPOOL!J32</f>
        <v>0</v>
      </c>
      <c r="U27" s="481" t="n">
        <f aca="false">+PJM!J32</f>
        <v>0</v>
      </c>
      <c r="AH27" s="476" t="n">
        <v>37469</v>
      </c>
      <c r="AI27" s="466" t="n">
        <v>22</v>
      </c>
      <c r="AJ27" s="466" t="n">
        <v>5</v>
      </c>
      <c r="AK27" s="466" t="n">
        <v>4</v>
      </c>
      <c r="AL27" s="466" t="n">
        <v>0</v>
      </c>
    </row>
    <row r="28" customFormat="false" ht="12.75" hidden="false" customHeight="false" outlineLevel="0" collapsed="false">
      <c r="A28" s="482" t="n">
        <f aca="false">+'NYISO A'!A33</f>
        <v>37156</v>
      </c>
      <c r="B28" s="478" t="n">
        <f aca="false">16*'NYISO A'!B33</f>
        <v>0</v>
      </c>
      <c r="C28" s="478" t="n">
        <f aca="false">16*'NYISO G'!B33</f>
        <v>0</v>
      </c>
      <c r="D28" s="478" t="n">
        <f aca="false">16*'NYISO J'!B33</f>
        <v>0</v>
      </c>
      <c r="E28" s="478" t="n">
        <f aca="false">16*NEPOOL!B33</f>
        <v>0</v>
      </c>
      <c r="F28" s="478" t="n">
        <f aca="false">16*PJM!B33</f>
        <v>0</v>
      </c>
      <c r="G28" s="478" t="n">
        <f aca="false">16*'NYISO A'!C33</f>
        <v>0</v>
      </c>
      <c r="H28" s="478" t="n">
        <f aca="false">16*'NYISO G'!C33</f>
        <v>0</v>
      </c>
      <c r="I28" s="478" t="n">
        <f aca="false">16*'NYISO J'!C33</f>
        <v>0</v>
      </c>
      <c r="J28" s="478" t="n">
        <f aca="false">16*NEPOOL!C33</f>
        <v>0</v>
      </c>
      <c r="K28" s="478" t="n">
        <f aca="false">16*PJM!C33</f>
        <v>0</v>
      </c>
      <c r="L28" s="481" t="n">
        <f aca="false">+'NYISO A'!I33</f>
        <v>0</v>
      </c>
      <c r="M28" s="481" t="n">
        <f aca="false">+'NYISO G'!I33</f>
        <v>0</v>
      </c>
      <c r="N28" s="481" t="n">
        <f aca="false">+'NYISO J'!I33</f>
        <v>0</v>
      </c>
      <c r="O28" s="481" t="n">
        <f aca="false">+NEPOOL!I33</f>
        <v>0</v>
      </c>
      <c r="P28" s="481" t="n">
        <f aca="false">+PJM!I33</f>
        <v>0</v>
      </c>
      <c r="Q28" s="481" t="n">
        <f aca="false">+'NYISO A'!J33</f>
        <v>0</v>
      </c>
      <c r="R28" s="481" t="n">
        <f aca="false">+'NYISO G'!J33</f>
        <v>0</v>
      </c>
      <c r="S28" s="481" t="n">
        <f aca="false">+'NYISO J'!J33</f>
        <v>0</v>
      </c>
      <c r="T28" s="481" t="n">
        <f aca="false">+NEPOOL!J33</f>
        <v>0</v>
      </c>
      <c r="U28" s="481" t="n">
        <f aca="false">+PJM!J33</f>
        <v>0</v>
      </c>
      <c r="AH28" s="476" t="n">
        <v>37500</v>
      </c>
      <c r="AI28" s="466" t="n">
        <v>20</v>
      </c>
      <c r="AJ28" s="466" t="n">
        <v>4</v>
      </c>
      <c r="AK28" s="466" t="n">
        <v>6</v>
      </c>
      <c r="AL28" s="466" t="n">
        <v>1</v>
      </c>
    </row>
    <row r="29" customFormat="false" ht="12.75" hidden="false" customHeight="false" outlineLevel="0" collapsed="false">
      <c r="A29" s="482" t="n">
        <f aca="false">+'NYISO A'!A34</f>
        <v>37157</v>
      </c>
      <c r="B29" s="478" t="n">
        <f aca="false">16*'NYISO A'!B34</f>
        <v>0</v>
      </c>
      <c r="C29" s="478" t="n">
        <f aca="false">16*'NYISO G'!B34</f>
        <v>0</v>
      </c>
      <c r="D29" s="478" t="n">
        <f aca="false">16*'NYISO J'!B34</f>
        <v>0</v>
      </c>
      <c r="E29" s="478" t="n">
        <f aca="false">16*NEPOOL!B34</f>
        <v>0</v>
      </c>
      <c r="F29" s="478" t="n">
        <f aca="false">16*PJM!B34</f>
        <v>0</v>
      </c>
      <c r="G29" s="478" t="n">
        <f aca="false">16*'NYISO A'!C34</f>
        <v>0</v>
      </c>
      <c r="H29" s="478" t="n">
        <f aca="false">16*'NYISO G'!C34</f>
        <v>0</v>
      </c>
      <c r="I29" s="478" t="n">
        <f aca="false">16*'NYISO J'!C34</f>
        <v>0</v>
      </c>
      <c r="J29" s="478" t="n">
        <f aca="false">16*NEPOOL!C34</f>
        <v>0</v>
      </c>
      <c r="K29" s="478" t="n">
        <f aca="false">16*PJM!C34</f>
        <v>0</v>
      </c>
      <c r="L29" s="481" t="n">
        <f aca="false">+'NYISO A'!I34</f>
        <v>0</v>
      </c>
      <c r="M29" s="481" t="n">
        <f aca="false">+'NYISO G'!I34</f>
        <v>0</v>
      </c>
      <c r="N29" s="481" t="n">
        <f aca="false">+'NYISO J'!I34</f>
        <v>0</v>
      </c>
      <c r="O29" s="481" t="n">
        <f aca="false">+NEPOOL!I34</f>
        <v>0</v>
      </c>
      <c r="P29" s="481" t="n">
        <f aca="false">+PJM!I34</f>
        <v>0</v>
      </c>
      <c r="Q29" s="481" t="n">
        <f aca="false">+'NYISO A'!J34</f>
        <v>0</v>
      </c>
      <c r="R29" s="481" t="n">
        <f aca="false">+'NYISO G'!J34</f>
        <v>0</v>
      </c>
      <c r="S29" s="481" t="n">
        <f aca="false">+'NYISO J'!J34</f>
        <v>0</v>
      </c>
      <c r="T29" s="481" t="n">
        <f aca="false">+NEPOOL!J34</f>
        <v>0</v>
      </c>
      <c r="U29" s="481" t="n">
        <f aca="false">+PJM!J34</f>
        <v>0</v>
      </c>
      <c r="AH29" s="476" t="n">
        <v>37530</v>
      </c>
      <c r="AI29" s="466" t="n">
        <v>23</v>
      </c>
      <c r="AJ29" s="466" t="n">
        <v>4</v>
      </c>
      <c r="AK29" s="466" t="n">
        <v>4</v>
      </c>
      <c r="AL29" s="466" t="n">
        <v>0</v>
      </c>
    </row>
    <row r="30" customFormat="false" ht="12.75" hidden="false" customHeight="false" outlineLevel="0" collapsed="false">
      <c r="A30" s="482" t="n">
        <f aca="false">+'NYISO A'!A35</f>
        <v>37158</v>
      </c>
      <c r="B30" s="478" t="n">
        <f aca="false">16*'NYISO A'!B35</f>
        <v>-3985.7578125</v>
      </c>
      <c r="C30" s="478" t="n">
        <f aca="false">16*'NYISO G'!B35</f>
        <v>3.99999998401679E-012</v>
      </c>
      <c r="D30" s="478" t="n">
        <f aca="false">16*'NYISO J'!B35</f>
        <v>1195.72729492188</v>
      </c>
      <c r="E30" s="478" t="n">
        <f aca="false">16*NEPOOL!B35</f>
        <v>-3183.96411132813</v>
      </c>
      <c r="F30" s="478" t="n">
        <f aca="false">16*PJM!B35</f>
        <v>-1.99999999200839E-012</v>
      </c>
      <c r="G30" s="478" t="n">
        <f aca="false">16*'NYISO A'!C35</f>
        <v>0</v>
      </c>
      <c r="H30" s="478" t="n">
        <f aca="false">16*'NYISO G'!C35</f>
        <v>0</v>
      </c>
      <c r="I30" s="478" t="n">
        <f aca="false">16*'NYISO J'!C35</f>
        <v>0</v>
      </c>
      <c r="J30" s="478" t="n">
        <f aca="false">16*NEPOOL!C35</f>
        <v>0</v>
      </c>
      <c r="K30" s="478" t="n">
        <f aca="false">16*PJM!C35</f>
        <v>0</v>
      </c>
      <c r="L30" s="481" t="n">
        <f aca="false">+'NYISO A'!I35</f>
        <v>-1992.87890625</v>
      </c>
      <c r="M30" s="481" t="n">
        <f aca="false">+'NYISO G'!I35</f>
        <v>0</v>
      </c>
      <c r="N30" s="481" t="n">
        <f aca="false">+'NYISO J'!I35</f>
        <v>0</v>
      </c>
      <c r="O30" s="481" t="n">
        <f aca="false">+NEPOOL!I35</f>
        <v>-3725.23801025391</v>
      </c>
      <c r="P30" s="481" t="n">
        <f aca="false">+PJM!I35</f>
        <v>-1.9999938884928E-012</v>
      </c>
      <c r="Q30" s="481" t="n">
        <f aca="false">+'NYISO A'!J35</f>
        <v>0</v>
      </c>
      <c r="R30" s="481" t="n">
        <f aca="false">+'NYISO G'!J35</f>
        <v>0</v>
      </c>
      <c r="S30" s="481" t="n">
        <f aca="false">+'NYISO J'!J35</f>
        <v>0</v>
      </c>
      <c r="T30" s="481" t="n">
        <f aca="false">+NEPOOL!J35</f>
        <v>0</v>
      </c>
      <c r="U30" s="481" t="n">
        <f aca="false">+PJM!J35</f>
        <v>0</v>
      </c>
      <c r="AH30" s="476" t="n">
        <v>37561</v>
      </c>
      <c r="AI30" s="466" t="n">
        <v>20</v>
      </c>
      <c r="AJ30" s="466" t="n">
        <v>5</v>
      </c>
      <c r="AK30" s="466" t="n">
        <v>5</v>
      </c>
      <c r="AL30" s="466" t="n">
        <v>1</v>
      </c>
    </row>
    <row r="31" customFormat="false" ht="12.75" hidden="false" customHeight="false" outlineLevel="0" collapsed="false">
      <c r="A31" s="482" t="n">
        <f aca="false">+'NYISO A'!A36</f>
        <v>37159</v>
      </c>
      <c r="B31" s="478" t="n">
        <f aca="false">16*'NYISO A'!B36</f>
        <v>-3985.7578125</v>
      </c>
      <c r="C31" s="478" t="n">
        <f aca="false">16*'NYISO G'!B36</f>
        <v>3.99999998401679E-012</v>
      </c>
      <c r="D31" s="478" t="n">
        <f aca="false">16*'NYISO J'!B36</f>
        <v>1195.72729492188</v>
      </c>
      <c r="E31" s="478" t="n">
        <f aca="false">16*NEPOOL!B36</f>
        <v>-3183.96411132813</v>
      </c>
      <c r="F31" s="478" t="n">
        <f aca="false">16*PJM!B36</f>
        <v>-1.99999999200839E-012</v>
      </c>
      <c r="G31" s="478" t="n">
        <f aca="false">16*'NYISO A'!C36</f>
        <v>0</v>
      </c>
      <c r="H31" s="478" t="n">
        <f aca="false">16*'NYISO G'!C36</f>
        <v>0</v>
      </c>
      <c r="I31" s="478" t="n">
        <f aca="false">16*'NYISO J'!C36</f>
        <v>0</v>
      </c>
      <c r="J31" s="478" t="n">
        <f aca="false">16*NEPOOL!C36</f>
        <v>0</v>
      </c>
      <c r="K31" s="478" t="n">
        <f aca="false">16*PJM!C36</f>
        <v>0</v>
      </c>
      <c r="L31" s="481" t="n">
        <f aca="false">+'NYISO A'!I36</f>
        <v>-1992.87890625</v>
      </c>
      <c r="M31" s="481" t="n">
        <f aca="false">+'NYISO G'!I36</f>
        <v>0</v>
      </c>
      <c r="N31" s="481" t="n">
        <f aca="false">+'NYISO J'!I36</f>
        <v>0</v>
      </c>
      <c r="O31" s="481" t="n">
        <f aca="false">+NEPOOL!I36</f>
        <v>-3725.23801025391</v>
      </c>
      <c r="P31" s="481" t="n">
        <f aca="false">+PJM!I36</f>
        <v>-7.99993893287756E-013</v>
      </c>
      <c r="Q31" s="481" t="n">
        <f aca="false">+'NYISO A'!J36</f>
        <v>0</v>
      </c>
      <c r="R31" s="481" t="n">
        <f aca="false">+'NYISO G'!J36</f>
        <v>0</v>
      </c>
      <c r="S31" s="481" t="n">
        <f aca="false">+'NYISO J'!J36</f>
        <v>0</v>
      </c>
      <c r="T31" s="481" t="n">
        <f aca="false">+NEPOOL!J36</f>
        <v>0</v>
      </c>
      <c r="U31" s="481" t="n">
        <f aca="false">+PJM!J36</f>
        <v>0</v>
      </c>
      <c r="AH31" s="476" t="n">
        <v>37591</v>
      </c>
      <c r="AI31" s="466" t="n">
        <v>21</v>
      </c>
      <c r="AJ31" s="466" t="n">
        <v>4</v>
      </c>
      <c r="AK31" s="466" t="n">
        <v>6</v>
      </c>
      <c r="AL31" s="466" t="n">
        <v>1</v>
      </c>
    </row>
    <row r="32" customFormat="false" ht="12.75" hidden="false" customHeight="false" outlineLevel="0" collapsed="false">
      <c r="A32" s="482" t="n">
        <f aca="false">+'NYISO A'!A37</f>
        <v>37160</v>
      </c>
      <c r="B32" s="478" t="n">
        <f aca="false">16*'NYISO A'!B37</f>
        <v>-3985.7578125</v>
      </c>
      <c r="C32" s="478" t="n">
        <f aca="false">16*'NYISO G'!B37</f>
        <v>3.99999998401679E-012</v>
      </c>
      <c r="D32" s="478" t="n">
        <f aca="false">16*'NYISO J'!B37</f>
        <v>1195.72729492188</v>
      </c>
      <c r="E32" s="478" t="n">
        <f aca="false">16*NEPOOL!B37</f>
        <v>-3183.96411132813</v>
      </c>
      <c r="F32" s="478" t="n">
        <f aca="false">16*PJM!B37</f>
        <v>-1.99999999200839E-012</v>
      </c>
      <c r="G32" s="478" t="n">
        <f aca="false">16*'NYISO A'!C37</f>
        <v>0</v>
      </c>
      <c r="H32" s="478" t="n">
        <f aca="false">16*'NYISO G'!C37</f>
        <v>0</v>
      </c>
      <c r="I32" s="478" t="n">
        <f aca="false">16*'NYISO J'!C37</f>
        <v>0</v>
      </c>
      <c r="J32" s="478" t="n">
        <f aca="false">16*NEPOOL!C37</f>
        <v>0</v>
      </c>
      <c r="K32" s="478" t="n">
        <f aca="false">16*PJM!C37</f>
        <v>0</v>
      </c>
      <c r="L32" s="481" t="n">
        <f aca="false">+'NYISO A'!I37</f>
        <v>-1992.87890625</v>
      </c>
      <c r="M32" s="481" t="n">
        <f aca="false">+'NYISO G'!I37</f>
        <v>0</v>
      </c>
      <c r="N32" s="481" t="n">
        <f aca="false">+'NYISO J'!I37</f>
        <v>0</v>
      </c>
      <c r="O32" s="481" t="n">
        <f aca="false">+NEPOOL!I37</f>
        <v>-3725.23801025391</v>
      </c>
      <c r="P32" s="481" t="n">
        <f aca="false">+PJM!I37</f>
        <v>-7.99993893287756E-013</v>
      </c>
      <c r="Q32" s="481" t="n">
        <f aca="false">+'NYISO A'!J37</f>
        <v>0</v>
      </c>
      <c r="R32" s="481" t="n">
        <f aca="false">+'NYISO G'!J37</f>
        <v>0</v>
      </c>
      <c r="S32" s="481" t="n">
        <f aca="false">+'NYISO J'!J37</f>
        <v>0</v>
      </c>
      <c r="T32" s="481" t="n">
        <f aca="false">+NEPOOL!J37</f>
        <v>0</v>
      </c>
      <c r="U32" s="481" t="n">
        <f aca="false">+PJM!J37</f>
        <v>0</v>
      </c>
    </row>
    <row r="33" customFormat="false" ht="12.75" hidden="false" customHeight="false" outlineLevel="0" collapsed="false">
      <c r="A33" s="482" t="n">
        <f aca="false">+'NYISO A'!A38</f>
        <v>37161</v>
      </c>
      <c r="B33" s="478" t="n">
        <f aca="false">16*'NYISO A'!B38</f>
        <v>-3985.7578125</v>
      </c>
      <c r="C33" s="478" t="n">
        <f aca="false">16*'NYISO G'!B38</f>
        <v>3.99999998401679E-012</v>
      </c>
      <c r="D33" s="478" t="n">
        <f aca="false">16*'NYISO J'!B38</f>
        <v>1195.72729492188</v>
      </c>
      <c r="E33" s="478" t="n">
        <f aca="false">16*NEPOOL!B38</f>
        <v>-3183.96411132813</v>
      </c>
      <c r="F33" s="478" t="n">
        <f aca="false">16*PJM!B38</f>
        <v>-1.99999999200839E-012</v>
      </c>
      <c r="G33" s="478" t="n">
        <f aca="false">16*'NYISO A'!C38</f>
        <v>0</v>
      </c>
      <c r="H33" s="478" t="n">
        <f aca="false">16*'NYISO G'!C38</f>
        <v>0</v>
      </c>
      <c r="I33" s="478" t="n">
        <f aca="false">16*'NYISO J'!C38</f>
        <v>0</v>
      </c>
      <c r="J33" s="478" t="n">
        <f aca="false">16*NEPOOL!C38</f>
        <v>0</v>
      </c>
      <c r="K33" s="478" t="n">
        <f aca="false">16*PJM!C38</f>
        <v>0</v>
      </c>
      <c r="L33" s="481" t="n">
        <f aca="false">+'NYISO A'!I38</f>
        <v>-1992.87890625</v>
      </c>
      <c r="M33" s="481" t="n">
        <f aca="false">+'NYISO G'!I38</f>
        <v>0</v>
      </c>
      <c r="N33" s="481" t="n">
        <f aca="false">+'NYISO J'!I38</f>
        <v>0</v>
      </c>
      <c r="O33" s="481" t="n">
        <f aca="false">+NEPOOL!I38</f>
        <v>-3725.23801025391</v>
      </c>
      <c r="P33" s="481" t="n">
        <f aca="false">+PJM!I38</f>
        <v>-7.99993893287756E-013</v>
      </c>
      <c r="Q33" s="481" t="n">
        <f aca="false">+'NYISO A'!J38</f>
        <v>0</v>
      </c>
      <c r="R33" s="481" t="n">
        <f aca="false">+'NYISO G'!J38</f>
        <v>0</v>
      </c>
      <c r="S33" s="481" t="n">
        <f aca="false">+'NYISO J'!J38</f>
        <v>0</v>
      </c>
      <c r="T33" s="481" t="n">
        <f aca="false">+NEPOOL!J38</f>
        <v>0</v>
      </c>
      <c r="U33" s="481" t="n">
        <f aca="false">+PJM!J38</f>
        <v>0</v>
      </c>
    </row>
    <row r="34" customFormat="false" ht="12.75" hidden="false" customHeight="false" outlineLevel="0" collapsed="false">
      <c r="A34" s="482" t="n">
        <f aca="false">+'NYISO A'!A39</f>
        <v>37162</v>
      </c>
      <c r="B34" s="478" t="n">
        <f aca="false">16*'NYISO A'!B39</f>
        <v>-3985.7578125</v>
      </c>
      <c r="C34" s="478" t="n">
        <f aca="false">16*'NYISO G'!B39</f>
        <v>3.99999998401679E-012</v>
      </c>
      <c r="D34" s="478" t="n">
        <f aca="false">16*'NYISO J'!B39</f>
        <v>1195.72729492188</v>
      </c>
      <c r="E34" s="478" t="n">
        <f aca="false">16*NEPOOL!B39</f>
        <v>-3183.96411132813</v>
      </c>
      <c r="F34" s="478" t="n">
        <f aca="false">16*PJM!B39</f>
        <v>-1.99999999200839E-012</v>
      </c>
      <c r="G34" s="478" t="n">
        <f aca="false">16*'NYISO A'!C39</f>
        <v>0</v>
      </c>
      <c r="H34" s="478" t="n">
        <f aca="false">16*'NYISO G'!C39</f>
        <v>0</v>
      </c>
      <c r="I34" s="478" t="n">
        <f aca="false">16*'NYISO J'!C39</f>
        <v>0</v>
      </c>
      <c r="J34" s="478" t="n">
        <f aca="false">16*NEPOOL!C39</f>
        <v>0</v>
      </c>
      <c r="K34" s="478" t="n">
        <f aca="false">16*PJM!C39</f>
        <v>0</v>
      </c>
      <c r="L34" s="481" t="n">
        <f aca="false">+'NYISO A'!I39</f>
        <v>-1992.87890625</v>
      </c>
      <c r="M34" s="481" t="n">
        <f aca="false">+'NYISO G'!I39</f>
        <v>0</v>
      </c>
      <c r="N34" s="481" t="n">
        <f aca="false">+'NYISO J'!I39</f>
        <v>0</v>
      </c>
      <c r="O34" s="481" t="n">
        <f aca="false">+NEPOOL!I39</f>
        <v>-3725.23801025391</v>
      </c>
      <c r="P34" s="481" t="n">
        <f aca="false">+PJM!I39</f>
        <v>-7.99993893287756E-013</v>
      </c>
      <c r="Q34" s="481" t="n">
        <f aca="false">+'NYISO A'!J39</f>
        <v>0</v>
      </c>
      <c r="R34" s="481" t="n">
        <f aca="false">+'NYISO G'!J39</f>
        <v>0</v>
      </c>
      <c r="S34" s="481" t="n">
        <f aca="false">+'NYISO J'!J39</f>
        <v>0</v>
      </c>
      <c r="T34" s="481" t="n">
        <f aca="false">+NEPOOL!J39</f>
        <v>0</v>
      </c>
      <c r="U34" s="481" t="n">
        <f aca="false">+PJM!J39</f>
        <v>0</v>
      </c>
    </row>
    <row r="35" customFormat="false" ht="12.75" hidden="false" customHeight="false" outlineLevel="0" collapsed="false">
      <c r="A35" s="482" t="n">
        <f aca="false">+'NYISO A'!A40</f>
        <v>37163</v>
      </c>
      <c r="B35" s="478" t="n">
        <f aca="false">16*'NYISO A'!B40</f>
        <v>0</v>
      </c>
      <c r="C35" s="478" t="n">
        <f aca="false">16*'NYISO G'!B40</f>
        <v>0</v>
      </c>
      <c r="D35" s="478" t="n">
        <f aca="false">16*'NYISO J'!B40</f>
        <v>0</v>
      </c>
      <c r="E35" s="478" t="n">
        <f aca="false">16*NEPOOL!B40</f>
        <v>0</v>
      </c>
      <c r="F35" s="478" t="n">
        <f aca="false">16*PJM!B40</f>
        <v>0</v>
      </c>
      <c r="G35" s="478" t="n">
        <f aca="false">16*'NYISO A'!C40</f>
        <v>0</v>
      </c>
      <c r="H35" s="478" t="n">
        <f aca="false">16*'NYISO G'!C40</f>
        <v>0</v>
      </c>
      <c r="I35" s="478" t="n">
        <f aca="false">16*'NYISO J'!C40</f>
        <v>0</v>
      </c>
      <c r="J35" s="478" t="n">
        <f aca="false">16*NEPOOL!C40</f>
        <v>0</v>
      </c>
      <c r="K35" s="478" t="n">
        <f aca="false">16*PJM!C40</f>
        <v>0</v>
      </c>
      <c r="L35" s="481" t="n">
        <f aca="false">+'NYISO A'!I40</f>
        <v>0</v>
      </c>
      <c r="M35" s="481" t="n">
        <f aca="false">+'NYISO G'!I40</f>
        <v>0</v>
      </c>
      <c r="N35" s="481" t="n">
        <f aca="false">+'NYISO J'!I40</f>
        <v>0</v>
      </c>
      <c r="O35" s="481" t="n">
        <f aca="false">+NEPOOL!I40</f>
        <v>0</v>
      </c>
      <c r="P35" s="481" t="n">
        <f aca="false">+PJM!I40</f>
        <v>0</v>
      </c>
      <c r="Q35" s="481" t="n">
        <f aca="false">+'NYISO A'!J40</f>
        <v>0</v>
      </c>
      <c r="R35" s="481" t="n">
        <f aca="false">+'NYISO G'!J40</f>
        <v>0</v>
      </c>
      <c r="S35" s="481" t="n">
        <f aca="false">+'NYISO J'!J40</f>
        <v>0</v>
      </c>
      <c r="T35" s="481" t="n">
        <f aca="false">+NEPOOL!J40</f>
        <v>0</v>
      </c>
      <c r="U35" s="481" t="n">
        <f aca="false">+PJM!J40</f>
        <v>0</v>
      </c>
    </row>
    <row r="36" customFormat="false" ht="12.75" hidden="false" customHeight="false" outlineLevel="0" collapsed="false">
      <c r="A36" s="482" t="n">
        <f aca="false">+'NYISO A'!A41</f>
        <v>37164</v>
      </c>
      <c r="B36" s="478" t="n">
        <f aca="false">16*'NYISO A'!B41</f>
        <v>0</v>
      </c>
      <c r="C36" s="478" t="n">
        <f aca="false">16*'NYISO G'!B41</f>
        <v>0</v>
      </c>
      <c r="D36" s="478" t="n">
        <f aca="false">16*'NYISO J'!B41</f>
        <v>0</v>
      </c>
      <c r="E36" s="478" t="n">
        <f aca="false">16*NEPOOL!B41</f>
        <v>0</v>
      </c>
      <c r="F36" s="478" t="n">
        <f aca="false">16*PJM!B41</f>
        <v>0</v>
      </c>
      <c r="G36" s="478" t="n">
        <f aca="false">16*'NYISO A'!C41</f>
        <v>0</v>
      </c>
      <c r="H36" s="478" t="n">
        <f aca="false">16*'NYISO G'!C41</f>
        <v>0</v>
      </c>
      <c r="I36" s="478" t="n">
        <f aca="false">16*'NYISO J'!C41</f>
        <v>0</v>
      </c>
      <c r="J36" s="478" t="n">
        <f aca="false">16*NEPOOL!C41</f>
        <v>0</v>
      </c>
      <c r="K36" s="478" t="n">
        <f aca="false">16*PJM!C41</f>
        <v>0</v>
      </c>
      <c r="L36" s="481" t="n">
        <f aca="false">+'NYISO A'!I41</f>
        <v>0</v>
      </c>
      <c r="M36" s="481" t="n">
        <f aca="false">+'NYISO G'!I41</f>
        <v>0</v>
      </c>
      <c r="N36" s="481" t="n">
        <f aca="false">+'NYISO J'!I41</f>
        <v>0</v>
      </c>
      <c r="O36" s="481" t="n">
        <f aca="false">+NEPOOL!I41</f>
        <v>0</v>
      </c>
      <c r="P36" s="481" t="n">
        <f aca="false">+PJM!I41</f>
        <v>0</v>
      </c>
      <c r="Q36" s="481" t="n">
        <f aca="false">+'NYISO A'!J41</f>
        <v>0</v>
      </c>
      <c r="R36" s="481" t="n">
        <f aca="false">+'NYISO G'!J41</f>
        <v>0</v>
      </c>
      <c r="S36" s="481" t="n">
        <f aca="false">+'NYISO J'!J41</f>
        <v>0</v>
      </c>
      <c r="T36" s="481" t="n">
        <f aca="false">+NEPOOL!J41</f>
        <v>0</v>
      </c>
      <c r="U36" s="481" t="n">
        <f aca="false">+PJM!J41</f>
        <v>0</v>
      </c>
    </row>
    <row r="37" customFormat="false" ht="12.75" hidden="false" customHeight="false" outlineLevel="0" collapsed="false">
      <c r="A37" s="482" t="n">
        <f aca="false">+'NYISO A'!A42</f>
        <v>37165</v>
      </c>
      <c r="B37" s="478" t="n">
        <f aca="false">16*'NYISO A'!B42</f>
        <v>-73105</v>
      </c>
      <c r="C37" s="478" t="n">
        <f aca="false">16*'NYISO G'!B42</f>
        <v>-18276.25</v>
      </c>
      <c r="D37" s="478" t="n">
        <f aca="false">16*'NYISO J'!B42</f>
        <v>18276.25</v>
      </c>
      <c r="E37" s="478" t="n">
        <f aca="false">16*NEPOOL!B42</f>
        <v>0</v>
      </c>
      <c r="F37" s="478" t="n">
        <f aca="false">16*PJM!B42</f>
        <v>-18253.826171875</v>
      </c>
      <c r="G37" s="478" t="n">
        <f aca="false">16*'NYISO A'!C42</f>
        <v>0</v>
      </c>
      <c r="H37" s="478" t="n">
        <f aca="false">16*'NYISO G'!C42</f>
        <v>0</v>
      </c>
      <c r="I37" s="478" t="n">
        <f aca="false">16*'NYISO J'!C42</f>
        <v>0</v>
      </c>
      <c r="J37" s="478" t="n">
        <f aca="false">16*NEPOOL!C42</f>
        <v>0</v>
      </c>
      <c r="K37" s="478" t="n">
        <f aca="false">16*PJM!C42</f>
        <v>0</v>
      </c>
      <c r="L37" s="481" t="n">
        <f aca="false">+'NYISO A'!I42</f>
        <v>-54828.75</v>
      </c>
      <c r="M37" s="481" t="n">
        <f aca="false">+'NYISO G'!I42</f>
        <v>-9138.125</v>
      </c>
      <c r="N37" s="481" t="n">
        <f aca="false">+'NYISO J'!I42</f>
        <v>13707.1875</v>
      </c>
      <c r="O37" s="481" t="n">
        <f aca="false">+NEPOOL!I42</f>
        <v>0</v>
      </c>
      <c r="P37" s="481" t="n">
        <f aca="false">+PJM!I42</f>
        <v>-11864.9800484367</v>
      </c>
      <c r="Q37" s="481" t="n">
        <f aca="false">+'NYISO A'!J42</f>
        <v>0</v>
      </c>
      <c r="R37" s="481" t="n">
        <f aca="false">+'NYISO G'!J42</f>
        <v>0</v>
      </c>
      <c r="S37" s="481" t="n">
        <f aca="false">+'NYISO J'!J42</f>
        <v>0</v>
      </c>
      <c r="T37" s="481" t="n">
        <f aca="false">+NEPOOL!J42</f>
        <v>0</v>
      </c>
      <c r="U37" s="481" t="n">
        <f aca="false">+PJM!J42</f>
        <v>0</v>
      </c>
    </row>
    <row r="38" customFormat="false" ht="13.5" hidden="false" customHeight="false" outlineLevel="0" collapsed="false">
      <c r="A38" s="482" t="n">
        <f aca="false">+'NYISO A'!A43</f>
        <v>37195</v>
      </c>
      <c r="B38" s="478" t="n">
        <f aca="false">16*'NYISO A'!B43</f>
        <v>0</v>
      </c>
      <c r="C38" s="478" t="n">
        <f aca="false">16*'NYISO G'!B43</f>
        <v>0</v>
      </c>
      <c r="D38" s="478" t="n">
        <f aca="false">16*'NYISO J'!B43</f>
        <v>0</v>
      </c>
      <c r="E38" s="478" t="n">
        <f aca="false">16*NEPOOL!B43</f>
        <v>0</v>
      </c>
      <c r="F38" s="478" t="n">
        <f aca="false">16*PJM!B43</f>
        <v>0</v>
      </c>
      <c r="G38" s="478" t="n">
        <f aca="false">16*'NYISO A'!C43</f>
        <v>0</v>
      </c>
      <c r="H38" s="478" t="n">
        <f aca="false">16*'NYISO G'!C43</f>
        <v>0</v>
      </c>
      <c r="I38" s="478" t="n">
        <f aca="false">16*'NYISO J'!C43</f>
        <v>0</v>
      </c>
      <c r="J38" s="478" t="n">
        <f aca="false">16*NEPOOL!C43</f>
        <v>0</v>
      </c>
      <c r="K38" s="478" t="n">
        <f aca="false">16*PJM!C43</f>
        <v>0</v>
      </c>
      <c r="L38" s="481" t="n">
        <f aca="false">+'NYISO A'!I43</f>
        <v>0</v>
      </c>
      <c r="M38" s="481" t="n">
        <f aca="false">+'NYISO G'!I43</f>
        <v>-0</v>
      </c>
      <c r="N38" s="481" t="n">
        <f aca="false">+'NYISO J'!I43</f>
        <v>0</v>
      </c>
      <c r="O38" s="481" t="n">
        <f aca="false">+NEPOOL!I43</f>
        <v>0</v>
      </c>
      <c r="P38" s="481" t="n">
        <f aca="false">+PJM!I43</f>
        <v>0</v>
      </c>
      <c r="Q38" s="481" t="n">
        <f aca="false">+'NYISO A'!J43</f>
        <v>0</v>
      </c>
      <c r="R38" s="481" t="n">
        <f aca="false">+'NYISO G'!J43</f>
        <v>0</v>
      </c>
      <c r="S38" s="481" t="n">
        <f aca="false">+'NYISO J'!J43</f>
        <v>0</v>
      </c>
      <c r="T38" s="481" t="n">
        <f aca="false">+NEPOOL!J43</f>
        <v>0</v>
      </c>
      <c r="U38" s="481" t="n">
        <f aca="false">+PJM!J43</f>
        <v>0</v>
      </c>
    </row>
    <row r="39" customFormat="false" ht="12.75" hidden="false" customHeight="false" outlineLevel="0" collapsed="false">
      <c r="A39" s="483" t="n">
        <f aca="false">+'NYISO A'!A44</f>
        <v>37196</v>
      </c>
      <c r="B39" s="484" t="n">
        <f aca="false">'NYISO A'!B44*16*'NYISO A'!DR44</f>
        <v>-66560.9140625</v>
      </c>
      <c r="C39" s="484" t="n">
        <f aca="false">16*'NYISO G'!B44*'NYISO G'!DR44</f>
        <v>-16640.228515625</v>
      </c>
      <c r="D39" s="485" t="n">
        <f aca="false">16*'NYISO J'!B44*'NYISO J'!DR44</f>
        <v>16640.228515625</v>
      </c>
      <c r="E39" s="484" t="n">
        <f aca="false">NEPOOL!B44*16*NEPOOL!DR44</f>
        <v>0</v>
      </c>
      <c r="F39" s="484" t="n">
        <f aca="false">PJM!B44*16*PJM!DR44</f>
        <v>-16620.55078125</v>
      </c>
      <c r="G39" s="485" t="n">
        <f aca="false">16*'NYISO A'!C44*'NYISO A'!DR44</f>
        <v>0</v>
      </c>
      <c r="H39" s="485" t="n">
        <f aca="false">16*'NYISO G'!C44*'NYISO G'!DR44</f>
        <v>0</v>
      </c>
      <c r="I39" s="485" t="n">
        <f aca="false">16*'NYISO J'!C44*'NYISO J'!DR44</f>
        <v>0</v>
      </c>
      <c r="J39" s="485" t="n">
        <f aca="false">16*NEPOOL!C44*NEPOOL!DR44</f>
        <v>0</v>
      </c>
      <c r="K39" s="485" t="n">
        <f aca="false">16*PJM!C44*PJM!DR44</f>
        <v>0</v>
      </c>
      <c r="L39" s="486" t="n">
        <f aca="false">+'NYISO A'!I44</f>
        <v>-49920.685546875</v>
      </c>
      <c r="M39" s="486" t="n">
        <f aca="false">+'NYISO G'!I44</f>
        <v>-8320.1142578125</v>
      </c>
      <c r="N39" s="486" t="n">
        <f aca="false">+'NYISO J'!I44</f>
        <v>12480.1713867188</v>
      </c>
      <c r="O39" s="486" t="n">
        <f aca="false">+NEPOOL!I44</f>
        <v>0</v>
      </c>
      <c r="P39" s="486" t="n">
        <f aca="false">+PJM!I44</f>
        <v>-24930.826171875</v>
      </c>
      <c r="Q39" s="486" t="n">
        <f aca="false">+'NYISO A'!J44</f>
        <v>0</v>
      </c>
      <c r="R39" s="486" t="n">
        <f aca="false">+'NYISO G'!J44</f>
        <v>0</v>
      </c>
      <c r="S39" s="486" t="n">
        <f aca="false">+'NYISO J'!J44</f>
        <v>0</v>
      </c>
      <c r="T39" s="486" t="n">
        <f aca="false">+NEPOOL!J44</f>
        <v>0</v>
      </c>
      <c r="U39" s="486" t="n">
        <f aca="false">+PJM!J44</f>
        <v>0</v>
      </c>
    </row>
    <row r="40" customFormat="false" ht="12.75" hidden="false" customHeight="false" outlineLevel="0" collapsed="false">
      <c r="A40" s="487" t="n">
        <f aca="false">+EOMONTH(A39,0)+1</f>
        <v>37226</v>
      </c>
      <c r="B40" s="478" t="n">
        <f aca="false">'NYISO A'!B45*16*'NYISO A'!DR45</f>
        <v>-63206.4140625</v>
      </c>
      <c r="C40" s="478" t="n">
        <f aca="false">16*'NYISO G'!B45*'NYISO G'!DR45</f>
        <v>-15801.603515625</v>
      </c>
      <c r="D40" s="478" t="n">
        <f aca="false">16*'NYISO J'!B45*'NYISO J'!DR45</f>
        <v>15801.603515625</v>
      </c>
      <c r="E40" s="478" t="n">
        <f aca="false">NEPOOL!B45*16*NEPOOL!DR45</f>
        <v>0</v>
      </c>
      <c r="F40" s="478" t="n">
        <f aca="false">PJM!B45*16*PJM!DR45</f>
        <v>-15783.7373046875</v>
      </c>
      <c r="G40" s="478" t="n">
        <f aca="false">16*'NYISO A'!C45*'NYISO A'!DR45</f>
        <v>-64000</v>
      </c>
      <c r="H40" s="478" t="n">
        <f aca="false">16*'NYISO G'!C45*'NYISO G'!DR45</f>
        <v>-16000</v>
      </c>
      <c r="I40" s="478" t="n">
        <f aca="false">16*'NYISO J'!C45*'NYISO J'!DR45</f>
        <v>0</v>
      </c>
      <c r="J40" s="478" t="n">
        <f aca="false">16*NEPOOL!C45*NEPOOL!DR45</f>
        <v>0</v>
      </c>
      <c r="K40" s="478" t="n">
        <f aca="false">16*PJM!C45*PJM!DR45</f>
        <v>0</v>
      </c>
      <c r="L40" s="481" t="n">
        <f aca="false">+'NYISO A'!I45</f>
        <v>-47404.810546875</v>
      </c>
      <c r="M40" s="481" t="n">
        <f aca="false">+'NYISO G'!I45</f>
        <v>-7900.8017578125</v>
      </c>
      <c r="N40" s="481" t="n">
        <f aca="false">+'NYISO J'!I45</f>
        <v>11851.2026367188</v>
      </c>
      <c r="O40" s="481" t="n">
        <f aca="false">+NEPOOL!I45</f>
        <v>0</v>
      </c>
      <c r="P40" s="481" t="n">
        <f aca="false">+PJM!I45</f>
        <v>27621.5402832031</v>
      </c>
      <c r="Q40" s="481" t="n">
        <f aca="false">+'NYISO A'!J45</f>
        <v>8799.99999999996</v>
      </c>
      <c r="R40" s="481" t="n">
        <f aca="false">+'NYISO G'!J45</f>
        <v>-9600.00000000002</v>
      </c>
      <c r="S40" s="481" t="n">
        <f aca="false">+'NYISO J'!J45</f>
        <v>0</v>
      </c>
      <c r="T40" s="481" t="n">
        <f aca="false">+NEPOOL!J45</f>
        <v>0</v>
      </c>
      <c r="U40" s="481" t="n">
        <f aca="false">+PJM!J45</f>
        <v>0</v>
      </c>
    </row>
    <row r="41" customFormat="false" ht="12.75" hidden="false" customHeight="false" outlineLevel="0" collapsed="false">
      <c r="A41" s="487" t="n">
        <f aca="false">+EOMONTH(A40,0)+1</f>
        <v>37257</v>
      </c>
      <c r="B41" s="478" t="n">
        <f aca="false">'NYISO A'!B46*16*'NYISO A'!DR46</f>
        <v>51998.2109375</v>
      </c>
      <c r="C41" s="478" t="n">
        <f aca="false">16*'NYISO G'!B46*'NYISO G'!DR46</f>
        <v>-3.99999998401679E-011</v>
      </c>
      <c r="D41" s="478" t="n">
        <f aca="false">16*'NYISO J'!B46*'NYISO J'!DR46</f>
        <v>0</v>
      </c>
      <c r="E41" s="478" t="n">
        <f aca="false">NEPOOL!B46*16*NEPOOL!DR46</f>
        <v>0</v>
      </c>
      <c r="F41" s="478" t="n">
        <f aca="false">PJM!B46*16*PJM!DR46</f>
        <v>-51934.80078125</v>
      </c>
      <c r="G41" s="478" t="n">
        <f aca="false">16*'NYISO A'!C46*'NYISO A'!DR46</f>
        <v>-17600</v>
      </c>
      <c r="H41" s="478" t="n">
        <f aca="false">16*'NYISO G'!C46*'NYISO G'!DR46</f>
        <v>0</v>
      </c>
      <c r="I41" s="478" t="n">
        <f aca="false">16*'NYISO J'!C46*'NYISO J'!DR46</f>
        <v>0</v>
      </c>
      <c r="J41" s="478" t="n">
        <f aca="false">16*NEPOOL!C46*NEPOOL!DR46</f>
        <v>0</v>
      </c>
      <c r="K41" s="478" t="n">
        <f aca="false">16*PJM!C46*PJM!DR46</f>
        <v>17600</v>
      </c>
      <c r="L41" s="481" t="n">
        <f aca="false">+'NYISO A'!I46</f>
        <v>0</v>
      </c>
      <c r="M41" s="481" t="n">
        <f aca="false">+'NYISO G'!I46</f>
        <v>1.79999999280756E-010</v>
      </c>
      <c r="N41" s="481" t="n">
        <f aca="false">+'NYISO J'!I46</f>
        <v>-0</v>
      </c>
      <c r="O41" s="481" t="n">
        <f aca="false">+NEPOOL!I46</f>
        <v>0</v>
      </c>
      <c r="P41" s="481" t="n">
        <f aca="false">+PJM!I46</f>
        <v>-25967.400390625</v>
      </c>
      <c r="Q41" s="481" t="n">
        <f aca="false">+'NYISO A'!J46</f>
        <v>-7039.99999999997</v>
      </c>
      <c r="R41" s="481" t="n">
        <f aca="false">+'NYISO G'!J46</f>
        <v>0</v>
      </c>
      <c r="S41" s="481" t="n">
        <f aca="false">+'NYISO J'!J46</f>
        <v>0</v>
      </c>
      <c r="T41" s="481" t="n">
        <f aca="false">+NEPOOL!J46</f>
        <v>0</v>
      </c>
      <c r="U41" s="481" t="n">
        <f aca="false">+PJM!J46</f>
        <v>22000</v>
      </c>
    </row>
    <row r="42" customFormat="false" ht="12.75" hidden="false" customHeight="false" outlineLevel="0" collapsed="false">
      <c r="A42" s="487" t="n">
        <f aca="false">+EOMONTH(A41,0)+1</f>
        <v>37288</v>
      </c>
      <c r="B42" s="478" t="n">
        <f aca="false">'NYISO A'!B47*16*'NYISO A'!DR47</f>
        <v>47146.87890625</v>
      </c>
      <c r="C42" s="478" t="n">
        <f aca="false">16*'NYISO G'!B47*'NYISO G'!DR47</f>
        <v>3.99999998401679E-011</v>
      </c>
      <c r="D42" s="478" t="n">
        <f aca="false">16*'NYISO J'!B47*'NYISO J'!DR47</f>
        <v>0</v>
      </c>
      <c r="E42" s="478" t="n">
        <f aca="false">NEPOOL!B47*16*NEPOOL!DR47</f>
        <v>0</v>
      </c>
      <c r="F42" s="478" t="n">
        <f aca="false">PJM!B47*16*PJM!DR47</f>
        <v>-47088.9375</v>
      </c>
      <c r="G42" s="478" t="n">
        <f aca="false">16*'NYISO A'!C47*'NYISO A'!DR47</f>
        <v>-16000</v>
      </c>
      <c r="H42" s="478" t="n">
        <f aca="false">16*'NYISO G'!C47*'NYISO G'!DR47</f>
        <v>0</v>
      </c>
      <c r="I42" s="478" t="n">
        <f aca="false">16*'NYISO J'!C47*'NYISO J'!DR47</f>
        <v>0</v>
      </c>
      <c r="J42" s="478" t="n">
        <f aca="false">16*NEPOOL!C47*NEPOOL!DR47</f>
        <v>0</v>
      </c>
      <c r="K42" s="478" t="n">
        <f aca="false">16*PJM!C47*PJM!DR47</f>
        <v>16000</v>
      </c>
      <c r="L42" s="481" t="n">
        <f aca="false">+'NYISO A'!I47</f>
        <v>0</v>
      </c>
      <c r="M42" s="481" t="n">
        <f aca="false">+'NYISO G'!I47</f>
        <v>9.99999996004197E-012</v>
      </c>
      <c r="N42" s="481" t="n">
        <f aca="false">+'NYISO J'!I47</f>
        <v>0</v>
      </c>
      <c r="O42" s="481" t="n">
        <f aca="false">+NEPOOL!I47</f>
        <v>0</v>
      </c>
      <c r="P42" s="481" t="n">
        <f aca="false">+PJM!I47</f>
        <v>-23544.46875</v>
      </c>
      <c r="Q42" s="481" t="n">
        <f aca="false">+'NYISO A'!J47</f>
        <v>-6399.99999999998</v>
      </c>
      <c r="R42" s="481" t="n">
        <f aca="false">+'NYISO G'!J47</f>
        <v>0</v>
      </c>
      <c r="S42" s="481" t="n">
        <f aca="false">+'NYISO J'!J47</f>
        <v>0</v>
      </c>
      <c r="T42" s="481" t="n">
        <f aca="false">+NEPOOL!J47</f>
        <v>0</v>
      </c>
      <c r="U42" s="481" t="n">
        <f aca="false">+PJM!J47</f>
        <v>20000</v>
      </c>
    </row>
    <row r="43" customFormat="false" ht="12.75" hidden="false" customHeight="false" outlineLevel="0" collapsed="false">
      <c r="A43" s="487" t="n">
        <f aca="false">+EOMONTH(A42,0)+1</f>
        <v>37316</v>
      </c>
      <c r="B43" s="478" t="n">
        <f aca="false">'NYISO A'!B48*16*'NYISO A'!DR48</f>
        <v>16456.11328125</v>
      </c>
      <c r="C43" s="478" t="n">
        <f aca="false">16*'NYISO G'!B48*'NYISO G'!DR48</f>
        <v>1.99999999200839E-011</v>
      </c>
      <c r="D43" s="478" t="n">
        <f aca="false">16*'NYISO J'!B48*'NYISO J'!DR48</f>
        <v>0</v>
      </c>
      <c r="E43" s="478" t="n">
        <f aca="false">NEPOOL!B48*16*NEPOOL!DR48</f>
        <v>0</v>
      </c>
      <c r="F43" s="478" t="n">
        <f aca="false">PJM!B48*16*PJM!DR48</f>
        <v>0</v>
      </c>
      <c r="G43" s="478" t="n">
        <f aca="false">16*'NYISO A'!C48*'NYISO A'!DR48</f>
        <v>16800</v>
      </c>
      <c r="H43" s="478" t="n">
        <f aca="false">16*'NYISO G'!C48*'NYISO G'!DR48</f>
        <v>0</v>
      </c>
      <c r="I43" s="478" t="n">
        <f aca="false">16*'NYISO J'!C48*'NYISO J'!DR48</f>
        <v>0</v>
      </c>
      <c r="J43" s="478" t="n">
        <f aca="false">16*NEPOOL!C48*NEPOOL!DR48</f>
        <v>0</v>
      </c>
      <c r="K43" s="478" t="n">
        <f aca="false">16*PJM!C48*PJM!DR48</f>
        <v>0</v>
      </c>
      <c r="L43" s="481" t="n">
        <f aca="false">+'NYISO A'!I48</f>
        <v>4114.0283203125</v>
      </c>
      <c r="M43" s="481" t="n">
        <f aca="false">+'NYISO G'!I48</f>
        <v>1.14999999540483E-010</v>
      </c>
      <c r="N43" s="481" t="n">
        <f aca="false">+'NYISO J'!I48</f>
        <v>0</v>
      </c>
      <c r="O43" s="481" t="n">
        <f aca="false">+NEPOOL!I48</f>
        <v>0</v>
      </c>
      <c r="P43" s="481" t="n">
        <f aca="false">+PJM!I48</f>
        <v>0</v>
      </c>
      <c r="Q43" s="481" t="n">
        <f aca="false">+'NYISO A'!J48</f>
        <v>18480</v>
      </c>
      <c r="R43" s="481" t="n">
        <f aca="false">+'NYISO G'!J48</f>
        <v>0</v>
      </c>
      <c r="S43" s="481" t="n">
        <f aca="false">+'NYISO J'!J48</f>
        <v>0</v>
      </c>
      <c r="T43" s="481" t="n">
        <f aca="false">+NEPOOL!J48</f>
        <v>0</v>
      </c>
      <c r="U43" s="481" t="n">
        <f aca="false">+PJM!J48</f>
        <v>0</v>
      </c>
    </row>
    <row r="44" customFormat="false" ht="12.75" hidden="false" customHeight="false" outlineLevel="0" collapsed="false">
      <c r="A44" s="487" t="n">
        <f aca="false">+EOMONTH(A43,0)+1</f>
        <v>37347</v>
      </c>
      <c r="B44" s="478" t="n">
        <f aca="false">'NYISO A'!B49*16*'NYISO A'!DR49</f>
        <v>17186.7109375</v>
      </c>
      <c r="C44" s="478" t="n">
        <f aca="false">16*'NYISO G'!B49*'NYISO G'!DR49</f>
        <v>3.99999998401679E-011</v>
      </c>
      <c r="D44" s="478" t="n">
        <f aca="false">16*'NYISO J'!B49*'NYISO J'!DR49</f>
        <v>0</v>
      </c>
      <c r="E44" s="478" t="n">
        <f aca="false">NEPOOL!B49*16*NEPOOL!DR49</f>
        <v>0</v>
      </c>
      <c r="F44" s="478" t="n">
        <f aca="false">PJM!B49*16*PJM!DR49</f>
        <v>0</v>
      </c>
      <c r="G44" s="478" t="n">
        <f aca="false">16*'NYISO A'!C49*'NYISO A'!DR49</f>
        <v>17600</v>
      </c>
      <c r="H44" s="478" t="n">
        <f aca="false">16*'NYISO G'!C49*'NYISO G'!DR49</f>
        <v>0</v>
      </c>
      <c r="I44" s="478" t="n">
        <f aca="false">16*'NYISO J'!C49*'NYISO J'!DR49</f>
        <v>0</v>
      </c>
      <c r="J44" s="478" t="n">
        <f aca="false">16*NEPOOL!C49*NEPOOL!DR49</f>
        <v>0</v>
      </c>
      <c r="K44" s="478" t="n">
        <f aca="false">16*PJM!C49*PJM!DR49</f>
        <v>0</v>
      </c>
      <c r="L44" s="481" t="n">
        <f aca="false">+'NYISO A'!I49</f>
        <v>4296.677734375</v>
      </c>
      <c r="M44" s="481" t="n">
        <f aca="false">+'NYISO G'!I49</f>
        <v>2.81999998873184E-009</v>
      </c>
      <c r="N44" s="481" t="n">
        <f aca="false">+'NYISO J'!I49</f>
        <v>0</v>
      </c>
      <c r="O44" s="481" t="n">
        <f aca="false">+NEPOOL!I49</f>
        <v>0</v>
      </c>
      <c r="P44" s="481" t="n">
        <f aca="false">+PJM!I49</f>
        <v>0</v>
      </c>
      <c r="Q44" s="481" t="n">
        <f aca="false">+'NYISO A'!J49</f>
        <v>19360</v>
      </c>
      <c r="R44" s="481" t="n">
        <f aca="false">+'NYISO G'!J49</f>
        <v>0</v>
      </c>
      <c r="S44" s="481" t="n">
        <f aca="false">+'NYISO J'!J49</f>
        <v>0</v>
      </c>
      <c r="T44" s="481" t="n">
        <f aca="false">+NEPOOL!J49</f>
        <v>0</v>
      </c>
      <c r="U44" s="481" t="n">
        <f aca="false">+PJM!J49</f>
        <v>0</v>
      </c>
    </row>
    <row r="45" customFormat="false" ht="12.75" hidden="false" customHeight="false" outlineLevel="0" collapsed="false">
      <c r="A45" s="487" t="n">
        <f aca="false">+EOMONTH(A44,0)+1</f>
        <v>37377</v>
      </c>
      <c r="B45" s="478" t="n">
        <f aca="false">'NYISO A'!B50*16*'NYISO A'!DR50</f>
        <v>-2.00000002670286E-010</v>
      </c>
      <c r="C45" s="478" t="n">
        <f aca="false">16*'NYISO G'!B50*'NYISO G'!DR50</f>
        <v>17135.123046875</v>
      </c>
      <c r="D45" s="478" t="n">
        <f aca="false">16*'NYISO J'!B50*'NYISO J'!DR50</f>
        <v>0</v>
      </c>
      <c r="E45" s="478" t="n">
        <f aca="false">NEPOOL!B50*16*NEPOOL!DR50</f>
        <v>0</v>
      </c>
      <c r="F45" s="478" t="n">
        <f aca="false">PJM!B50*16*PJM!DR50</f>
        <v>-34226.25390625</v>
      </c>
      <c r="G45" s="478" t="n">
        <f aca="false">16*'NYISO A'!C50*'NYISO A'!DR50</f>
        <v>0</v>
      </c>
      <c r="H45" s="478" t="n">
        <f aca="false">16*'NYISO G'!C50*'NYISO G'!DR50</f>
        <v>0</v>
      </c>
      <c r="I45" s="478" t="n">
        <f aca="false">16*'NYISO J'!C50*'NYISO J'!DR50</f>
        <v>0</v>
      </c>
      <c r="J45" s="478" t="n">
        <f aca="false">16*NEPOOL!C50*NEPOOL!DR50</f>
        <v>0</v>
      </c>
      <c r="K45" s="478" t="n">
        <f aca="false">16*PJM!C50*PJM!DR50</f>
        <v>0</v>
      </c>
      <c r="L45" s="481" t="n">
        <f aca="false">+'NYISO A'!I50</f>
        <v>-1.50000002002715E-010</v>
      </c>
      <c r="M45" s="481" t="n">
        <f aca="false">+'NYISO G'!I50</f>
        <v>0</v>
      </c>
      <c r="N45" s="481" t="n">
        <f aca="false">+'NYISO J'!I50</f>
        <v>0</v>
      </c>
      <c r="O45" s="481" t="n">
        <f aca="false">+NEPOOL!I50</f>
        <v>0</v>
      </c>
      <c r="P45" s="481" t="n">
        <f aca="false">+PJM!I50</f>
        <v>-17113.126953125</v>
      </c>
      <c r="Q45" s="481" t="n">
        <f aca="false">+'NYISO A'!J50</f>
        <v>0</v>
      </c>
      <c r="R45" s="481" t="n">
        <f aca="false">+'NYISO G'!J50</f>
        <v>0</v>
      </c>
      <c r="S45" s="481" t="n">
        <f aca="false">+'NYISO J'!J50</f>
        <v>0</v>
      </c>
      <c r="T45" s="481" t="n">
        <f aca="false">+NEPOOL!J50</f>
        <v>0</v>
      </c>
      <c r="U45" s="481" t="n">
        <f aca="false">+PJM!J50</f>
        <v>0</v>
      </c>
    </row>
    <row r="46" customFormat="false" ht="12.75" hidden="false" customHeight="false" outlineLevel="0" collapsed="false">
      <c r="A46" s="487" t="n">
        <f aca="false">+EOMONTH(A45,0)+1</f>
        <v>37408</v>
      </c>
      <c r="B46" s="478" t="n">
        <f aca="false">'NYISO A'!B51*16*'NYISO A'!DR51</f>
        <v>-46587.87890625</v>
      </c>
      <c r="C46" s="478" t="n">
        <f aca="false">16*'NYISO G'!B51*'NYISO G'!DR51</f>
        <v>31058.5859375</v>
      </c>
      <c r="D46" s="478" t="n">
        <f aca="false">16*'NYISO J'!B51*'NYISO J'!DR51</f>
        <v>0</v>
      </c>
      <c r="E46" s="478" t="n">
        <f aca="false">NEPOOL!B51*16*NEPOOL!DR51</f>
        <v>0</v>
      </c>
      <c r="F46" s="478" t="n">
        <f aca="false">PJM!B51*16*PJM!DR51</f>
        <v>-15510.1259765625</v>
      </c>
      <c r="G46" s="478" t="n">
        <f aca="false">16*'NYISO A'!C51*'NYISO A'!DR51</f>
        <v>0</v>
      </c>
      <c r="H46" s="478" t="n">
        <f aca="false">16*'NYISO G'!C51*'NYISO G'!DR51</f>
        <v>0</v>
      </c>
      <c r="I46" s="478" t="n">
        <f aca="false">16*'NYISO J'!C51*'NYISO J'!DR51</f>
        <v>0</v>
      </c>
      <c r="J46" s="478" t="n">
        <f aca="false">16*NEPOOL!C51*NEPOOL!DR51</f>
        <v>0</v>
      </c>
      <c r="K46" s="478" t="n">
        <f aca="false">16*PJM!C51*PJM!DR51</f>
        <v>0</v>
      </c>
      <c r="L46" s="481" t="n">
        <f aca="false">+'NYISO A'!I51</f>
        <v>-34940.9091796875</v>
      </c>
      <c r="M46" s="481" t="n">
        <f aca="false">+'NYISO G'!I51</f>
        <v>-15529.29296875</v>
      </c>
      <c r="N46" s="481" t="n">
        <f aca="false">+'NYISO J'!I51</f>
        <v>0</v>
      </c>
      <c r="O46" s="481" t="n">
        <f aca="false">+NEPOOL!I51</f>
        <v>0</v>
      </c>
      <c r="P46" s="481" t="n">
        <f aca="false">+PJM!I51</f>
        <v>-0</v>
      </c>
      <c r="Q46" s="481" t="n">
        <f aca="false">+'NYISO A'!J51</f>
        <v>0</v>
      </c>
      <c r="R46" s="481" t="n">
        <f aca="false">+'NYISO G'!J51</f>
        <v>0</v>
      </c>
      <c r="S46" s="481" t="n">
        <f aca="false">+'NYISO J'!J51</f>
        <v>0</v>
      </c>
      <c r="T46" s="481" t="n">
        <f aca="false">+NEPOOL!J51</f>
        <v>0</v>
      </c>
      <c r="U46" s="481" t="n">
        <f aca="false">+PJM!J51</f>
        <v>0</v>
      </c>
    </row>
    <row r="47" customFormat="false" ht="12.75" hidden="false" customHeight="false" outlineLevel="0" collapsed="false">
      <c r="A47" s="487" t="n">
        <f aca="false">+EOMONTH(A46,0)+1</f>
        <v>37438</v>
      </c>
      <c r="B47" s="478" t="n">
        <f aca="false">'NYISO A'!B52*16*'NYISO A'!DR52</f>
        <v>88000</v>
      </c>
      <c r="C47" s="478" t="n">
        <f aca="false">16*'NYISO G'!B52*'NYISO G'!DR52</f>
        <v>-17029.357421875</v>
      </c>
      <c r="D47" s="478" t="n">
        <f aca="false">16*'NYISO J'!B52*'NYISO J'!DR52</f>
        <v>0</v>
      </c>
      <c r="E47" s="478" t="n">
        <f aca="false">NEPOOL!B52*16*NEPOOL!DR52</f>
        <v>0</v>
      </c>
      <c r="F47" s="478" t="n">
        <f aca="false">PJM!B52*16*PJM!DR52</f>
        <v>-85031.4453125</v>
      </c>
      <c r="G47" s="478" t="n">
        <f aca="false">16*'NYISO A'!C52*'NYISO A'!DR52</f>
        <v>0</v>
      </c>
      <c r="H47" s="478" t="n">
        <f aca="false">16*'NYISO G'!C52*'NYISO G'!DR52</f>
        <v>0</v>
      </c>
      <c r="I47" s="478" t="n">
        <f aca="false">16*'NYISO J'!C52*'NYISO J'!DR52</f>
        <v>0</v>
      </c>
      <c r="J47" s="478" t="n">
        <f aca="false">16*NEPOOL!C52*NEPOOL!DR52</f>
        <v>0</v>
      </c>
      <c r="K47" s="478" t="n">
        <f aca="false">16*PJM!C52*PJM!DR52</f>
        <v>0</v>
      </c>
      <c r="L47" s="481" t="n">
        <f aca="false">+'NYISO A'!I52</f>
        <v>66000</v>
      </c>
      <c r="M47" s="481" t="n">
        <f aca="false">+'NYISO G'!I52</f>
        <v>-0</v>
      </c>
      <c r="N47" s="481" t="n">
        <f aca="false">+'NYISO J'!I52</f>
        <v>-0</v>
      </c>
      <c r="O47" s="481" t="n">
        <f aca="false">+NEPOOL!I52</f>
        <v>-0</v>
      </c>
      <c r="P47" s="481" t="n">
        <f aca="false">+PJM!I52</f>
        <v>-63773.583984375</v>
      </c>
      <c r="Q47" s="481" t="n">
        <f aca="false">+'NYISO A'!J52</f>
        <v>0</v>
      </c>
      <c r="R47" s="481" t="n">
        <f aca="false">+'NYISO G'!J52</f>
        <v>0</v>
      </c>
      <c r="S47" s="481" t="n">
        <f aca="false">+'NYISO J'!J52</f>
        <v>0</v>
      </c>
      <c r="T47" s="481" t="n">
        <f aca="false">+NEPOOL!J52</f>
        <v>0</v>
      </c>
      <c r="U47" s="481" t="n">
        <f aca="false">+PJM!J52</f>
        <v>0</v>
      </c>
    </row>
    <row r="48" customFormat="false" ht="12.75" hidden="false" customHeight="false" outlineLevel="0" collapsed="false">
      <c r="A48" s="487" t="n">
        <f aca="false">+EOMONTH(A47,0)+1</f>
        <v>37469</v>
      </c>
      <c r="B48" s="478" t="n">
        <f aca="false">'NYISO A'!B53*16*'NYISO A'!DR53</f>
        <v>88000</v>
      </c>
      <c r="C48" s="478" t="n">
        <f aca="false">16*'NYISO G'!B53*'NYISO G'!DR53</f>
        <v>-16970.353515625</v>
      </c>
      <c r="D48" s="478" t="n">
        <f aca="false">16*'NYISO J'!B53*'NYISO J'!DR53</f>
        <v>0</v>
      </c>
      <c r="E48" s="478" t="n">
        <f aca="false">NEPOOL!B53*16*NEPOOL!DR53</f>
        <v>0</v>
      </c>
      <c r="F48" s="478" t="n">
        <f aca="false">PJM!B53*16*PJM!DR53</f>
        <v>-84751.3046875</v>
      </c>
      <c r="G48" s="478" t="n">
        <f aca="false">16*'NYISO A'!C53*'NYISO A'!DR53</f>
        <v>0</v>
      </c>
      <c r="H48" s="478" t="n">
        <f aca="false">16*'NYISO G'!C53*'NYISO G'!DR53</f>
        <v>0</v>
      </c>
      <c r="I48" s="478" t="n">
        <f aca="false">16*'NYISO J'!C53*'NYISO J'!DR53</f>
        <v>0</v>
      </c>
      <c r="J48" s="478" t="n">
        <f aca="false">16*NEPOOL!C53*NEPOOL!DR53</f>
        <v>0</v>
      </c>
      <c r="K48" s="478" t="n">
        <f aca="false">16*PJM!C53*PJM!DR53</f>
        <v>0</v>
      </c>
      <c r="L48" s="481" t="n">
        <f aca="false">+'NYISO A'!I53</f>
        <v>66000</v>
      </c>
      <c r="M48" s="481" t="n">
        <f aca="false">+'NYISO G'!I53</f>
        <v>-0</v>
      </c>
      <c r="N48" s="481" t="n">
        <f aca="false">+'NYISO J'!I53</f>
        <v>-0</v>
      </c>
      <c r="O48" s="481" t="n">
        <f aca="false">+NEPOOL!I53</f>
        <v>-0</v>
      </c>
      <c r="P48" s="481" t="n">
        <f aca="false">+PJM!I53</f>
        <v>-63563.478515625</v>
      </c>
      <c r="Q48" s="481" t="n">
        <f aca="false">+'NYISO A'!J53</f>
        <v>0</v>
      </c>
      <c r="R48" s="481" t="n">
        <f aca="false">+'NYISO G'!J53</f>
        <v>0</v>
      </c>
      <c r="S48" s="481" t="n">
        <f aca="false">+'NYISO J'!J53</f>
        <v>0</v>
      </c>
      <c r="T48" s="481" t="n">
        <f aca="false">+NEPOOL!J53</f>
        <v>0</v>
      </c>
      <c r="U48" s="481" t="n">
        <f aca="false">+PJM!J53</f>
        <v>0</v>
      </c>
    </row>
    <row r="49" customFormat="false" ht="12.75" hidden="false" customHeight="false" outlineLevel="0" collapsed="false">
      <c r="A49" s="487" t="n">
        <f aca="false">+EOMONTH(A48,0)+1</f>
        <v>37500</v>
      </c>
      <c r="B49" s="478" t="n">
        <f aca="false">'NYISO A'!B54*16*'NYISO A'!DR54</f>
        <v>15380.6826171875</v>
      </c>
      <c r="C49" s="478" t="n">
        <f aca="false">16*'NYISO G'!B54*'NYISO G'!DR54</f>
        <v>1.99999999200839E-011</v>
      </c>
      <c r="D49" s="478" t="n">
        <f aca="false">16*'NYISO J'!B54*'NYISO J'!DR54</f>
        <v>0</v>
      </c>
      <c r="E49" s="478" t="n">
        <f aca="false">NEPOOL!B54*16*NEPOOL!DR54</f>
        <v>0</v>
      </c>
      <c r="F49" s="478" t="n">
        <f aca="false">PJM!B54*16*PJM!DR54</f>
        <v>0</v>
      </c>
      <c r="G49" s="478" t="n">
        <f aca="false">16*'NYISO A'!C54*'NYISO A'!DR54</f>
        <v>0</v>
      </c>
      <c r="H49" s="478" t="n">
        <f aca="false">16*'NYISO G'!C54*'NYISO G'!DR54</f>
        <v>0</v>
      </c>
      <c r="I49" s="478" t="n">
        <f aca="false">16*'NYISO J'!C54*'NYISO J'!DR54</f>
        <v>0</v>
      </c>
      <c r="J49" s="478" t="n">
        <f aca="false">16*NEPOOL!C54*NEPOOL!DR54</f>
        <v>0</v>
      </c>
      <c r="K49" s="478" t="n">
        <f aca="false">16*PJM!C54*PJM!DR54</f>
        <v>0</v>
      </c>
      <c r="L49" s="481" t="n">
        <f aca="false">+'NYISO A'!I54</f>
        <v>11535.5119628906</v>
      </c>
      <c r="M49" s="481" t="n">
        <f aca="false">+'NYISO G'!I54</f>
        <v>6.04999997582539E-010</v>
      </c>
      <c r="N49" s="481" t="n">
        <f aca="false">+'NYISO J'!I54</f>
        <v>0</v>
      </c>
      <c r="O49" s="481" t="n">
        <f aca="false">+NEPOOL!I54</f>
        <v>0</v>
      </c>
      <c r="P49" s="481" t="n">
        <f aca="false">+PJM!I54</f>
        <v>0</v>
      </c>
      <c r="Q49" s="481" t="n">
        <f aca="false">+'NYISO A'!J54</f>
        <v>0</v>
      </c>
      <c r="R49" s="481" t="n">
        <f aca="false">+'NYISO G'!J54</f>
        <v>0</v>
      </c>
      <c r="S49" s="481" t="n">
        <f aca="false">+'NYISO J'!J54</f>
        <v>0</v>
      </c>
      <c r="T49" s="481" t="n">
        <f aca="false">+NEPOOL!J54</f>
        <v>0</v>
      </c>
      <c r="U49" s="481" t="n">
        <f aca="false">+PJM!J54</f>
        <v>0</v>
      </c>
    </row>
    <row r="50" customFormat="false" ht="12.75" hidden="false" customHeight="false" outlineLevel="0" collapsed="false">
      <c r="A50" s="487" t="n">
        <f aca="false">+EOMONTH(A49,0)+1</f>
        <v>37530</v>
      </c>
      <c r="B50" s="478" t="n">
        <f aca="false">'NYISO A'!B55*16*'NYISO A'!DR55</f>
        <v>52878.0546875</v>
      </c>
      <c r="C50" s="478" t="n">
        <f aca="false">16*'NYISO G'!B55*'NYISO G'!DR55</f>
        <v>-17626.017578125</v>
      </c>
      <c r="D50" s="478" t="n">
        <f aca="false">16*'NYISO J'!B55*'NYISO J'!DR55</f>
        <v>0</v>
      </c>
      <c r="E50" s="478" t="n">
        <f aca="false">NEPOOL!B55*16*NEPOOL!DR55</f>
        <v>0</v>
      </c>
      <c r="F50" s="478" t="n">
        <f aca="false">PJM!B55*16*PJM!DR55</f>
        <v>0</v>
      </c>
      <c r="G50" s="478" t="n">
        <f aca="false">16*'NYISO A'!C55*'NYISO A'!DR55</f>
        <v>-73600</v>
      </c>
      <c r="H50" s="478" t="n">
        <f aca="false">16*'NYISO G'!C55*'NYISO G'!DR55</f>
        <v>0</v>
      </c>
      <c r="I50" s="478" t="n">
        <f aca="false">16*'NYISO J'!C55*'NYISO J'!DR55</f>
        <v>0</v>
      </c>
      <c r="J50" s="478" t="n">
        <f aca="false">16*NEPOOL!C55*NEPOOL!DR55</f>
        <v>0</v>
      </c>
      <c r="K50" s="478" t="n">
        <f aca="false">16*PJM!C55*PJM!DR55</f>
        <v>0</v>
      </c>
      <c r="L50" s="481" t="n">
        <f aca="false">+'NYISO A'!I55</f>
        <v>58165.9811845124</v>
      </c>
      <c r="M50" s="481" t="n">
        <f aca="false">+'NYISO G'!I55</f>
        <v>-26439.0263671875</v>
      </c>
      <c r="N50" s="481" t="n">
        <f aca="false">+'NYISO J'!I55</f>
        <v>0</v>
      </c>
      <c r="O50" s="481" t="n">
        <f aca="false">+NEPOOL!I55</f>
        <v>0</v>
      </c>
      <c r="P50" s="481" t="n">
        <f aca="false">+PJM!I55</f>
        <v>-0</v>
      </c>
      <c r="Q50" s="481" t="n">
        <f aca="false">+'NYISO A'!J55</f>
        <v>-22080.0000000001</v>
      </c>
      <c r="R50" s="481" t="n">
        <f aca="false">+'NYISO G'!J55</f>
        <v>0</v>
      </c>
      <c r="S50" s="481" t="n">
        <f aca="false">+'NYISO J'!J55</f>
        <v>0</v>
      </c>
      <c r="T50" s="481" t="n">
        <f aca="false">+NEPOOL!J55</f>
        <v>0</v>
      </c>
      <c r="U50" s="481" t="n">
        <f aca="false">+PJM!J55</f>
        <v>0</v>
      </c>
    </row>
    <row r="51" customFormat="false" ht="12.75" hidden="false" customHeight="false" outlineLevel="0" collapsed="false">
      <c r="A51" s="487" t="n">
        <f aca="false">+EOMONTH(A50,0)+1</f>
        <v>37561</v>
      </c>
      <c r="B51" s="478" t="n">
        <f aca="false">'NYISO A'!B56*16*'NYISO A'!DR56</f>
        <v>45827.55078125</v>
      </c>
      <c r="C51" s="478" t="n">
        <f aca="false">16*'NYISO G'!B56*'NYISO G'!DR56</f>
        <v>-15275.8505859375</v>
      </c>
      <c r="D51" s="478" t="n">
        <f aca="false">16*'NYISO J'!B56*'NYISO J'!DR56</f>
        <v>0</v>
      </c>
      <c r="E51" s="478" t="n">
        <f aca="false">NEPOOL!B56*16*NEPOOL!DR56</f>
        <v>0</v>
      </c>
      <c r="F51" s="478" t="n">
        <f aca="false">PJM!B56*16*PJM!DR56</f>
        <v>0</v>
      </c>
      <c r="G51" s="478" t="n">
        <f aca="false">16*'NYISO A'!C56*'NYISO A'!DR56</f>
        <v>-64000</v>
      </c>
      <c r="H51" s="478" t="n">
        <f aca="false">16*'NYISO G'!C56*'NYISO G'!DR56</f>
        <v>0</v>
      </c>
      <c r="I51" s="478" t="n">
        <f aca="false">16*'NYISO J'!C56*'NYISO J'!DR56</f>
        <v>0</v>
      </c>
      <c r="J51" s="478" t="n">
        <f aca="false">16*NEPOOL!C56*NEPOOL!DR56</f>
        <v>0</v>
      </c>
      <c r="K51" s="478" t="n">
        <f aca="false">16*PJM!C56*PJM!DR56</f>
        <v>0</v>
      </c>
      <c r="L51" s="481" t="n">
        <f aca="false">+'NYISO A'!I56</f>
        <v>50410.4107503146</v>
      </c>
      <c r="M51" s="481" t="n">
        <f aca="false">+'NYISO G'!I56</f>
        <v>-22913.7758789063</v>
      </c>
      <c r="N51" s="481" t="n">
        <f aca="false">+'NYISO J'!I56</f>
        <v>0</v>
      </c>
      <c r="O51" s="481" t="n">
        <f aca="false">+NEPOOL!I56</f>
        <v>0</v>
      </c>
      <c r="P51" s="481" t="n">
        <f aca="false">+PJM!I56</f>
        <v>0</v>
      </c>
      <c r="Q51" s="481" t="n">
        <f aca="false">+'NYISO A'!J56</f>
        <v>-19200</v>
      </c>
      <c r="R51" s="481" t="n">
        <f aca="false">+'NYISO G'!J56</f>
        <v>0</v>
      </c>
      <c r="S51" s="481" t="n">
        <f aca="false">+'NYISO J'!J56</f>
        <v>0</v>
      </c>
      <c r="T51" s="481" t="n">
        <f aca="false">+NEPOOL!J56</f>
        <v>0</v>
      </c>
      <c r="U51" s="481" t="n">
        <f aca="false">+PJM!J56</f>
        <v>0</v>
      </c>
    </row>
    <row r="52" customFormat="false" ht="12.75" hidden="false" customHeight="false" outlineLevel="0" collapsed="false">
      <c r="A52" s="487" t="n">
        <f aca="false">+EOMONTH(A51,0)+1</f>
        <v>37591</v>
      </c>
      <c r="B52" s="478" t="n">
        <f aca="false">'NYISO A'!B57*16*'NYISO A'!DR57</f>
        <v>47712</v>
      </c>
      <c r="C52" s="478" t="n">
        <f aca="false">16*'NYISO G'!B57*'NYISO G'!DR57</f>
        <v>-16128</v>
      </c>
      <c r="D52" s="478" t="n">
        <f aca="false">16*'NYISO J'!B61*'NYISO J'!DR61</f>
        <v>0</v>
      </c>
      <c r="E52" s="478" t="n">
        <f aca="false">NEPOOL!B60*16*NEPOOL!DR60</f>
        <v>0</v>
      </c>
      <c r="F52" s="478" t="n">
        <f aca="false">PJM!B57*16*PJM!DR57</f>
        <v>0</v>
      </c>
      <c r="G52" s="478" t="n">
        <f aca="false">16*'NYISO A'!C57*'NYISO A'!DR57</f>
        <v>-67200</v>
      </c>
      <c r="H52" s="478" t="n">
        <f aca="false">16*'NYISO G'!C57*'NYISO G'!DR57</f>
        <v>0</v>
      </c>
      <c r="I52" s="478" t="n">
        <f aca="false">16*'NYISO J'!C61*'NYISO J'!DR61</f>
        <v>0</v>
      </c>
      <c r="J52" s="478" t="n">
        <f aca="false">16*NEPOOL!C57*NEPOOL!DR57</f>
        <v>0</v>
      </c>
      <c r="K52" s="478" t="n">
        <f aca="false">16*PJM!C57*PJM!DR57</f>
        <v>0</v>
      </c>
      <c r="L52" s="481" t="n">
        <f aca="false">+'NYISO A'!I57</f>
        <v>52483.3092041016</v>
      </c>
      <c r="M52" s="481" t="n">
        <f aca="false">+'NYISO G'!I57</f>
        <v>-24192</v>
      </c>
      <c r="N52" s="481" t="n">
        <f aca="false">+'NYISO J'!I61</f>
        <v>0</v>
      </c>
      <c r="O52" s="481" t="n">
        <f aca="false">+NEPOOL!I60</f>
        <v>0</v>
      </c>
      <c r="P52" s="481" t="n">
        <f aca="false">+PJM!I57</f>
        <v>0</v>
      </c>
      <c r="Q52" s="481" t="n">
        <f aca="false">+'NYISO A'!J57</f>
        <v>-20160</v>
      </c>
      <c r="R52" s="481" t="n">
        <f aca="false">+'NYISO G'!J57</f>
        <v>0</v>
      </c>
      <c r="S52" s="481" t="n">
        <f aca="false">+'NYISO J'!J61</f>
        <v>0</v>
      </c>
      <c r="T52" s="481" t="n">
        <f aca="false">+NEPOOL!J60</f>
        <v>0</v>
      </c>
      <c r="U52" s="481" t="n">
        <f aca="false">+PJM!J57</f>
        <v>0</v>
      </c>
    </row>
    <row r="53" customFormat="false" ht="13.5" hidden="false" customHeight="false" outlineLevel="0" collapsed="false">
      <c r="A53" s="488" t="n">
        <f aca="false">+EOMONTH(A52,0)+1</f>
        <v>37622</v>
      </c>
      <c r="B53" s="489" t="n">
        <f aca="false">'NYISO A'!B58*16*'NYISO A'!DR58</f>
        <v>47712</v>
      </c>
      <c r="C53" s="489" t="n">
        <f aca="false">16*'NYISO G'!B58*'NYISO G'!DR58</f>
        <v>0</v>
      </c>
      <c r="D53" s="489" t="n">
        <f aca="false">16*'NYISO J'!B62*'NYISO J'!DR62</f>
        <v>0</v>
      </c>
      <c r="E53" s="489" t="n">
        <f aca="false">NEPOOL!B61*16*NEPOOL!DR61</f>
        <v>0</v>
      </c>
      <c r="F53" s="489" t="n">
        <f aca="false">PJM!B58*16*PJM!DR58</f>
        <v>0</v>
      </c>
      <c r="G53" s="489" t="n">
        <f aca="false">16*'NYISO A'!C58*'NYISO A'!DR58</f>
        <v>0</v>
      </c>
      <c r="H53" s="489" t="n">
        <f aca="false">16*'NYISO G'!C58*'NYISO G'!DR58</f>
        <v>0</v>
      </c>
      <c r="I53" s="489" t="n">
        <f aca="false">16*'NYISO J'!C62*'NYISO J'!DR62</f>
        <v>0</v>
      </c>
      <c r="J53" s="489" t="n">
        <f aca="false">16*NEPOOL!C58*NEPOOL!DR58</f>
        <v>0</v>
      </c>
      <c r="K53" s="489" t="n">
        <f aca="false">16*PJM!C58*PJM!DR58</f>
        <v>0</v>
      </c>
      <c r="L53" s="490" t="n">
        <f aca="false">+'NYISO A'!I58</f>
        <v>-23856</v>
      </c>
      <c r="M53" s="490" t="n">
        <f aca="false">+'NYISO G'!I58</f>
        <v>0</v>
      </c>
      <c r="N53" s="490" t="n">
        <f aca="false">+'NYISO J'!I62</f>
        <v>0</v>
      </c>
      <c r="O53" s="490" t="n">
        <f aca="false">+NEPOOL!I61</f>
        <v>0</v>
      </c>
      <c r="P53" s="490" t="n">
        <f aca="false">+PJM!I58</f>
        <v>0</v>
      </c>
      <c r="Q53" s="490" t="n">
        <f aca="false">+'NYISO A'!J58</f>
        <v>0</v>
      </c>
      <c r="R53" s="490" t="n">
        <f aca="false">+'NYISO G'!J58</f>
        <v>0</v>
      </c>
      <c r="S53" s="490" t="n">
        <f aca="false">+'NYISO J'!J62</f>
        <v>0</v>
      </c>
      <c r="T53" s="490" t="n">
        <f aca="false">+NEPOOL!J61</f>
        <v>0</v>
      </c>
      <c r="U53" s="490" t="n">
        <f aca="false">+PJM!J58</f>
        <v>0</v>
      </c>
    </row>
    <row r="54" customFormat="false" ht="12.75" hidden="false" customHeight="false" outlineLevel="0" collapsed="false">
      <c r="M54" s="0"/>
      <c r="N54" s="0"/>
      <c r="O54" s="0"/>
      <c r="P54" s="0"/>
      <c r="Q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3"/>
  <sheetViews>
    <sheetView showFormulas="false" showGridLines="true" showRowColHeaders="true" showZeros="true" rightToLeft="false" tabSelected="false" showOutlineSymbols="true" defaultGridColor="true" view="normal" topLeftCell="DF1" colorId="64" zoomScale="75" zoomScaleNormal="75" zoomScalePageLayoutView="100" workbookViewId="0">
      <selection pane="topLeft" activeCell="DL12" activeCellId="0" sqref="DL12:DL4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" width="12.56"/>
    <col collapsed="false" customWidth="true" hidden="false" outlineLevel="0" max="2" min="2" style="21" width="12.28"/>
    <col collapsed="false" customWidth="true" hidden="false" outlineLevel="0" max="3" min="3" style="21" width="9.99"/>
    <col collapsed="false" customWidth="true" hidden="false" outlineLevel="0" max="5" min="4" style="21" width="12.14"/>
    <col collapsed="false" customWidth="false" hidden="false" outlineLevel="0" max="6" min="6" style="21" width="9.14"/>
    <col collapsed="false" customWidth="true" hidden="false" outlineLevel="0" max="7" min="7" style="21" width="9.99"/>
    <col collapsed="false" customWidth="true" hidden="false" outlineLevel="0" max="8" min="8" style="21" width="11.85"/>
    <col collapsed="false" customWidth="true" hidden="false" outlineLevel="0" max="9" min="9" style="21" width="14.28"/>
    <col collapsed="false" customWidth="true" hidden="false" outlineLevel="0" max="10" min="10" style="21" width="17.85"/>
    <col collapsed="false" customWidth="true" hidden="false" outlineLevel="0" max="11" min="11" style="21" width="18.56"/>
    <col collapsed="false" customWidth="true" hidden="false" outlineLevel="0" max="12" min="12" style="21" width="9.28"/>
    <col collapsed="false" customWidth="true" hidden="false" outlineLevel="0" max="13" min="13" style="21" width="13.41"/>
    <col collapsed="false" customWidth="false" hidden="false" outlineLevel="0" max="14" min="14" style="21" width="9.14"/>
    <col collapsed="false" customWidth="true" hidden="false" outlineLevel="0" max="15" min="15" style="21" width="9.85"/>
    <col collapsed="false" customWidth="true" hidden="false" outlineLevel="0" max="17" min="16" style="21" width="11.85"/>
    <col collapsed="false" customWidth="true" hidden="false" outlineLevel="0" max="18" min="18" style="21" width="11.28"/>
    <col collapsed="false" customWidth="true" hidden="false" outlineLevel="0" max="19" min="19" style="22" width="11.7"/>
    <col collapsed="false" customWidth="true" hidden="false" outlineLevel="0" max="20" min="20" style="23" width="12.85"/>
    <col collapsed="false" customWidth="false" hidden="false" outlineLevel="0" max="21" min="21" style="23" width="9.14"/>
    <col collapsed="false" customWidth="true" hidden="false" outlineLevel="0" max="22" min="22" style="21" width="13.41"/>
    <col collapsed="false" customWidth="true" hidden="false" outlineLevel="0" max="24" min="23" style="21" width="9.99"/>
    <col collapsed="false" customWidth="false" hidden="false" outlineLevel="0" max="25" min="25" style="21" width="9.14"/>
    <col collapsed="false" customWidth="true" hidden="false" outlineLevel="0" max="30" min="26" style="21" width="9.99"/>
    <col collapsed="false" customWidth="false" hidden="false" outlineLevel="0" max="31" min="31" style="21" width="9.14"/>
    <col collapsed="false" customWidth="true" hidden="false" outlineLevel="0" max="32" min="32" style="21" width="9.99"/>
    <col collapsed="false" customWidth="false" hidden="false" outlineLevel="0" max="33" min="33" style="21" width="9.14"/>
    <col collapsed="false" customWidth="true" hidden="false" outlineLevel="0" max="34" min="34" style="24" width="9.99"/>
    <col collapsed="false" customWidth="false" hidden="false" outlineLevel="0" max="35" min="35" style="24" width="9.14"/>
    <col collapsed="false" customWidth="true" hidden="false" outlineLevel="0" max="36" min="36" style="24" width="9.99"/>
    <col collapsed="false" customWidth="false" hidden="false" outlineLevel="0" max="37" min="37" style="24" width="9.14"/>
    <col collapsed="false" customWidth="true" hidden="false" outlineLevel="0" max="38" min="38" style="21" width="9.99"/>
    <col collapsed="false" customWidth="false" hidden="false" outlineLevel="0" max="39" min="39" style="21" width="9.14"/>
    <col collapsed="false" customWidth="true" hidden="false" outlineLevel="0" max="40" min="40" style="21" width="9.99"/>
    <col collapsed="false" customWidth="false" hidden="false" outlineLevel="0" max="41" min="41" style="21" width="9.14"/>
    <col collapsed="false" customWidth="true" hidden="false" outlineLevel="0" max="42" min="42" style="21" width="9.99"/>
    <col collapsed="false" customWidth="true" hidden="false" outlineLevel="0" max="52" min="43" style="21" width="10.13"/>
    <col collapsed="false" customWidth="false" hidden="false" outlineLevel="0" max="53" min="53" style="21" width="9.14"/>
    <col collapsed="false" customWidth="true" hidden="false" outlineLevel="0" max="54" min="54" style="21" width="9.99"/>
    <col collapsed="false" customWidth="false" hidden="false" outlineLevel="0" max="55" min="55" style="21" width="9.14"/>
    <col collapsed="false" customWidth="true" hidden="false" outlineLevel="0" max="56" min="56" style="21" width="9.99"/>
    <col collapsed="false" customWidth="false" hidden="false" outlineLevel="0" max="57" min="57" style="21" width="9.14"/>
    <col collapsed="false" customWidth="true" hidden="false" outlineLevel="0" max="58" min="58" style="21" width="9.99"/>
    <col collapsed="false" customWidth="false" hidden="false" outlineLevel="0" max="59" min="59" style="21" width="9.14"/>
    <col collapsed="false" customWidth="true" hidden="false" outlineLevel="0" max="60" min="60" style="21" width="9.99"/>
    <col collapsed="false" customWidth="false" hidden="false" outlineLevel="0" max="61" min="61" style="21" width="9.14"/>
    <col collapsed="false" customWidth="true" hidden="false" outlineLevel="0" max="62" min="62" style="21" width="9.99"/>
    <col collapsed="false" customWidth="false" hidden="false" outlineLevel="0" max="63" min="63" style="21" width="9.14"/>
    <col collapsed="false" customWidth="true" hidden="false" outlineLevel="0" max="64" min="64" style="21" width="9.99"/>
    <col collapsed="false" customWidth="false" hidden="false" outlineLevel="0" max="65" min="65" style="21" width="9.14"/>
    <col collapsed="false" customWidth="true" hidden="false" outlineLevel="0" max="66" min="66" style="21" width="9.99"/>
    <col collapsed="false" customWidth="false" hidden="false" outlineLevel="0" max="67" min="67" style="21" width="9.14"/>
    <col collapsed="false" customWidth="true" hidden="false" outlineLevel="0" max="68" min="68" style="21" width="9.99"/>
    <col collapsed="false" customWidth="false" hidden="false" outlineLevel="0" max="69" min="69" style="21" width="9.14"/>
    <col collapsed="false" customWidth="true" hidden="false" outlineLevel="0" max="70" min="70" style="21" width="9.99"/>
    <col collapsed="false" customWidth="false" hidden="false" outlineLevel="0" max="71" min="71" style="21" width="9.14"/>
    <col collapsed="false" customWidth="true" hidden="false" outlineLevel="0" max="72" min="72" style="21" width="9.99"/>
    <col collapsed="false" customWidth="false" hidden="false" outlineLevel="0" max="89" min="73" style="21" width="9.14"/>
    <col collapsed="false" customWidth="true" hidden="false" outlineLevel="0" max="90" min="90" style="21" width="10.99"/>
    <col collapsed="false" customWidth="true" hidden="false" outlineLevel="0" max="91" min="91" style="21" width="14.41"/>
    <col collapsed="false" customWidth="false" hidden="false" outlineLevel="0" max="97" min="92" style="21" width="9.14"/>
    <col collapsed="false" customWidth="true" hidden="false" outlineLevel="0" max="98" min="98" style="21" width="9.99"/>
    <col collapsed="false" customWidth="false" hidden="false" outlineLevel="0" max="99" min="99" style="21" width="9.14"/>
    <col collapsed="false" customWidth="true" hidden="false" outlineLevel="0" max="100" min="100" style="21" width="9.99"/>
    <col collapsed="false" customWidth="false" hidden="false" outlineLevel="0" max="101" min="101" style="21" width="9.14"/>
    <col collapsed="false" customWidth="true" hidden="false" outlineLevel="0" max="102" min="102" style="21" width="9.99"/>
    <col collapsed="false" customWidth="false" hidden="false" outlineLevel="0" max="105" min="103" style="21" width="9.14"/>
    <col collapsed="false" customWidth="true" hidden="false" outlineLevel="0" max="106" min="106" style="21" width="10.99"/>
    <col collapsed="false" customWidth="true" hidden="false" outlineLevel="0" max="107" min="107" style="21" width="14.41"/>
    <col collapsed="false" customWidth="false" hidden="false" outlineLevel="0" max="108" min="108" style="21" width="9.14"/>
    <col collapsed="false" customWidth="true" hidden="false" outlineLevel="0" max="109" min="109" style="21" width="17.28"/>
    <col collapsed="false" customWidth="false" hidden="false" outlineLevel="0" max="114" min="110" style="21" width="9.14"/>
    <col collapsed="false" customWidth="true" hidden="false" outlineLevel="0" max="115" min="115" style="21" width="10.99"/>
    <col collapsed="false" customWidth="false" hidden="false" outlineLevel="0" max="257" min="116" style="21" width="9.14"/>
  </cols>
  <sheetData>
    <row r="1" customFormat="false" ht="15.75" hidden="false" customHeight="false" outlineLevel="0" collapsed="false">
      <c r="U1" s="23" t="s">
        <v>39</v>
      </c>
      <c r="AH1" s="21"/>
      <c r="AI1" s="21"/>
      <c r="AJ1" s="21"/>
      <c r="AK1" s="21"/>
    </row>
    <row r="2" customFormat="false" ht="25.5" hidden="false" customHeight="false" outlineLevel="0" collapsed="false">
      <c r="A2" s="25" t="s">
        <v>40</v>
      </c>
      <c r="N2" s="26"/>
      <c r="AH2" s="21"/>
      <c r="AI2" s="21"/>
      <c r="AJ2" s="21"/>
      <c r="AK2" s="21"/>
    </row>
    <row r="3" customFormat="false" ht="16.5" hidden="false" customHeight="false" outlineLevel="0" collapsed="false">
      <c r="L3" s="27"/>
      <c r="M3" s="27"/>
      <c r="N3" s="26"/>
      <c r="AH3" s="21"/>
      <c r="AI3" s="21"/>
      <c r="AJ3" s="21"/>
      <c r="AK3" s="21"/>
      <c r="AY3" s="21" t="n">
        <v>5</v>
      </c>
      <c r="AZ3" s="21" t="n">
        <v>46</v>
      </c>
    </row>
    <row r="4" customFormat="false" ht="16.5" hidden="false" customHeight="false" outlineLevel="0" collapsed="false">
      <c r="I4" s="28" t="s">
        <v>41</v>
      </c>
      <c r="J4" s="29" t="s">
        <v>42</v>
      </c>
      <c r="K4" s="29"/>
      <c r="M4" s="21" t="n">
        <v>58</v>
      </c>
      <c r="N4" s="30"/>
      <c r="P4" s="21" t="n">
        <f aca="false">67+58</f>
        <v>125</v>
      </c>
      <c r="S4" s="24"/>
      <c r="T4" s="24"/>
      <c r="AH4" s="21"/>
      <c r="AI4" s="21"/>
      <c r="AJ4" s="21"/>
      <c r="AK4" s="21"/>
      <c r="AY4" s="21" t="n">
        <v>1</v>
      </c>
      <c r="AZ4" s="21" t="n">
        <v>49</v>
      </c>
    </row>
    <row r="5" customFormat="false" ht="13.5" hidden="false" customHeight="false" outlineLevel="0" collapsed="false">
      <c r="A5" s="31" t="s">
        <v>43</v>
      </c>
      <c r="B5" s="32" t="n">
        <f aca="false">[3]Top!$B$4</f>
        <v>37134</v>
      </c>
      <c r="I5" s="33" t="s">
        <v>44</v>
      </c>
      <c r="J5" s="34" t="s">
        <v>45</v>
      </c>
      <c r="K5" s="34" t="s">
        <v>46</v>
      </c>
      <c r="P5" s="21" t="n">
        <f aca="false">+P4/2</f>
        <v>62.5</v>
      </c>
      <c r="S5" s="24"/>
      <c r="T5" s="24"/>
      <c r="U5" s="35"/>
      <c r="AH5" s="21"/>
      <c r="AI5" s="21"/>
      <c r="AJ5" s="21"/>
      <c r="AK5" s="21"/>
      <c r="AZ5" s="21" t="n">
        <f aca="false">+AZ3*AY3+AZ4*AY4</f>
        <v>279</v>
      </c>
    </row>
    <row r="6" customFormat="false" ht="16.5" hidden="false" customHeight="false" outlineLevel="0" collapsed="false">
      <c r="A6" s="36" t="s">
        <v>47</v>
      </c>
      <c r="B6" s="37" t="n">
        <f aca="false">[3]Top!$B$5</f>
        <v>37133</v>
      </c>
      <c r="E6" s="38"/>
      <c r="I6" s="39" t="n">
        <f aca="false">SUM(I12:I56)</f>
        <v>37534.2710852174</v>
      </c>
      <c r="J6" s="39" t="n">
        <f aca="false">SUM(J12:J56)</f>
        <v>-8080.00000000004</v>
      </c>
      <c r="K6" s="40" t="n">
        <f aca="false">SUM(K12:K60)</f>
        <v>37921.5802893189</v>
      </c>
      <c r="M6" s="41"/>
      <c r="S6" s="24"/>
      <c r="T6" s="24"/>
      <c r="U6" s="35"/>
      <c r="AH6" s="21"/>
      <c r="AI6" s="21"/>
      <c r="AJ6" s="21"/>
      <c r="AK6" s="21"/>
      <c r="AZ6" s="21" t="n">
        <f aca="false">+AZ5/6</f>
        <v>46.5</v>
      </c>
    </row>
    <row r="7" customFormat="false" ht="13.5" hidden="false" customHeight="true" outlineLevel="0" collapsed="false">
      <c r="N7" s="42" t="n">
        <f aca="false">+AVERAGE(N15:N16,N18:N19,N22:N26,N29:N30,N29:N33,N36:N40,N43,N43)</f>
        <v>35.0652173913044</v>
      </c>
      <c r="O7" s="42" t="n">
        <f aca="false">+AVERAGE(O15:O16,O18:O19,O22:O26,O29:O30,O29:O33,O36:O40,O43,O43)</f>
        <v>35.0652173913044</v>
      </c>
      <c r="S7" s="24"/>
      <c r="T7" s="24"/>
      <c r="U7" s="35"/>
      <c r="AH7" s="21"/>
      <c r="AI7" s="21"/>
      <c r="AJ7" s="21"/>
      <c r="AK7" s="21"/>
    </row>
    <row r="8" customFormat="false" ht="13.5" hidden="false" customHeight="false" outlineLevel="0" collapsed="false">
      <c r="P8" s="43"/>
      <c r="Q8" s="43"/>
      <c r="R8" s="43"/>
      <c r="S8" s="24"/>
      <c r="T8" s="24"/>
      <c r="U8" s="35"/>
      <c r="AH8" s="21"/>
      <c r="AI8" s="21"/>
      <c r="AJ8" s="21"/>
      <c r="AK8" s="21"/>
    </row>
    <row r="9" customFormat="false" ht="25.5" hidden="false" customHeight="true" outlineLevel="0" collapsed="false">
      <c r="H9" s="44"/>
      <c r="L9" s="24"/>
      <c r="P9" s="43"/>
      <c r="Q9" s="45" t="b">
        <f aca="false">FALSE()</f>
        <v>0</v>
      </c>
      <c r="R9" s="43"/>
      <c r="S9" s="24"/>
      <c r="T9" s="24"/>
      <c r="U9" s="35"/>
      <c r="AH9" s="21"/>
      <c r="AI9" s="21"/>
      <c r="AJ9" s="21"/>
      <c r="AK9" s="21"/>
    </row>
    <row r="10" customFormat="false" ht="13.5" hidden="false" customHeight="false" outlineLevel="0" collapsed="false">
      <c r="A10" s="28"/>
      <c r="B10" s="28" t="s">
        <v>48</v>
      </c>
      <c r="C10" s="28" t="s">
        <v>49</v>
      </c>
      <c r="D10" s="28" t="s">
        <v>50</v>
      </c>
      <c r="E10" s="28" t="s">
        <v>51</v>
      </c>
      <c r="F10" s="28" t="s">
        <v>52</v>
      </c>
      <c r="G10" s="28" t="s">
        <v>49</v>
      </c>
      <c r="H10" s="28" t="s">
        <v>53</v>
      </c>
      <c r="I10" s="28" t="s">
        <v>41</v>
      </c>
      <c r="J10" s="29" t="s">
        <v>54</v>
      </c>
      <c r="K10" s="29"/>
      <c r="L10" s="24"/>
      <c r="M10" s="46"/>
      <c r="N10" s="46"/>
      <c r="O10" s="46"/>
      <c r="P10" s="28" t="s">
        <v>55</v>
      </c>
      <c r="Q10" s="28" t="s">
        <v>56</v>
      </c>
      <c r="R10" s="28" t="s">
        <v>53</v>
      </c>
      <c r="S10" s="24"/>
      <c r="T10" s="24"/>
      <c r="U10" s="35"/>
      <c r="V10" s="47"/>
      <c r="W10" s="28" t="n">
        <v>1</v>
      </c>
      <c r="X10" s="28"/>
      <c r="Y10" s="28" t="n">
        <v>2</v>
      </c>
      <c r="Z10" s="28"/>
      <c r="AA10" s="28" t="n">
        <v>3</v>
      </c>
      <c r="AB10" s="28"/>
      <c r="AC10" s="28" t="n">
        <v>4</v>
      </c>
      <c r="AD10" s="28"/>
      <c r="AE10" s="28"/>
      <c r="AF10" s="28"/>
      <c r="AG10" s="28" t="n">
        <v>6</v>
      </c>
      <c r="AH10" s="28"/>
      <c r="AI10" s="28" t="n">
        <v>7</v>
      </c>
      <c r="AJ10" s="28"/>
      <c r="AK10" s="28" t="n">
        <v>8</v>
      </c>
      <c r="AL10" s="28"/>
      <c r="AM10" s="28" t="n">
        <v>9</v>
      </c>
      <c r="AN10" s="28"/>
      <c r="AO10" s="28" t="n">
        <v>10</v>
      </c>
      <c r="AP10" s="28"/>
      <c r="AQ10" s="28" t="n">
        <v>11</v>
      </c>
      <c r="AR10" s="28"/>
      <c r="AS10" s="28" t="n">
        <v>12</v>
      </c>
      <c r="AT10" s="28"/>
      <c r="AU10" s="28" t="n">
        <v>13</v>
      </c>
      <c r="AV10" s="28"/>
      <c r="AW10" s="28" t="n">
        <v>14</v>
      </c>
      <c r="AX10" s="28"/>
      <c r="AY10" s="28" t="n">
        <v>15</v>
      </c>
      <c r="AZ10" s="28"/>
      <c r="BA10" s="28" t="n">
        <v>16</v>
      </c>
      <c r="BB10" s="28"/>
      <c r="BC10" s="28" t="n">
        <v>17</v>
      </c>
      <c r="BD10" s="28"/>
      <c r="BE10" s="28" t="n">
        <v>18</v>
      </c>
      <c r="BF10" s="28"/>
      <c r="BG10" s="28" t="n">
        <v>19</v>
      </c>
      <c r="BH10" s="28"/>
      <c r="BI10" s="28" t="n">
        <v>20</v>
      </c>
      <c r="BJ10" s="28"/>
      <c r="BK10" s="28" t="n">
        <v>21</v>
      </c>
      <c r="BL10" s="28"/>
      <c r="BM10" s="28" t="n">
        <v>22</v>
      </c>
      <c r="BN10" s="28"/>
      <c r="BO10" s="28" t="n">
        <v>23</v>
      </c>
      <c r="BP10" s="28"/>
      <c r="BQ10" s="28" t="n">
        <v>24</v>
      </c>
      <c r="BR10" s="28"/>
      <c r="BS10" s="28" t="n">
        <v>25</v>
      </c>
      <c r="BT10" s="28"/>
      <c r="BU10" s="28" t="n">
        <v>26</v>
      </c>
      <c r="BV10" s="28"/>
      <c r="BW10" s="28" t="n">
        <v>27</v>
      </c>
      <c r="BX10" s="28"/>
      <c r="BY10" s="28" t="n">
        <v>28</v>
      </c>
      <c r="BZ10" s="28"/>
      <c r="CA10" s="28" t="n">
        <v>29</v>
      </c>
      <c r="CB10" s="28"/>
      <c r="CC10" s="28" t="n">
        <v>30</v>
      </c>
      <c r="CD10" s="28"/>
      <c r="CE10" s="28" t="n">
        <v>31</v>
      </c>
      <c r="CF10" s="28"/>
      <c r="CG10" s="28" t="n">
        <v>32</v>
      </c>
      <c r="CH10" s="28"/>
      <c r="CI10" s="28" t="n">
        <v>33</v>
      </c>
      <c r="CJ10" s="28"/>
      <c r="CK10" s="28" t="n">
        <v>34</v>
      </c>
      <c r="CL10" s="28"/>
      <c r="CM10" s="28" t="n">
        <v>35</v>
      </c>
      <c r="CN10" s="28"/>
      <c r="CO10" s="28" t="n">
        <v>36</v>
      </c>
      <c r="CP10" s="28"/>
      <c r="CQ10" s="28" t="n">
        <v>37</v>
      </c>
      <c r="CR10" s="28"/>
      <c r="CS10" s="28" t="n">
        <v>38</v>
      </c>
      <c r="CT10" s="28"/>
      <c r="CU10" s="28" t="n">
        <v>39</v>
      </c>
      <c r="CV10" s="28"/>
      <c r="CW10" s="28" t="n">
        <v>40</v>
      </c>
      <c r="CX10" s="28"/>
      <c r="CY10" s="48" t="s">
        <v>57</v>
      </c>
      <c r="CZ10" s="49" t="s">
        <v>58</v>
      </c>
      <c r="DA10" s="50"/>
      <c r="DB10" s="50"/>
      <c r="DC10" s="50" t="s">
        <v>59</v>
      </c>
      <c r="DD10" s="50" t="s">
        <v>60</v>
      </c>
      <c r="DE10" s="50" t="s">
        <v>61</v>
      </c>
      <c r="DF10" s="50" t="s">
        <v>62</v>
      </c>
      <c r="DG10" s="50" t="s">
        <v>62</v>
      </c>
      <c r="DH10" s="50" t="s">
        <v>63</v>
      </c>
      <c r="DI10" s="50" t="s">
        <v>63</v>
      </c>
      <c r="DL10" s="51" t="s">
        <v>52</v>
      </c>
    </row>
    <row r="11" customFormat="false" ht="13.5" hidden="false" customHeight="false" outlineLevel="0" collapsed="false">
      <c r="A11" s="52" t="s">
        <v>64</v>
      </c>
      <c r="B11" s="34" t="s">
        <v>65</v>
      </c>
      <c r="C11" s="33" t="s">
        <v>66</v>
      </c>
      <c r="D11" s="33" t="s">
        <v>67</v>
      </c>
      <c r="E11" s="33" t="s">
        <v>68</v>
      </c>
      <c r="F11" s="33" t="s">
        <v>69</v>
      </c>
      <c r="G11" s="33" t="s">
        <v>70</v>
      </c>
      <c r="H11" s="33" t="s">
        <v>69</v>
      </c>
      <c r="I11" s="33" t="s">
        <v>44</v>
      </c>
      <c r="J11" s="34" t="s">
        <v>45</v>
      </c>
      <c r="K11" s="34" t="s">
        <v>46</v>
      </c>
      <c r="L11" s="24"/>
      <c r="M11" s="52" t="s">
        <v>64</v>
      </c>
      <c r="N11" s="52" t="s">
        <v>71</v>
      </c>
      <c r="O11" s="52" t="s">
        <v>72</v>
      </c>
      <c r="P11" s="33" t="s">
        <v>56</v>
      </c>
      <c r="Q11" s="33" t="s">
        <v>73</v>
      </c>
      <c r="R11" s="33" t="s">
        <v>69</v>
      </c>
      <c r="S11" s="24"/>
      <c r="T11" s="24"/>
      <c r="U11" s="35"/>
      <c r="V11" s="33" t="s">
        <v>64</v>
      </c>
      <c r="W11" s="53" t="s">
        <v>74</v>
      </c>
      <c r="X11" s="34" t="s">
        <v>69</v>
      </c>
      <c r="Y11" s="53" t="s">
        <v>74</v>
      </c>
      <c r="Z11" s="34" t="s">
        <v>69</v>
      </c>
      <c r="AA11" s="53" t="s">
        <v>74</v>
      </c>
      <c r="AB11" s="34" t="s">
        <v>69</v>
      </c>
      <c r="AC11" s="53" t="s">
        <v>74</v>
      </c>
      <c r="AD11" s="34" t="s">
        <v>69</v>
      </c>
      <c r="AE11" s="53"/>
      <c r="AF11" s="34"/>
      <c r="AG11" s="53" t="s">
        <v>74</v>
      </c>
      <c r="AH11" s="34" t="s">
        <v>69</v>
      </c>
      <c r="AI11" s="53" t="s">
        <v>74</v>
      </c>
      <c r="AJ11" s="34" t="s">
        <v>69</v>
      </c>
      <c r="AK11" s="53" t="s">
        <v>74</v>
      </c>
      <c r="AL11" s="34" t="s">
        <v>69</v>
      </c>
      <c r="AM11" s="53" t="s">
        <v>74</v>
      </c>
      <c r="AN11" s="34" t="s">
        <v>69</v>
      </c>
      <c r="AO11" s="53" t="s">
        <v>74</v>
      </c>
      <c r="AP11" s="34" t="s">
        <v>69</v>
      </c>
      <c r="AQ11" s="53" t="s">
        <v>74</v>
      </c>
      <c r="AR11" s="34" t="s">
        <v>69</v>
      </c>
      <c r="AS11" s="53" t="s">
        <v>74</v>
      </c>
      <c r="AT11" s="34" t="s">
        <v>69</v>
      </c>
      <c r="AU11" s="54" t="s">
        <v>74</v>
      </c>
      <c r="AV11" s="55" t="s">
        <v>69</v>
      </c>
      <c r="AW11" s="53" t="s">
        <v>74</v>
      </c>
      <c r="AX11" s="34" t="s">
        <v>69</v>
      </c>
      <c r="AY11" s="53" t="s">
        <v>74</v>
      </c>
      <c r="AZ11" s="34" t="s">
        <v>69</v>
      </c>
      <c r="BA11" s="53" t="s">
        <v>74</v>
      </c>
      <c r="BB11" s="34" t="s">
        <v>69</v>
      </c>
      <c r="BC11" s="53" t="s">
        <v>74</v>
      </c>
      <c r="BD11" s="34" t="s">
        <v>69</v>
      </c>
      <c r="BE11" s="53" t="s">
        <v>74</v>
      </c>
      <c r="BF11" s="34" t="s">
        <v>69</v>
      </c>
      <c r="BG11" s="53" t="s">
        <v>74</v>
      </c>
      <c r="BH11" s="34" t="s">
        <v>69</v>
      </c>
      <c r="BI11" s="53" t="s">
        <v>74</v>
      </c>
      <c r="BJ11" s="34" t="s">
        <v>69</v>
      </c>
      <c r="BK11" s="53" t="s">
        <v>74</v>
      </c>
      <c r="BL11" s="34" t="s">
        <v>69</v>
      </c>
      <c r="BM11" s="53" t="s">
        <v>74</v>
      </c>
      <c r="BN11" s="34" t="s">
        <v>69</v>
      </c>
      <c r="BO11" s="53" t="s">
        <v>74</v>
      </c>
      <c r="BP11" s="34" t="s">
        <v>69</v>
      </c>
      <c r="BQ11" s="53" t="s">
        <v>74</v>
      </c>
      <c r="BR11" s="34" t="s">
        <v>69</v>
      </c>
      <c r="BS11" s="53" t="s">
        <v>74</v>
      </c>
      <c r="BT11" s="34" t="s">
        <v>69</v>
      </c>
      <c r="BU11" s="53" t="s">
        <v>74</v>
      </c>
      <c r="BV11" s="34" t="s">
        <v>69</v>
      </c>
      <c r="BW11" s="53" t="s">
        <v>74</v>
      </c>
      <c r="BX11" s="34" t="s">
        <v>69</v>
      </c>
      <c r="BY11" s="53" t="s">
        <v>74</v>
      </c>
      <c r="BZ11" s="34" t="s">
        <v>69</v>
      </c>
      <c r="CA11" s="53" t="s">
        <v>74</v>
      </c>
      <c r="CB11" s="34" t="s">
        <v>69</v>
      </c>
      <c r="CC11" s="53" t="s">
        <v>74</v>
      </c>
      <c r="CD11" s="34" t="s">
        <v>69</v>
      </c>
      <c r="CE11" s="53" t="s">
        <v>74</v>
      </c>
      <c r="CF11" s="34" t="s">
        <v>69</v>
      </c>
      <c r="CG11" s="53" t="s">
        <v>74</v>
      </c>
      <c r="CH11" s="34" t="s">
        <v>69</v>
      </c>
      <c r="CI11" s="53" t="s">
        <v>74</v>
      </c>
      <c r="CJ11" s="34" t="s">
        <v>69</v>
      </c>
      <c r="CK11" s="53" t="s">
        <v>74</v>
      </c>
      <c r="CL11" s="34" t="s">
        <v>69</v>
      </c>
      <c r="CM11" s="53" t="s">
        <v>74</v>
      </c>
      <c r="CN11" s="34" t="s">
        <v>69</v>
      </c>
      <c r="CO11" s="53" t="s">
        <v>74</v>
      </c>
      <c r="CP11" s="34" t="s">
        <v>69</v>
      </c>
      <c r="CQ11" s="53" t="s">
        <v>74</v>
      </c>
      <c r="CR11" s="34" t="s">
        <v>69</v>
      </c>
      <c r="CS11" s="53" t="s">
        <v>74</v>
      </c>
      <c r="CT11" s="34" t="s">
        <v>69</v>
      </c>
      <c r="CU11" s="53" t="s">
        <v>74</v>
      </c>
      <c r="CV11" s="34" t="s">
        <v>69</v>
      </c>
      <c r="CW11" s="53" t="s">
        <v>74</v>
      </c>
      <c r="CX11" s="34" t="s">
        <v>69</v>
      </c>
      <c r="CY11" s="56" t="s">
        <v>74</v>
      </c>
      <c r="CZ11" s="57" t="s">
        <v>69</v>
      </c>
      <c r="DA11" s="50"/>
      <c r="DB11" s="50"/>
      <c r="DC11" s="50" t="s">
        <v>75</v>
      </c>
      <c r="DD11" s="50" t="s">
        <v>76</v>
      </c>
      <c r="DE11" s="50"/>
      <c r="DF11" s="50" t="n">
        <v>1</v>
      </c>
      <c r="DG11" s="50" t="n">
        <v>2</v>
      </c>
      <c r="DH11" s="50" t="n">
        <v>1</v>
      </c>
      <c r="DI11" s="50" t="n">
        <v>2</v>
      </c>
      <c r="DL11" s="51" t="s">
        <v>77</v>
      </c>
      <c r="DN11" s="51" t="s">
        <v>78</v>
      </c>
    </row>
    <row r="12" customFormat="false" ht="18.75" hidden="false" customHeight="false" outlineLevel="0" collapsed="false">
      <c r="A12" s="58" t="n">
        <f aca="false">[4]NYZoneA!$D3</f>
        <v>37135</v>
      </c>
      <c r="B12" s="59" t="n">
        <f aca="false">+([3]NYZoneA!$L3+[3]NYZoneD!$L3)/16</f>
        <v>0</v>
      </c>
      <c r="C12" s="60" t="n">
        <f aca="false">CY12</f>
        <v>0</v>
      </c>
      <c r="D12" s="61" t="n">
        <f aca="false">($AN$69+IF(MONTH(A12)=MONTH(EOMONTH(TradeDate,1)),$AN$70,0))*VLOOKUP(A12,$DK$12:$DN$43,4)</f>
        <v>0</v>
      </c>
      <c r="E12" s="62" t="n">
        <f aca="false">SUM(B12:D12)</f>
        <v>0</v>
      </c>
      <c r="F12" s="63" t="n">
        <f aca="false">+[3]NYZoneA!$C3</f>
        <v>34</v>
      </c>
      <c r="G12" s="63" t="n">
        <f aca="false">IF($Q$9,Q12,P12)</f>
        <v>-3.72</v>
      </c>
      <c r="H12" s="64" t="n">
        <f aca="false">F12+G12</f>
        <v>30.28</v>
      </c>
      <c r="I12" s="65" t="n">
        <f aca="false">B12*G12*DD12</f>
        <v>-0</v>
      </c>
      <c r="J12" s="66" t="n">
        <f aca="false">DH12+DI12</f>
        <v>0</v>
      </c>
      <c r="K12" s="66" t="n">
        <f aca="false">I12+J12</f>
        <v>0</v>
      </c>
      <c r="L12" s="24"/>
      <c r="M12" s="67" t="n">
        <f aca="false">A12</f>
        <v>37135</v>
      </c>
      <c r="N12" s="68" t="n">
        <v>30.28</v>
      </c>
      <c r="O12" s="68" t="n">
        <v>30.28</v>
      </c>
      <c r="P12" s="69" t="n">
        <f aca="false">AVERAGE(N12:O12)-F12</f>
        <v>-3.72</v>
      </c>
      <c r="Q12" s="70"/>
      <c r="R12" s="71" t="n">
        <f aca="false">H12</f>
        <v>30.28</v>
      </c>
      <c r="S12" s="24"/>
      <c r="T12" s="24"/>
      <c r="U12" s="72"/>
      <c r="V12" s="73" t="n">
        <f aca="false">A12</f>
        <v>37135</v>
      </c>
      <c r="W12" s="74"/>
      <c r="X12" s="75"/>
      <c r="Y12" s="74"/>
      <c r="Z12" s="76"/>
      <c r="AA12" s="77"/>
      <c r="AB12" s="78"/>
      <c r="AC12" s="74"/>
      <c r="AD12" s="76"/>
      <c r="AE12" s="74"/>
      <c r="AF12" s="76"/>
      <c r="AG12" s="74"/>
      <c r="AH12" s="76"/>
      <c r="AI12" s="79"/>
      <c r="AJ12" s="80"/>
      <c r="AK12" s="74"/>
      <c r="AL12" s="76"/>
      <c r="AM12" s="74"/>
      <c r="AN12" s="76"/>
      <c r="AO12" s="74"/>
      <c r="AP12" s="76"/>
      <c r="AQ12" s="74"/>
      <c r="AR12" s="76"/>
      <c r="AS12" s="74"/>
      <c r="AT12" s="76"/>
      <c r="AU12" s="74"/>
      <c r="AV12" s="76"/>
      <c r="AW12" s="74"/>
      <c r="AX12" s="76"/>
      <c r="AY12" s="74"/>
      <c r="AZ12" s="76"/>
      <c r="BA12" s="74"/>
      <c r="BB12" s="76"/>
      <c r="BC12" s="74"/>
      <c r="BD12" s="76"/>
      <c r="BE12" s="74"/>
      <c r="BF12" s="76"/>
      <c r="BG12" s="74"/>
      <c r="BH12" s="76"/>
      <c r="BI12" s="81"/>
      <c r="BJ12" s="75"/>
      <c r="BK12" s="81"/>
      <c r="BL12" s="75"/>
      <c r="BM12" s="81"/>
      <c r="BN12" s="75"/>
      <c r="BO12" s="81"/>
      <c r="BP12" s="75"/>
      <c r="BQ12" s="81"/>
      <c r="BR12" s="75"/>
      <c r="BS12" s="81"/>
      <c r="BT12" s="75"/>
      <c r="BU12" s="81"/>
      <c r="BV12" s="75"/>
      <c r="BW12" s="81"/>
      <c r="BX12" s="75"/>
      <c r="BY12" s="81"/>
      <c r="BZ12" s="75"/>
      <c r="CA12" s="81"/>
      <c r="CB12" s="75"/>
      <c r="CC12" s="81"/>
      <c r="CD12" s="75"/>
      <c r="CE12" s="81"/>
      <c r="CF12" s="75"/>
      <c r="CG12" s="81"/>
      <c r="CH12" s="75"/>
      <c r="CI12" s="81"/>
      <c r="CJ12" s="75"/>
      <c r="CK12" s="81"/>
      <c r="CL12" s="75"/>
      <c r="CM12" s="81"/>
      <c r="CN12" s="75"/>
      <c r="CO12" s="81"/>
      <c r="CP12" s="75"/>
      <c r="CQ12" s="81"/>
      <c r="CR12" s="75"/>
      <c r="CS12" s="81"/>
      <c r="CT12" s="75"/>
      <c r="CU12" s="81"/>
      <c r="CV12" s="75"/>
      <c r="CW12" s="81"/>
      <c r="CX12" s="75"/>
      <c r="CY12" s="82" t="n">
        <f aca="false">W12+Y12+AA12+AC12+AE12+AG12+AI12+AK12+AM12+AO12+AQ12+AS12+AU12+AW12+AY12+BA12+BC12+BE12+BG12+BI12+BK12+BM12+BO12+BQ12+BS12+BU12+BW12+BY12+CA12+CC12+CE12+CG12+CI12+CK12+CM12+CO12+CQ12+CS12+CU12+CW12</f>
        <v>0</v>
      </c>
      <c r="CZ12" s="83" t="n">
        <f aca="false">IF(AND(CY12=0,DC12=0),0,(DF12+DG12)/DC12)</f>
        <v>0</v>
      </c>
      <c r="DA12" s="84" t="n">
        <f aca="false">DC12*DD12</f>
        <v>0</v>
      </c>
      <c r="DB12" s="85" t="n">
        <f aca="false">V12</f>
        <v>37135</v>
      </c>
      <c r="DC12" s="84" t="n">
        <f aca="false">ABS(W12)+ABS(Y12)+ABS(AA12)+ABS(AC12)+ABS(AE12)+ABS(AG12)+ABS(AI12)+ABS(AK12)+ABS(AM12)+ABS(AO12)+ABS(AQ12)+ABS(AS12)+ABS(AU12)+ABS(AW12)+ABS(AY12)+ABS(BA12)+ABS(BC12)+ABS(BE12)+ABS(BG12)+ABS(BI12)+ABS(BK12)+ABS(BM12)+ABS(BO12)+ABS(BQ12)+ABS(BS12)+ABS(BU12)+ABS(BW12)+ABS(BY12)+ABS(CA12)+ABS(CC12)+ABS(CE12)+ABS(CG12)+ABS(CI12)+ABS(CK12)+ABS(CM12)+ABS(CO12)+ABS(CQ12)+ABS(CS12)+ABS(CU12)+ABS(CW12)</f>
        <v>0</v>
      </c>
      <c r="DD12" s="86" t="n">
        <v>16</v>
      </c>
      <c r="DE12" s="84" t="n">
        <v>1</v>
      </c>
      <c r="DF12" s="43" t="n">
        <f aca="false">(ABS(W12)*X12+ABS(Y12)*Z12+ABS(AA12)*AB12+ABS(AC12)*AD12+ABS(AE12)*AF12+ABS(AG12)*AH12+ABS(AI12)*AJ12+ABS(AK12)*AL12+ABS(AM12)*AN12+ABS(AO12)*AP12+ABS(AQ12)*AR12+ABS(AS12)*AT12+ABS(AU12)*AV12+ABS(AW12)*AX12+ABS(AY12)*AZ12+ABS(BA12)*BB12+ABS(BC12)*BD12+ABS(BE12)*BF12+ABS(BG12)*BH12+ABS(BI12)*BJ12)</f>
        <v>0</v>
      </c>
      <c r="DG12" s="43" t="n">
        <f aca="false">ABS(BK12)*BL12+ABS(BM12)*BN12+ABS(BO12)*BP12+ABS(BQ12)*BR12+ABS(BS12)*BT12+ABS(BU12)*BV12+ABS(BW12)*BX12+ABS(BY12)*BZ12+ABS(CA12)*CB12+ABS(CC12)*CD12+ABS(CE12)*CF12+ABS(CG12)*CH12+ABS(CI12)*CJ12+ABS(CK12)*CL12+ABS(CM12)*CN12+ABS(CO12)*CP12+ABS(CQ12)*CR12+ABS(CS12)*CT12+ABS(CU12)*CV12+ABS(CW12)*CX12</f>
        <v>0</v>
      </c>
      <c r="DH12" s="43" t="n">
        <f aca="false">((H12-X12)*W12+(H12-Z12)*Y12+(H12-AB12)*AA12+(H12-AD12)*AC12+(H12-AF12)*AE12+(H12-AH12)*AG12+(H12-AJ12)*AI12+(H12-AL12)*AK12+(H12-AN12)*AM12+(H12-AP12)*AO12+(H12-AR12)*AQ12+(H12-AT12)*AS12+(H12-AV12)*AU12+(H12-AX12)*AW12+(H12-AZ12)*AY12+(H12-BB12)*BA12+(H12-BD12)*BC12+(H12-BF12)*BE12+(H12-BH12)*BG12+(H12-BJ12)*BI12)*DD12*DE12</f>
        <v>0</v>
      </c>
      <c r="DI12" s="43" t="n">
        <f aca="false">(((H12-BL12)*BK12+(H12-BN12)*BM12+(H12-BP12)*BO12+(H12-BR12)*BQ12+(H12-BT12)*BS12+(H12-BV12)*BU12+(H12-BX12)*BW12+(H12-BZ12)*BY12+(H12-CB12)*CA12+(H12-CD12)*CC12+(H12-CF12)*CE12+(H12-CH12)*CG12+(H12-CJ12)*CH12+(H12-CL12)*CK12+(H12-CN12)*CM12+(H12-CP12)*CO12+(H12-CR12)*CQ12+(H12-CT12)*CS12+(H12-CV12)*CU12+(H12-CX12)*CW12)*DD12*DE12)</f>
        <v>0</v>
      </c>
      <c r="DJ12" s="21" t="n">
        <v>0</v>
      </c>
      <c r="DK12" s="85" t="n">
        <v>37135</v>
      </c>
      <c r="DL12" s="21" t="n">
        <v>0</v>
      </c>
      <c r="DM12" s="21" t="n">
        <f aca="false">[3]NYZoneA!$L3</f>
        <v>0</v>
      </c>
      <c r="DN12" s="21" t="n">
        <f aca="false">IF(AND(WEEKDAY(DK12)&gt;1,WEEKDAY(DK12)&lt;7),1,0)</f>
        <v>0</v>
      </c>
    </row>
    <row r="13" customFormat="false" ht="21" hidden="false" customHeight="true" outlineLevel="0" collapsed="false">
      <c r="A13" s="58" t="n">
        <f aca="false">[4]NYZoneA!$D4</f>
        <v>37136</v>
      </c>
      <c r="B13" s="59" t="n">
        <f aca="false">+([3]NYZoneA!$L4+[3]NYZoneD!$L4)/16</f>
        <v>0</v>
      </c>
      <c r="C13" s="87" t="n">
        <f aca="false">CY13</f>
        <v>0</v>
      </c>
      <c r="D13" s="87" t="n">
        <f aca="false">(IF(MONTH(A13)=MONTH(EOMONTH(TradeDate,1)),$AN$70,0)*VLOOKUP(A13,$DK$12:$DN$43,4))</f>
        <v>0</v>
      </c>
      <c r="E13" s="62" t="n">
        <f aca="false">SUM(B13:D13)</f>
        <v>0</v>
      </c>
      <c r="F13" s="63" t="n">
        <f aca="false">+[3]NYZoneA!$C4</f>
        <v>34</v>
      </c>
      <c r="G13" s="88" t="n">
        <f aca="false">IF($Q$9,Q13,P13)</f>
        <v>0</v>
      </c>
      <c r="H13" s="89" t="n">
        <f aca="false">F13+G13</f>
        <v>34</v>
      </c>
      <c r="I13" s="87" t="n">
        <f aca="false">B13*G13*DD13</f>
        <v>0</v>
      </c>
      <c r="J13" s="66" t="n">
        <f aca="false">DH13+DI13</f>
        <v>0</v>
      </c>
      <c r="K13" s="90" t="n">
        <f aca="false">I13+J13</f>
        <v>0</v>
      </c>
      <c r="L13" s="42"/>
      <c r="M13" s="67" t="n">
        <f aca="false">A13</f>
        <v>37136</v>
      </c>
      <c r="N13" s="68" t="n">
        <v>34</v>
      </c>
      <c r="O13" s="68" t="n">
        <v>34</v>
      </c>
      <c r="P13" s="69" t="n">
        <f aca="false">AVERAGE(N13:O13)-F13</f>
        <v>0</v>
      </c>
      <c r="Q13" s="70"/>
      <c r="R13" s="91" t="n">
        <f aca="false">H13</f>
        <v>34</v>
      </c>
      <c r="S13" s="24"/>
      <c r="T13" s="24"/>
      <c r="U13" s="72"/>
      <c r="V13" s="73" t="n">
        <f aca="false">A13</f>
        <v>37136</v>
      </c>
      <c r="W13" s="74"/>
      <c r="X13" s="75"/>
      <c r="Y13" s="74"/>
      <c r="Z13" s="76"/>
      <c r="AA13" s="77"/>
      <c r="AB13" s="92"/>
      <c r="AC13" s="74"/>
      <c r="AD13" s="76"/>
      <c r="AE13" s="74"/>
      <c r="AF13" s="76"/>
      <c r="AG13" s="77"/>
      <c r="AH13" s="78"/>
      <c r="AI13" s="77"/>
      <c r="AJ13" s="78"/>
      <c r="AK13" s="77"/>
      <c r="AL13" s="78"/>
      <c r="AM13" s="77"/>
      <c r="AN13" s="76"/>
      <c r="AO13" s="77"/>
      <c r="AP13" s="78"/>
      <c r="AQ13" s="93"/>
      <c r="AR13" s="78"/>
      <c r="AS13" s="93"/>
      <c r="AT13" s="78"/>
      <c r="AU13" s="94"/>
      <c r="AV13" s="95"/>
      <c r="AW13" s="96"/>
      <c r="AX13" s="75"/>
      <c r="AY13" s="81"/>
      <c r="AZ13" s="75"/>
      <c r="BA13" s="81"/>
      <c r="BB13" s="75"/>
      <c r="BC13" s="96"/>
      <c r="BD13" s="75"/>
      <c r="BE13" s="81"/>
      <c r="BF13" s="75"/>
      <c r="BG13" s="96"/>
      <c r="BH13" s="75"/>
      <c r="BI13" s="81"/>
      <c r="BJ13" s="75"/>
      <c r="BK13" s="81"/>
      <c r="BL13" s="75"/>
      <c r="BM13" s="81"/>
      <c r="BN13" s="75"/>
      <c r="BO13" s="81"/>
      <c r="BP13" s="75"/>
      <c r="BQ13" s="81"/>
      <c r="BR13" s="75"/>
      <c r="BS13" s="81"/>
      <c r="BT13" s="75"/>
      <c r="BU13" s="81"/>
      <c r="BV13" s="75"/>
      <c r="BW13" s="81"/>
      <c r="BX13" s="75"/>
      <c r="BY13" s="81"/>
      <c r="BZ13" s="75"/>
      <c r="CA13" s="81"/>
      <c r="CB13" s="75"/>
      <c r="CC13" s="81"/>
      <c r="CD13" s="75"/>
      <c r="CE13" s="81"/>
      <c r="CF13" s="75"/>
      <c r="CG13" s="81"/>
      <c r="CH13" s="75"/>
      <c r="CI13" s="81"/>
      <c r="CJ13" s="75"/>
      <c r="CK13" s="81"/>
      <c r="CL13" s="75"/>
      <c r="CM13" s="81"/>
      <c r="CN13" s="75"/>
      <c r="CO13" s="81"/>
      <c r="CP13" s="75"/>
      <c r="CQ13" s="81"/>
      <c r="CR13" s="75"/>
      <c r="CS13" s="81"/>
      <c r="CT13" s="75"/>
      <c r="CU13" s="81"/>
      <c r="CV13" s="75"/>
      <c r="CW13" s="81"/>
      <c r="CX13" s="75"/>
      <c r="CY13" s="82" t="n">
        <f aca="false">W13+Y13+AA13+AC13+AE13+AG13+AI13+AK13+AM13+AO13+AQ13+AS13+AU13+AW13+AY13+BA13+BC13+BE13+BG13+BI13+BK13+BM13+BO13+BQ13+BS13+BU13+BW13+BY13+CA13+CC13+CE13+CG13+CI13+CK13+CM13+CO13+CQ13+CS13+CU13+CW13</f>
        <v>0</v>
      </c>
      <c r="CZ13" s="83" t="n">
        <f aca="false">IF(AND(CY13=0,DC13=0),0,(DF13+DG13)/DC13)</f>
        <v>0</v>
      </c>
      <c r="DA13" s="84" t="n">
        <f aca="false">DC13*DD13</f>
        <v>0</v>
      </c>
      <c r="DB13" s="85" t="n">
        <f aca="false">V13</f>
        <v>37136</v>
      </c>
      <c r="DC13" s="84" t="n">
        <f aca="false">ABS(W13)+ABS(Y13)+ABS(AA13)+ABS(AC13)+ABS(AE13)+ABS(AG13)+ABS(AI13)+ABS(AK13)+ABS(AM13)+ABS(AO13)+ABS(AQ13)+ABS(AS13)+ABS(AU13)+ABS(AW13)+ABS(AY13)+ABS(BA13)+ABS(BC13)+ABS(BE13)+ABS(BG13)+ABS(BI13)+ABS(BK13)+ABS(BM13)+ABS(BO13)+ABS(BQ13)+ABS(BS13)+ABS(BU13)+ABS(BW13)+ABS(BY13)+ABS(CA13)+ABS(CC13)+ABS(CE13)+ABS(CG13)+ABS(CI13)+ABS(CK13)+ABS(CM13)+ABS(CO13)+ABS(CQ13)+ABS(CS13)+ABS(CU13)+ABS(CW13)</f>
        <v>0</v>
      </c>
      <c r="DD13" s="86" t="n">
        <v>16</v>
      </c>
      <c r="DE13" s="84" t="n">
        <v>1</v>
      </c>
      <c r="DF13" s="43" t="n">
        <f aca="false">(ABS(W13)*X13+ABS(Y13)*Z13+ABS(AA13)*AB13+ABS(AC13)*AD13+ABS(AE13)*AF13+ABS(AG13)*AH13+ABS(AI13)*AJ13+ABS(AK13)*AL13+ABS(AM13)*AN13+ABS(AO13)*AP13+ABS(AQ13)*AR13+ABS(AS13)*AT13+ABS(AU13)*AV13+ABS(AW13)*AX13+ABS(AY13)*AZ13+ABS(BA13)*BB13+ABS(BC13)*BD13+ABS(BE13)*BF13+ABS(BG13)*BH13+ABS(BI13)*BJ13)</f>
        <v>0</v>
      </c>
      <c r="DG13" s="43" t="n">
        <f aca="false">ABS(BK13)*BL13+ABS(BM13)*BN13+ABS(BO13)*BP13+ABS(BQ13)*BR13+ABS(BS13)*BT13+ABS(BU13)*BV13+ABS(BW13)*BX13+ABS(BY13)*BZ13+ABS(CA13)*CB13+ABS(CC13)*CD13+ABS(CE13)*CF13+ABS(CG13)*CH13+ABS(CI13)*CJ13+ABS(CK13)*CL13+ABS(CM13)*CN13+ABS(CO13)*CP13+ABS(CQ13)*CR13+ABS(CS13)*CT13+ABS(CU13)*CV13+ABS(CW13)*CX13</f>
        <v>0</v>
      </c>
      <c r="DH13" s="43" t="n">
        <f aca="false">((H13-X13)*W13+(H13-Z13)*Y13+(H13-AB13)*AA13+(H13-AD13)*AC13+(H13-AF13)*AE13+(H13-AH13)*AG13+(H13-AJ13)*AI13+(H13-AL13)*AK13+(H13-AN13)*AM13+(H13-AP13)*AO13+(H13-AR13)*AQ13+(H13-AT13)*AS13+(H13-AV13)*AU13+(H13-AX13)*AW13+(H13-AZ13)*AY13+(H13-BB13)*BA13+(H13-BD13)*BC13+(H13-BF13)*BE13+(H13-BH13)*BG13+(H13-BJ13)*BI13)*DD13*DE13</f>
        <v>0</v>
      </c>
      <c r="DI13" s="43" t="n">
        <f aca="false">(((H13-BL13)*BK13+(H13-BN13)*BM13+(H13-BP13)*BO13+(H13-BR13)*BQ13+(H13-BT13)*BS13+(H13-BV13)*BU13+(H13-BX13)*BW13+(H13-BZ13)*BY13+(H13-CB13)*CA13+(H13-CD13)*CC13+(H13-CF13)*CE13+(H13-CH13)*CG13+(H13-CJ13)*CH13+(H13-CL13)*CK13+(H13-CN13)*CM13+(H13-CP13)*CO13+(H13-CR13)*CQ13+(H13-CT13)*CS13+(H13-CV13)*CU13+(H13-CX13)*CW13)*DD13*DE13)</f>
        <v>0</v>
      </c>
      <c r="DJ13" s="21" t="n">
        <v>0</v>
      </c>
      <c r="DK13" s="85" t="n">
        <v>37136</v>
      </c>
      <c r="DL13" s="21" t="n">
        <v>0</v>
      </c>
      <c r="DM13" s="21" t="n">
        <f aca="false">[3]NYZoneA!$L4</f>
        <v>0</v>
      </c>
      <c r="DN13" s="21" t="n">
        <f aca="false">IF(AND(WEEKDAY(DK13)&gt;1,WEEKDAY(DK13)&lt;7),1,0)</f>
        <v>0</v>
      </c>
    </row>
    <row r="14" customFormat="false" ht="18.75" hidden="false" customHeight="false" outlineLevel="0" collapsed="false">
      <c r="A14" s="58" t="n">
        <f aca="false">[4]NYZoneA!$D5</f>
        <v>37137</v>
      </c>
      <c r="B14" s="59" t="n">
        <f aca="false">+([3]NYZoneA!$L5+[3]NYZoneD!$L5)/16</f>
        <v>0</v>
      </c>
      <c r="C14" s="87" t="n">
        <f aca="false">CY14</f>
        <v>0</v>
      </c>
      <c r="D14" s="61" t="n">
        <f aca="false">(IF(MONTH(A14)=MONTH(EOMONTH(TradeDate,1)),$AN$70,0)*VLOOKUP(A14,$DK$12:$DN$43,4))</f>
        <v>0</v>
      </c>
      <c r="E14" s="62" t="n">
        <f aca="false">SUM(B14:D14)</f>
        <v>0</v>
      </c>
      <c r="F14" s="63" t="n">
        <f aca="false">+[3]NYZoneA!$C5</f>
        <v>34</v>
      </c>
      <c r="G14" s="63" t="n">
        <f aca="false">IF($Q$9,Q14,P14)</f>
        <v>0</v>
      </c>
      <c r="H14" s="64" t="n">
        <f aca="false">F14+G14</f>
        <v>34</v>
      </c>
      <c r="I14" s="65" t="n">
        <f aca="false">B14*G14*DD14</f>
        <v>0</v>
      </c>
      <c r="J14" s="66" t="n">
        <f aca="false">DH14+DI14</f>
        <v>0</v>
      </c>
      <c r="K14" s="66" t="n">
        <f aca="false">I14+J14</f>
        <v>0</v>
      </c>
      <c r="L14" s="24"/>
      <c r="M14" s="67" t="n">
        <f aca="false">A14</f>
        <v>37137</v>
      </c>
      <c r="N14" s="68" t="n">
        <v>34</v>
      </c>
      <c r="O14" s="68" t="n">
        <v>34</v>
      </c>
      <c r="P14" s="69" t="n">
        <f aca="false">AVERAGE(N14:O14)-F14</f>
        <v>0</v>
      </c>
      <c r="Q14" s="70"/>
      <c r="R14" s="91" t="n">
        <f aca="false">H14</f>
        <v>34</v>
      </c>
      <c r="S14" s="24"/>
      <c r="T14" s="24"/>
      <c r="U14" s="72"/>
      <c r="V14" s="73" t="n">
        <f aca="false">A14</f>
        <v>37137</v>
      </c>
      <c r="W14" s="74"/>
      <c r="X14" s="75"/>
      <c r="Y14" s="74"/>
      <c r="Z14" s="76"/>
      <c r="AA14" s="77"/>
      <c r="AB14" s="78"/>
      <c r="AC14" s="74"/>
      <c r="AD14" s="76"/>
      <c r="AE14" s="74"/>
      <c r="AF14" s="76"/>
      <c r="AG14" s="77"/>
      <c r="AH14" s="78"/>
      <c r="AI14" s="77"/>
      <c r="AJ14" s="78"/>
      <c r="AK14" s="77"/>
      <c r="AL14" s="78"/>
      <c r="AM14" s="77"/>
      <c r="AN14" s="97"/>
      <c r="AO14" s="77"/>
      <c r="AP14" s="78"/>
      <c r="AQ14" s="93"/>
      <c r="AR14" s="78"/>
      <c r="AS14" s="93"/>
      <c r="AT14" s="78"/>
      <c r="AU14" s="94"/>
      <c r="AV14" s="95"/>
      <c r="AW14" s="96"/>
      <c r="AX14" s="75"/>
      <c r="AY14" s="81"/>
      <c r="AZ14" s="75"/>
      <c r="BA14" s="81"/>
      <c r="BB14" s="75"/>
      <c r="BC14" s="96"/>
      <c r="BD14" s="75"/>
      <c r="BE14" s="81"/>
      <c r="BF14" s="75"/>
      <c r="BG14" s="96"/>
      <c r="BH14" s="75"/>
      <c r="BI14" s="81"/>
      <c r="BJ14" s="75"/>
      <c r="BK14" s="81"/>
      <c r="BL14" s="75"/>
      <c r="BM14" s="81"/>
      <c r="BN14" s="75"/>
      <c r="BO14" s="81"/>
      <c r="BP14" s="75"/>
      <c r="BQ14" s="81"/>
      <c r="BR14" s="75"/>
      <c r="BS14" s="81"/>
      <c r="BT14" s="75"/>
      <c r="BU14" s="81"/>
      <c r="BV14" s="75"/>
      <c r="BW14" s="81"/>
      <c r="BX14" s="75"/>
      <c r="BY14" s="81"/>
      <c r="BZ14" s="75"/>
      <c r="CA14" s="81"/>
      <c r="CB14" s="75"/>
      <c r="CC14" s="81"/>
      <c r="CD14" s="75"/>
      <c r="CE14" s="81"/>
      <c r="CF14" s="75"/>
      <c r="CG14" s="81"/>
      <c r="CH14" s="75"/>
      <c r="CI14" s="81"/>
      <c r="CJ14" s="75"/>
      <c r="CK14" s="81"/>
      <c r="CL14" s="75"/>
      <c r="CM14" s="81"/>
      <c r="CN14" s="75"/>
      <c r="CO14" s="81"/>
      <c r="CP14" s="75"/>
      <c r="CQ14" s="81"/>
      <c r="CR14" s="75"/>
      <c r="CS14" s="81"/>
      <c r="CT14" s="75"/>
      <c r="CU14" s="81"/>
      <c r="CV14" s="75"/>
      <c r="CW14" s="81"/>
      <c r="CX14" s="75"/>
      <c r="CY14" s="82" t="n">
        <f aca="false">W14+Y14+AA14+AC14+AE14+AG14+AI14+AK14+AM14+AO14+AQ14+AS14+AU14+AW14+AY14+BA14+BC14+BE14+BG14+BI14+BK14+BM14+BO14+BQ14+BS14+BU14+BW14+BY14+CA14+CC14+CE14+CG14+CI14+CK14+CM14+CO14+CQ14+CS14+CU14+CW14</f>
        <v>0</v>
      </c>
      <c r="CZ14" s="83" t="n">
        <f aca="false">IF(AND(CY14=0,DC14=0),0,(DF14+DG14)/DC14)</f>
        <v>0</v>
      </c>
      <c r="DA14" s="84" t="n">
        <f aca="false">DC14*DD14</f>
        <v>0</v>
      </c>
      <c r="DB14" s="85" t="n">
        <f aca="false">V14</f>
        <v>37137</v>
      </c>
      <c r="DC14" s="84" t="n">
        <f aca="false">ABS(W14)+ABS(Y14)+ABS(AA14)+ABS(AC14)+ABS(AE14)+ABS(AG14)+ABS(AI14)+ABS(AK14)+ABS(AM14)+ABS(AO14)+ABS(AQ14)+ABS(AS14)+ABS(AU14)+ABS(AW14)+ABS(AY14)+ABS(BA14)+ABS(BC14)+ABS(BE14)+ABS(BG14)+ABS(BI14)+ABS(BK14)+ABS(BM14)+ABS(BO14)+ABS(BQ14)+ABS(BS14)+ABS(BU14)+ABS(BW14)+ABS(BY14)+ABS(CA14)+ABS(CC14)+ABS(CE14)+ABS(CG14)+ABS(CI14)+ABS(CK14)+ABS(CM14)+ABS(CO14)+ABS(CQ14)+ABS(CS14)+ABS(CU14)+ABS(CW14)</f>
        <v>0</v>
      </c>
      <c r="DD14" s="86" t="n">
        <v>16</v>
      </c>
      <c r="DE14" s="84" t="n">
        <v>1</v>
      </c>
      <c r="DF14" s="43" t="n">
        <f aca="false">(ABS(W14)*X14+ABS(Y14)*Z14+ABS(AA14)*AB14+ABS(AC14)*AD14+ABS(AE14)*AF14+ABS(AG14)*AH14+ABS(AI14)*AJ14+ABS(AK14)*AL14+ABS(AM14)*AN14+ABS(AO14)*AP14+ABS(AQ14)*AR14+ABS(AS14)*AT14+ABS(AU14)*AV14+ABS(AW14)*AX14+ABS(AY14)*AZ14+ABS(BA14)*BB14+ABS(BC14)*BD14+ABS(BE14)*BF14+ABS(BG14)*BH14+ABS(BI14)*BJ14)</f>
        <v>0</v>
      </c>
      <c r="DG14" s="43" t="n">
        <f aca="false">ABS(BK14)*BL14+ABS(BM14)*BN14+ABS(BO14)*BP14+ABS(BQ14)*BR14+ABS(BS14)*BT14+ABS(BU14)*BV14+ABS(BW14)*BX14+ABS(BY14)*BZ14+ABS(CA14)*CB14+ABS(CC14)*CD14+ABS(CE14)*CF14+ABS(CG14)*CH14+ABS(CI14)*CJ14+ABS(CK14)*CL14+ABS(CM14)*CN14+ABS(CO14)*CP14+ABS(CQ14)*CR14+ABS(CS14)*CT14+ABS(CU14)*CV14+ABS(CW14)*CX14</f>
        <v>0</v>
      </c>
      <c r="DH14" s="43" t="n">
        <f aca="false">((H14-X14)*W14+(H14-Z14)*Y14+(H14-AB14)*AA14+(H14-AD14)*AC14+(H14-AF14)*AE14+(H14-AH14)*AG14+(H14-AJ14)*AI14+(H14-AL14)*AK14+(H14-AN14)*AM14+(H14-AP14)*AO14+(H14-AR14)*AQ14+(H14-AT14)*AS14+(H14-AV14)*AU14+(H14-AX14)*AW14+(H14-AZ14)*AY14+(H14-BB14)*BA14+(H14-BD14)*BC14+(H14-BF14)*BE14+(H14-BH14)*BG14+(H14-BJ14)*BI14)*DD14*DE14</f>
        <v>0</v>
      </c>
      <c r="DI14" s="43" t="n">
        <f aca="false">(((H14-BL14)*BK14+(H14-BN14)*BM14+(H14-BP14)*BO14+(H14-BR14)*BQ14+(H14-BT14)*BS14+(H14-BV14)*BU14+(H14-BX14)*BW14+(H14-BZ14)*BY14+(H14-CB14)*CA14+(H14-CD14)*CC14+(H14-CF14)*CE14+(H14-CH14)*CG14+(H14-CJ14)*CH14+(H14-CL14)*CK14+(H14-CN14)*CM14+(H14-CP14)*CO14+(H14-CR14)*CQ14+(H14-CT14)*CS14+(H14-CV14)*CU14+(H14-CX14)*CW14)*DD14*DE14)</f>
        <v>0</v>
      </c>
      <c r="DJ14" s="21" t="n">
        <v>0</v>
      </c>
      <c r="DK14" s="85" t="n">
        <v>37137</v>
      </c>
      <c r="DL14" s="21" t="n">
        <v>0</v>
      </c>
      <c r="DM14" s="21" t="n">
        <f aca="false">[3]NYZoneA!$L5</f>
        <v>0</v>
      </c>
      <c r="DN14" s="21" t="n">
        <f aca="false">IF(AND(WEEKDAY(DK14)&gt;1,WEEKDAY(DK14)&lt;7),1,0)</f>
        <v>1</v>
      </c>
    </row>
    <row r="15" customFormat="false" ht="18.75" hidden="false" customHeight="false" outlineLevel="0" collapsed="false">
      <c r="A15" s="58" t="n">
        <f aca="false">[4]NYZoneA!$D6</f>
        <v>37138</v>
      </c>
      <c r="B15" s="59" t="n">
        <v>-50</v>
      </c>
      <c r="C15" s="87" t="n">
        <f aca="false">CY15</f>
        <v>0</v>
      </c>
      <c r="D15" s="87" t="n">
        <f aca="false">(IF(MONTH(A15)=MONTH(EOMONTH(TradeDate,1)),$AN$70,0)*VLOOKUP(A15,$DK$12:$DN$43,4))</f>
        <v>0</v>
      </c>
      <c r="E15" s="62" t="n">
        <f aca="false">SUM(B15:D15)</f>
        <v>-50</v>
      </c>
      <c r="F15" s="63" t="n">
        <f aca="false">+[3]NYZoneA!$C6</f>
        <v>38.5</v>
      </c>
      <c r="G15" s="88" t="n">
        <f aca="false">IF($Q$9,Q15,P15)</f>
        <v>0</v>
      </c>
      <c r="H15" s="89" t="n">
        <f aca="false">F15+G15</f>
        <v>38.5</v>
      </c>
      <c r="I15" s="87" t="n">
        <f aca="false">B15*G15*DD15</f>
        <v>-0</v>
      </c>
      <c r="J15" s="66" t="n">
        <f aca="false">DH15+DI15</f>
        <v>0</v>
      </c>
      <c r="K15" s="90" t="n">
        <f aca="false">I15+J15</f>
        <v>0</v>
      </c>
      <c r="L15" s="42" t="n">
        <f aca="false">+AVERAGE(N15:O16,N18:O19)</f>
        <v>38.625</v>
      </c>
      <c r="M15" s="67" t="n">
        <f aca="false">A15</f>
        <v>37138</v>
      </c>
      <c r="N15" s="68" t="n">
        <v>38.5</v>
      </c>
      <c r="O15" s="68" t="n">
        <v>38.5</v>
      </c>
      <c r="P15" s="69" t="n">
        <f aca="false">AVERAGE(N15:O15)-F15</f>
        <v>0</v>
      </c>
      <c r="Q15" s="70"/>
      <c r="R15" s="91" t="n">
        <f aca="false">H15</f>
        <v>38.5</v>
      </c>
      <c r="S15" s="24"/>
      <c r="T15" s="24"/>
      <c r="U15" s="72"/>
      <c r="V15" s="73" t="n">
        <f aca="false">A15</f>
        <v>37138</v>
      </c>
      <c r="W15" s="77"/>
      <c r="X15" s="76"/>
      <c r="Y15" s="74"/>
      <c r="Z15" s="75"/>
      <c r="AA15" s="77"/>
      <c r="AB15" s="78"/>
      <c r="AC15" s="77"/>
      <c r="AD15" s="78"/>
      <c r="AE15" s="77"/>
      <c r="AF15" s="78"/>
      <c r="AG15" s="77"/>
      <c r="AH15" s="78"/>
      <c r="AI15" s="77"/>
      <c r="AJ15" s="78"/>
      <c r="AK15" s="77"/>
      <c r="AL15" s="78"/>
      <c r="AM15" s="77"/>
      <c r="AN15" s="78"/>
      <c r="AO15" s="77"/>
      <c r="AP15" s="78"/>
      <c r="AQ15" s="77"/>
      <c r="AR15" s="78"/>
      <c r="AS15" s="77"/>
      <c r="AT15" s="78"/>
      <c r="AU15" s="94"/>
      <c r="AV15" s="95"/>
      <c r="AW15" s="96"/>
      <c r="AX15" s="75"/>
      <c r="AY15" s="81"/>
      <c r="AZ15" s="75"/>
      <c r="BA15" s="81"/>
      <c r="BB15" s="75"/>
      <c r="BC15" s="96"/>
      <c r="BD15" s="75"/>
      <c r="BE15" s="81"/>
      <c r="BF15" s="75"/>
      <c r="BG15" s="96"/>
      <c r="BH15" s="75"/>
      <c r="BI15" s="81"/>
      <c r="BJ15" s="75"/>
      <c r="BK15" s="81"/>
      <c r="BL15" s="75"/>
      <c r="BM15" s="81"/>
      <c r="BN15" s="75"/>
      <c r="BO15" s="81"/>
      <c r="BP15" s="75"/>
      <c r="BQ15" s="81"/>
      <c r="BR15" s="75"/>
      <c r="BS15" s="81"/>
      <c r="BT15" s="75"/>
      <c r="BU15" s="81"/>
      <c r="BV15" s="75"/>
      <c r="BW15" s="81"/>
      <c r="BX15" s="75"/>
      <c r="BY15" s="81"/>
      <c r="BZ15" s="75"/>
      <c r="CA15" s="81"/>
      <c r="CB15" s="75"/>
      <c r="CC15" s="81"/>
      <c r="CD15" s="75"/>
      <c r="CE15" s="81"/>
      <c r="CF15" s="75"/>
      <c r="CG15" s="81"/>
      <c r="CH15" s="75"/>
      <c r="CI15" s="81"/>
      <c r="CJ15" s="75"/>
      <c r="CK15" s="81"/>
      <c r="CL15" s="75"/>
      <c r="CM15" s="81"/>
      <c r="CN15" s="75"/>
      <c r="CO15" s="81"/>
      <c r="CP15" s="75"/>
      <c r="CQ15" s="81"/>
      <c r="CR15" s="75"/>
      <c r="CS15" s="81"/>
      <c r="CT15" s="75"/>
      <c r="CU15" s="81"/>
      <c r="CV15" s="75"/>
      <c r="CW15" s="81"/>
      <c r="CX15" s="75"/>
      <c r="CY15" s="82" t="n">
        <f aca="false">W15+Y15+AA15+AC15+AE15+AG15+AI15+AK15+AM15+AO15+AQ15+AS15+AU15+AW15+AY15+BA15+BC15+BE15+BG15+BI15+BK15+BM15+BO15+BQ15+BS15+BU15+BW15+BY15+CA15+CC15+CE15+CG15+CI15+CK15+CM15+CO15+CQ15+CS15+CU15+CW15</f>
        <v>0</v>
      </c>
      <c r="CZ15" s="83" t="n">
        <f aca="false">IF(AND(CY15=0,DC15=0),0,(DF15+DG15)/DC15)</f>
        <v>0</v>
      </c>
      <c r="DA15" s="84" t="n">
        <f aca="false">DC15*DD15</f>
        <v>0</v>
      </c>
      <c r="DB15" s="85" t="n">
        <f aca="false">V15</f>
        <v>37138</v>
      </c>
      <c r="DC15" s="84" t="n">
        <f aca="false">ABS(W15)+ABS(Y15)+ABS(AA15)+ABS(AC15)+ABS(AE15)+ABS(AG15)+ABS(AI15)+ABS(AK15)+ABS(AM15)+ABS(AO15)+ABS(AQ15)+ABS(AS15)+ABS(AU15)+ABS(AW15)+ABS(AY15)+ABS(BA15)+ABS(BC15)+ABS(BE15)+ABS(BG15)+ABS(BI15)+ABS(BK15)+ABS(BM15)+ABS(BO15)+ABS(BQ15)+ABS(BS15)+ABS(BU15)+ABS(BW15)+ABS(BY15)+ABS(CA15)+ABS(CC15)+ABS(CE15)+ABS(CG15)+ABS(CI15)+ABS(CK15)+ABS(CM15)+ABS(CO15)+ABS(CQ15)+ABS(CS15)+ABS(CU15)+ABS(CW15)</f>
        <v>0</v>
      </c>
      <c r="DD15" s="86" t="n">
        <v>16</v>
      </c>
      <c r="DE15" s="84" t="n">
        <v>1</v>
      </c>
      <c r="DF15" s="43" t="n">
        <f aca="false">(ABS(W15)*X15+ABS(Y15)*Z15+ABS(AA15)*AB15+ABS(AC15)*AD15+ABS(AE15)*AF15+ABS(AG15)*AH15+ABS(AI15)*AJ15+ABS(AK15)*AL15+ABS(AM15)*AN15+ABS(AO15)*AP15+ABS(AQ15)*AR15+ABS(AS15)*AT15+ABS(AU15)*AV15+ABS(AW15)*AX15+ABS(AY15)*AZ15+ABS(BA15)*BB15+ABS(BC15)*BD15+ABS(BE15)*BF15+ABS(BG15)*BH15+ABS(BI15)*BJ15)</f>
        <v>0</v>
      </c>
      <c r="DG15" s="43" t="n">
        <f aca="false">ABS(BK15)*BL15+ABS(BM15)*BN15+ABS(BO15)*BP15+ABS(BQ15)*BR15+ABS(BS15)*BT15+ABS(BU15)*BV15+ABS(BW15)*BX15+ABS(BY15)*BZ15+ABS(CA15)*CB15+ABS(CC15)*CD15+ABS(CE15)*CF15+ABS(CG15)*CH15+ABS(CI15)*CJ15+ABS(CK15)*CL15+ABS(CM15)*CN15+ABS(CO15)*CP15+ABS(CQ15)*CR15+ABS(CS15)*CT15+ABS(CU15)*CV15+ABS(CW15)*CX15</f>
        <v>0</v>
      </c>
      <c r="DH15" s="43" t="n">
        <f aca="false">((H15-X15)*W15+(H15-Z15)*Y15+(H15-AB15)*AA15+(H15-AD15)*AC15+(H15-AF15)*AE15+(H15-AH15)*AG15+(H15-AJ15)*AI15+(H15-AL15)*AK15+(H15-AN15)*AM15+(H15-AP15)*AO15+(H15-AR15)*AQ15+(H15-AT15)*AS15+(H15-AV15)*AU15+(H15-AX15)*AW15+(H15-AZ15)*AY15+(H15-BB15)*BA15+(H15-BD15)*BC15+(H15-BF15)*BE15+(H15-BH15)*BG15+(H15-BJ15)*BI15)*DD15*DE15</f>
        <v>0</v>
      </c>
      <c r="DI15" s="43" t="n">
        <f aca="false">(((H15-BL15)*BK15+(H15-BN15)*BM15+(H15-BP15)*BO15+(H15-BR15)*BQ15+(H15-BT15)*BS15+(H15-BV15)*BU15+(H15-BX15)*BW15+(H15-BZ15)*BY15+(H15-CB15)*CA15+(H15-CD15)*CC15+(H15-CF15)*CE15+(H15-CH15)*CG15+(H15-CJ15)*CH15+(H15-CL15)*CK15+(H15-CN15)*CM15+(H15-CP15)*CO15+(H15-CR15)*CQ15+(H15-CT15)*CS15+(H15-CV15)*CU15+(H15-CX15)*CW15)*DD15*DE15)</f>
        <v>0</v>
      </c>
      <c r="DJ15" s="21" t="n">
        <v>0</v>
      </c>
      <c r="DK15" s="85" t="n">
        <v>37138</v>
      </c>
      <c r="DL15" s="21" t="n">
        <v>-50</v>
      </c>
      <c r="DM15" s="21" t="n">
        <f aca="false">[3]NYZoneA!$L6</f>
        <v>-3188.60620117188</v>
      </c>
      <c r="DN15" s="21" t="n">
        <f aca="false">IF(AND(WEEKDAY(DK15)&gt;1,WEEKDAY(DK15)&lt;7),1,0)</f>
        <v>1</v>
      </c>
    </row>
    <row r="16" customFormat="false" ht="21" hidden="false" customHeight="true" outlineLevel="0" collapsed="false">
      <c r="A16" s="58" t="n">
        <f aca="false">[4]NYZoneA!$D7</f>
        <v>37139</v>
      </c>
      <c r="B16" s="59" t="n">
        <v>-50</v>
      </c>
      <c r="C16" s="87" t="n">
        <f aca="false">CY16</f>
        <v>0</v>
      </c>
      <c r="D16" s="61" t="n">
        <f aca="false">(IF(MONTH(A16)=MONTH(EOMONTH(TradeDate,1)),$AN$70,0)*VLOOKUP(A16,$DK$12:$DN$43,4))</f>
        <v>0</v>
      </c>
      <c r="E16" s="62" t="n">
        <f aca="false">SUM(B16:D16)</f>
        <v>-50</v>
      </c>
      <c r="F16" s="63" t="n">
        <f aca="false">+[3]NYZoneA!$C7</f>
        <v>38.5</v>
      </c>
      <c r="G16" s="63" t="n">
        <f aca="false">IF($Q$9,Q16,P16)</f>
        <v>2.5</v>
      </c>
      <c r="H16" s="64" t="n">
        <f aca="false">F16+G16</f>
        <v>41</v>
      </c>
      <c r="I16" s="65" t="n">
        <f aca="false">B16*G16*DD16</f>
        <v>-2000</v>
      </c>
      <c r="J16" s="66" t="n">
        <f aca="false">DH16+DI16</f>
        <v>0</v>
      </c>
      <c r="K16" s="66" t="n">
        <f aca="false">I16+J16</f>
        <v>-2000</v>
      </c>
      <c r="L16" s="98" t="n">
        <f aca="false">+AVERAGE(N15:O19,N22:O26,N29:O33,N36:O37)</f>
        <v>35.6764705882353</v>
      </c>
      <c r="M16" s="67" t="n">
        <f aca="false">A16</f>
        <v>37139</v>
      </c>
      <c r="N16" s="68" t="n">
        <v>41</v>
      </c>
      <c r="O16" s="68" t="n">
        <v>41</v>
      </c>
      <c r="P16" s="69" t="n">
        <f aca="false">AVERAGE(N16:O16)-F16</f>
        <v>2.5</v>
      </c>
      <c r="Q16" s="70"/>
      <c r="R16" s="91" t="n">
        <f aca="false">H16</f>
        <v>41</v>
      </c>
      <c r="S16" s="24"/>
      <c r="T16" s="24"/>
      <c r="U16" s="72"/>
      <c r="V16" s="73" t="n">
        <f aca="false">A16</f>
        <v>37139</v>
      </c>
      <c r="W16" s="77"/>
      <c r="X16" s="76"/>
      <c r="Y16" s="74"/>
      <c r="Z16" s="75"/>
      <c r="AA16" s="77"/>
      <c r="AB16" s="78"/>
      <c r="AC16" s="77"/>
      <c r="AD16" s="78"/>
      <c r="AE16" s="77"/>
      <c r="AF16" s="78"/>
      <c r="AG16" s="77"/>
      <c r="AH16" s="78"/>
      <c r="AI16" s="77"/>
      <c r="AJ16" s="78"/>
      <c r="AK16" s="77"/>
      <c r="AL16" s="78"/>
      <c r="AM16" s="77"/>
      <c r="AN16" s="78"/>
      <c r="AO16" s="77"/>
      <c r="AP16" s="78"/>
      <c r="AQ16" s="77"/>
      <c r="AR16" s="78"/>
      <c r="AS16" s="77"/>
      <c r="AT16" s="78"/>
      <c r="AU16" s="94"/>
      <c r="AV16" s="95"/>
      <c r="AW16" s="96"/>
      <c r="AX16" s="75"/>
      <c r="AY16" s="81"/>
      <c r="AZ16" s="75"/>
      <c r="BA16" s="81"/>
      <c r="BB16" s="75"/>
      <c r="BC16" s="96"/>
      <c r="BD16" s="75"/>
      <c r="BE16" s="81"/>
      <c r="BF16" s="75"/>
      <c r="BG16" s="96"/>
      <c r="BH16" s="75"/>
      <c r="BI16" s="81"/>
      <c r="BJ16" s="75"/>
      <c r="BK16" s="81"/>
      <c r="BL16" s="75"/>
      <c r="BM16" s="81"/>
      <c r="BN16" s="75"/>
      <c r="BO16" s="81"/>
      <c r="BP16" s="75"/>
      <c r="BQ16" s="81"/>
      <c r="BR16" s="75"/>
      <c r="BS16" s="81"/>
      <c r="BT16" s="75"/>
      <c r="BU16" s="81"/>
      <c r="BV16" s="75"/>
      <c r="BW16" s="81"/>
      <c r="BX16" s="75"/>
      <c r="BY16" s="81"/>
      <c r="BZ16" s="75"/>
      <c r="CA16" s="81"/>
      <c r="CB16" s="75"/>
      <c r="CC16" s="81"/>
      <c r="CD16" s="75"/>
      <c r="CE16" s="81"/>
      <c r="CF16" s="75"/>
      <c r="CG16" s="81"/>
      <c r="CH16" s="75"/>
      <c r="CI16" s="81"/>
      <c r="CJ16" s="75"/>
      <c r="CK16" s="81"/>
      <c r="CL16" s="75"/>
      <c r="CM16" s="81"/>
      <c r="CN16" s="75"/>
      <c r="CO16" s="81"/>
      <c r="CP16" s="75"/>
      <c r="CQ16" s="81"/>
      <c r="CR16" s="75"/>
      <c r="CS16" s="81"/>
      <c r="CT16" s="75"/>
      <c r="CU16" s="81"/>
      <c r="CV16" s="75"/>
      <c r="CW16" s="81"/>
      <c r="CX16" s="75"/>
      <c r="CY16" s="82" t="n">
        <f aca="false">W16+Y16+AA16+AC16+AE16+AG16+AI16+AK16+AM16+AO16+AQ16+AS16+AU16+AW16+AY16+BA16+BC16+BE16+BG16+BI16+BK16+BM16+BO16+BQ16+BS16+BU16+BW16+BY16+CA16+CC16+CE16+CG16+CI16+CK16+CM16+CO16+CQ16+CS16+CU16+CW16</f>
        <v>0</v>
      </c>
      <c r="CZ16" s="83" t="n">
        <f aca="false">IF(AND(CY16=0,DC16=0),0,(DF16+DG16)/DC16)</f>
        <v>0</v>
      </c>
      <c r="DA16" s="84" t="n">
        <f aca="false">DC16*DD16</f>
        <v>0</v>
      </c>
      <c r="DB16" s="85" t="n">
        <f aca="false">V16</f>
        <v>37139</v>
      </c>
      <c r="DC16" s="84" t="n">
        <f aca="false">ABS(W16)+ABS(Y16)+ABS(AA16)+ABS(AC16)+ABS(AE16)+ABS(AG16)+ABS(AI16)+ABS(AK16)+ABS(AM16)+ABS(AO16)+ABS(AQ16)+ABS(AS16)+ABS(AU16)+ABS(AW16)+ABS(AY16)+ABS(BA16)+ABS(BC16)+ABS(BE16)+ABS(BG16)+ABS(BI16)+ABS(BK16)+ABS(BM16)+ABS(BO16)+ABS(BQ16)+ABS(BS16)+ABS(BU16)+ABS(BW16)+ABS(BY16)+ABS(CA16)+ABS(CC16)+ABS(CE16)+ABS(CG16)+ABS(CI16)+ABS(CK16)+ABS(CM16)+ABS(CO16)+ABS(CQ16)+ABS(CS16)+ABS(CU16)+ABS(CW16)</f>
        <v>0</v>
      </c>
      <c r="DD16" s="86" t="n">
        <v>16</v>
      </c>
      <c r="DE16" s="84" t="n">
        <v>1</v>
      </c>
      <c r="DF16" s="43" t="n">
        <f aca="false">(ABS(W16)*X16+ABS(Y16)*Z16+ABS(AA16)*AB16+ABS(AC16)*AD16+ABS(AE16)*AF16+ABS(AG16)*AH16+ABS(AI16)*AJ16+ABS(AK16)*AL16+ABS(AM16)*AN16+ABS(AO16)*AP16+ABS(AQ16)*AR16+ABS(AS16)*AT16+ABS(AU16)*AV16+ABS(AW16)*AX16+ABS(AY16)*AZ16+ABS(BA16)*BB16+ABS(BC16)*BD16+ABS(BE16)*BF16+ABS(BG16)*BH16+ABS(BI16)*BJ16)</f>
        <v>0</v>
      </c>
      <c r="DG16" s="43" t="n">
        <f aca="false">ABS(BK16)*BL16+ABS(BM16)*BN16+ABS(BO16)*BP16+ABS(BQ16)*BR16+ABS(BS16)*BT16+ABS(BU16)*BV16+ABS(BW16)*BX16+ABS(BY16)*BZ16+ABS(CA16)*CB16+ABS(CC16)*CD16+ABS(CE16)*CF16+ABS(CG16)*CH16+ABS(CI16)*CJ16+ABS(CK16)*CL16+ABS(CM16)*CN16+ABS(CO16)*CP16+ABS(CQ16)*CR16+ABS(CS16)*CT16+ABS(CU16)*CV16+ABS(CW16)*CX16</f>
        <v>0</v>
      </c>
      <c r="DH16" s="43" t="n">
        <f aca="false">((H16-X16)*W16+(H16-Z16)*Y16+(H16-AB16)*AA16+(H16-AD16)*AC16+(H16-AF16)*AE16+(H16-AH16)*AG16+(H16-AJ16)*AI16+(H16-AL16)*AK16+(H16-AN16)*AM16+(H16-AP16)*AO16+(H16-AR16)*AQ16+(H16-AT16)*AS16+(H16-AV16)*AU16+(H16-AX16)*AW16+(H16-AZ16)*AY16+(H16-BB16)*BA16+(H16-BD16)*BC16+(H16-BF16)*BE16+(H16-BH16)*BG16+(H16-BJ16)*BI16)*DD16*DE16</f>
        <v>0</v>
      </c>
      <c r="DI16" s="43" t="n">
        <f aca="false">(((H16-BL16)*BK16+(H16-BN16)*BM16+(H16-BP16)*BO16+(H16-BR16)*BQ16+(H16-BT16)*BS16+(H16-BV16)*BU16+(H16-BX16)*BW16+(H16-BZ16)*BY16+(H16-CB16)*CA16+(H16-CD16)*CC16+(H16-CF16)*CE16+(H16-CH16)*CG16+(H16-CJ16)*CH16+(H16-CL16)*CK16+(H16-CN16)*CM16+(H16-CP16)*CO16+(H16-CR16)*CQ16+(H16-CT16)*CS16+(H16-CV16)*CU16+(H16-CX16)*CW16)*DD16*DE16)</f>
        <v>0</v>
      </c>
      <c r="DJ16" s="21" t="n">
        <v>0</v>
      </c>
      <c r="DK16" s="85" t="n">
        <v>37139</v>
      </c>
      <c r="DL16" s="21" t="n">
        <v>-100</v>
      </c>
      <c r="DM16" s="21" t="n">
        <f aca="false">[3]NYZoneA!$L7</f>
        <v>-3188.60620117188</v>
      </c>
      <c r="DN16" s="21" t="n">
        <f aca="false">IF(AND(WEEKDAY(DK16)&gt;1,WEEKDAY(DK16)&lt;7),1,0)</f>
        <v>1</v>
      </c>
    </row>
    <row r="17" customFormat="false" ht="18.75" hidden="false" customHeight="false" outlineLevel="0" collapsed="false">
      <c r="A17" s="58" t="n">
        <f aca="false">[4]NYZoneA!$D8</f>
        <v>37140</v>
      </c>
      <c r="B17" s="59" t="n">
        <v>-50</v>
      </c>
      <c r="C17" s="87" t="n">
        <f aca="false">CY17</f>
        <v>0</v>
      </c>
      <c r="D17" s="87" t="n">
        <f aca="false">(IF(MONTH(A17)=MONTH(EOMONTH(TradeDate,1)),$AN$70,0)*VLOOKUP(A17,$DK$12:$DN$43,4))</f>
        <v>0</v>
      </c>
      <c r="E17" s="62" t="n">
        <f aca="false">SUM(B17:D17)</f>
        <v>-50</v>
      </c>
      <c r="F17" s="63" t="n">
        <f aca="false">+[3]NYZoneA!$C8</f>
        <v>38.5</v>
      </c>
      <c r="G17" s="88" t="n">
        <f aca="false">IF($Q$9,Q17,P17)</f>
        <v>2.5</v>
      </c>
      <c r="H17" s="89" t="n">
        <f aca="false">F17+G17</f>
        <v>41</v>
      </c>
      <c r="I17" s="87" t="n">
        <f aca="false">B17*G17*DD17</f>
        <v>-2000</v>
      </c>
      <c r="J17" s="66" t="n">
        <f aca="false">DH17+DI17</f>
        <v>0</v>
      </c>
      <c r="K17" s="90" t="n">
        <f aca="false">I17+J17</f>
        <v>-2000</v>
      </c>
      <c r="L17" s="98"/>
      <c r="M17" s="67" t="n">
        <f aca="false">A17</f>
        <v>37140</v>
      </c>
      <c r="N17" s="68" t="n">
        <v>41</v>
      </c>
      <c r="O17" s="68" t="n">
        <v>41</v>
      </c>
      <c r="P17" s="69" t="n">
        <f aca="false">AVERAGE(N17:O17)-F17</f>
        <v>2.5</v>
      </c>
      <c r="Q17" s="70"/>
      <c r="R17" s="91" t="n">
        <f aca="false">H17</f>
        <v>41</v>
      </c>
      <c r="S17" s="24"/>
      <c r="T17" s="24"/>
      <c r="U17" s="72"/>
      <c r="V17" s="73" t="n">
        <f aca="false">A17</f>
        <v>37140</v>
      </c>
      <c r="W17" s="77"/>
      <c r="X17" s="76"/>
      <c r="Y17" s="74"/>
      <c r="Z17" s="75"/>
      <c r="AA17" s="77"/>
      <c r="AB17" s="78"/>
      <c r="AC17" s="77"/>
      <c r="AD17" s="78"/>
      <c r="AE17" s="77"/>
      <c r="AF17" s="78"/>
      <c r="AG17" s="77"/>
      <c r="AH17" s="78"/>
      <c r="AI17" s="77"/>
      <c r="AJ17" s="78"/>
      <c r="AK17" s="77"/>
      <c r="AL17" s="78"/>
      <c r="AM17" s="77"/>
      <c r="AN17" s="78"/>
      <c r="AO17" s="77"/>
      <c r="AP17" s="78"/>
      <c r="AQ17" s="77"/>
      <c r="AR17" s="78"/>
      <c r="AS17" s="77"/>
      <c r="AT17" s="78"/>
      <c r="AU17" s="94"/>
      <c r="AV17" s="95"/>
      <c r="AW17" s="96"/>
      <c r="AX17" s="75"/>
      <c r="AY17" s="81"/>
      <c r="AZ17" s="75"/>
      <c r="BA17" s="81"/>
      <c r="BB17" s="75"/>
      <c r="BC17" s="96"/>
      <c r="BD17" s="75"/>
      <c r="BE17" s="81"/>
      <c r="BF17" s="75"/>
      <c r="BG17" s="96"/>
      <c r="BH17" s="75"/>
      <c r="BI17" s="81"/>
      <c r="BJ17" s="75"/>
      <c r="BK17" s="81"/>
      <c r="BL17" s="75"/>
      <c r="BM17" s="81"/>
      <c r="BN17" s="75"/>
      <c r="BO17" s="81"/>
      <c r="BP17" s="75"/>
      <c r="BQ17" s="81"/>
      <c r="BR17" s="75"/>
      <c r="BS17" s="81"/>
      <c r="BT17" s="75"/>
      <c r="BU17" s="81"/>
      <c r="BV17" s="75"/>
      <c r="BW17" s="81"/>
      <c r="BX17" s="75"/>
      <c r="BY17" s="81"/>
      <c r="BZ17" s="75"/>
      <c r="CA17" s="81"/>
      <c r="CB17" s="75"/>
      <c r="CC17" s="81"/>
      <c r="CD17" s="75"/>
      <c r="CE17" s="81"/>
      <c r="CF17" s="75"/>
      <c r="CG17" s="81"/>
      <c r="CH17" s="75"/>
      <c r="CI17" s="81"/>
      <c r="CJ17" s="75"/>
      <c r="CK17" s="81"/>
      <c r="CL17" s="75"/>
      <c r="CM17" s="81"/>
      <c r="CN17" s="75"/>
      <c r="CO17" s="81"/>
      <c r="CP17" s="75"/>
      <c r="CQ17" s="81"/>
      <c r="CR17" s="75"/>
      <c r="CS17" s="81"/>
      <c r="CT17" s="75"/>
      <c r="CU17" s="81"/>
      <c r="CV17" s="75"/>
      <c r="CW17" s="81"/>
      <c r="CX17" s="75"/>
      <c r="CY17" s="82" t="n">
        <f aca="false">W17+Y17+AA17+AC17+AE17+AG17+AI17+AK17+AM17+AO17+AQ17+AS17+AU17+AW17+AY17+BA17+BC17+BE17+BG17+BI17+BK17+BM17+BO17+BQ17+BS17+BU17+BW17+BY17+CA17+CC17+CE17+CG17+CI17+CK17+CM17+CO17+CQ17+CS17+CU17+CW17</f>
        <v>0</v>
      </c>
      <c r="CZ17" s="83" t="n">
        <f aca="false">IF(AND(CY17=0,DC17=0),0,(DF17+DG17)/DC17)</f>
        <v>0</v>
      </c>
      <c r="DA17" s="84" t="n">
        <f aca="false">DC17*DD17</f>
        <v>0</v>
      </c>
      <c r="DB17" s="85" t="n">
        <f aca="false">V17</f>
        <v>37140</v>
      </c>
      <c r="DC17" s="84" t="n">
        <f aca="false">ABS(W17)+ABS(Y17)+ABS(AA17)+ABS(AC17)+ABS(AE17)+ABS(AG17)+ABS(AI17)+ABS(AK17)+ABS(AM17)+ABS(AO17)+ABS(AQ17)+ABS(AS17)+ABS(AU17)+ABS(AW17)+ABS(AY17)+ABS(BA17)+ABS(BC17)+ABS(BE17)+ABS(BG17)+ABS(BI17)+ABS(BK17)+ABS(BM17)+ABS(BO17)+ABS(BQ17)+ABS(BS17)+ABS(BU17)+ABS(BW17)+ABS(BY17)+ABS(CA17)+ABS(CC17)+ABS(CE17)+ABS(CG17)+ABS(CI17)+ABS(CK17)+ABS(CM17)+ABS(CO17)+ABS(CQ17)+ABS(CS17)+ABS(CU17)+ABS(CW17)</f>
        <v>0</v>
      </c>
      <c r="DD17" s="86" t="n">
        <v>16</v>
      </c>
      <c r="DE17" s="84" t="n">
        <v>1</v>
      </c>
      <c r="DF17" s="43" t="n">
        <f aca="false">(ABS(W17)*X17+ABS(Y17)*Z17+ABS(AA17)*AB17+ABS(AC17)*AD17+ABS(AE17)*AF17+ABS(AG17)*AH17+ABS(AI17)*AJ17+ABS(AK17)*AL17+ABS(AM17)*AN17+ABS(AO17)*AP17+ABS(AQ17)*AR17+ABS(AS17)*AT17+ABS(AU17)*AV17+ABS(AW17)*AX17+ABS(AY17)*AZ17+ABS(BA17)*BB17+ABS(BC17)*BD17+ABS(BE17)*BF17+ABS(BG17)*BH17+ABS(BI17)*BJ17)</f>
        <v>0</v>
      </c>
      <c r="DG17" s="43" t="n">
        <f aca="false">ABS(BK17)*BL17+ABS(BM17)*BN17+ABS(BO17)*BP17+ABS(BQ17)*BR17+ABS(BS17)*BT17+ABS(BU17)*BV17+ABS(BW17)*BX17+ABS(BY17)*BZ17+ABS(CA17)*CB17+ABS(CC17)*CD17+ABS(CE17)*CF17+ABS(CG17)*CH17+ABS(CI17)*CJ17+ABS(CK17)*CL17+ABS(CM17)*CN17+ABS(CO17)*CP17+ABS(CQ17)*CR17+ABS(CS17)*CT17+ABS(CU17)*CV17+ABS(CW17)*CX17</f>
        <v>0</v>
      </c>
      <c r="DH17" s="43" t="n">
        <f aca="false">((H17-X17)*W17+(H17-Z17)*Y17+(H17-AB17)*AA17+(H17-AD17)*AC17+(H17-AF17)*AE17+(H17-AH17)*AG17+(H17-AJ17)*AI17+(H17-AL17)*AK17+(H17-AN17)*AM17+(H17-AP17)*AO17+(H17-AR17)*AQ17+(H17-AT17)*AS17+(H17-AV17)*AU17+(H17-AX17)*AW17+(H17-AZ17)*AY17+(H17-BB17)*BA17+(H17-BD17)*BC17+(H17-BF17)*BE17+(H17-BH17)*BG17+(H17-BJ17)*BI17)*DD17*DE17</f>
        <v>0</v>
      </c>
      <c r="DI17" s="43" t="n">
        <f aca="false">(((H17-BL17)*BK17+(H17-BN17)*BM17+(H17-BP17)*BO17+(H17-BR17)*BQ17+(H17-BT17)*BS17+(H17-BV17)*BU17+(H17-BX17)*BW17+(H17-BZ17)*BY17+(H17-CB17)*CA17+(H17-CD17)*CC17+(H17-CF17)*CE17+(H17-CH17)*CG17+(H17-CJ17)*CH17+(H17-CL17)*CK17+(H17-CN17)*CM17+(H17-CP17)*CO17+(H17-CR17)*CQ17+(H17-CT17)*CS17+(H17-CV17)*CU17+(H17-CX17)*CW17)*DD17*DE17)</f>
        <v>0</v>
      </c>
      <c r="DJ17" s="21" t="n">
        <v>0</v>
      </c>
      <c r="DK17" s="85" t="n">
        <v>37140</v>
      </c>
      <c r="DL17" s="21" t="n">
        <v>-100</v>
      </c>
      <c r="DM17" s="21" t="n">
        <f aca="false">[3]NYZoneA!$L8</f>
        <v>-3188.60620117188</v>
      </c>
      <c r="DN17" s="21" t="n">
        <f aca="false">IF(AND(WEEKDAY(DK17)&gt;1,WEEKDAY(DK17)&lt;7),1,0)</f>
        <v>1</v>
      </c>
    </row>
    <row r="18" customFormat="false" ht="18.75" hidden="false" customHeight="false" outlineLevel="0" collapsed="false">
      <c r="A18" s="58" t="n">
        <f aca="false">[4]NYZoneA!$D9</f>
        <v>37141</v>
      </c>
      <c r="B18" s="59" t="n">
        <v>-50</v>
      </c>
      <c r="C18" s="87" t="n">
        <f aca="false">CY18</f>
        <v>0</v>
      </c>
      <c r="D18" s="61" t="n">
        <f aca="false">(IF(MONTH(A18)=MONTH(EOMONTH(TradeDate,1)),$AN$70,0)*VLOOKUP(A18,$DK$12:$DN$43,4))</f>
        <v>0</v>
      </c>
      <c r="E18" s="62" t="n">
        <f aca="false">SUM(B18:D18)</f>
        <v>-50</v>
      </c>
      <c r="F18" s="63" t="n">
        <f aca="false">+[3]NYZoneA!$C9</f>
        <v>38.5</v>
      </c>
      <c r="G18" s="63" t="n">
        <f aca="false">IF($Q$9,Q18,P18)</f>
        <v>2.5</v>
      </c>
      <c r="H18" s="64" t="n">
        <f aca="false">F18+G18</f>
        <v>41</v>
      </c>
      <c r="I18" s="65" t="n">
        <f aca="false">B18*G18*DD18</f>
        <v>-2000</v>
      </c>
      <c r="J18" s="66" t="n">
        <f aca="false">DH18+DI18</f>
        <v>0</v>
      </c>
      <c r="K18" s="66" t="n">
        <f aca="false">I18+J18</f>
        <v>-2000</v>
      </c>
      <c r="L18" s="42"/>
      <c r="M18" s="67" t="n">
        <f aca="false">A18</f>
        <v>37141</v>
      </c>
      <c r="N18" s="68" t="n">
        <v>41</v>
      </c>
      <c r="O18" s="68" t="n">
        <v>41</v>
      </c>
      <c r="P18" s="69" t="n">
        <f aca="false">AVERAGE(N18:O18)-F18</f>
        <v>2.5</v>
      </c>
      <c r="Q18" s="70"/>
      <c r="R18" s="91" t="n">
        <f aca="false">H18</f>
        <v>41</v>
      </c>
      <c r="S18" s="24"/>
      <c r="T18" s="24"/>
      <c r="U18" s="72"/>
      <c r="V18" s="73" t="n">
        <f aca="false">A18</f>
        <v>37141</v>
      </c>
      <c r="W18" s="77"/>
      <c r="X18" s="76"/>
      <c r="Y18" s="74"/>
      <c r="Z18" s="75"/>
      <c r="AA18" s="77"/>
      <c r="AB18" s="78"/>
      <c r="AC18" s="77"/>
      <c r="AD18" s="78"/>
      <c r="AE18" s="77"/>
      <c r="AF18" s="78"/>
      <c r="AG18" s="77"/>
      <c r="AH18" s="78"/>
      <c r="AI18" s="77"/>
      <c r="AJ18" s="78"/>
      <c r="AK18" s="77"/>
      <c r="AL18" s="78"/>
      <c r="AM18" s="77"/>
      <c r="AN18" s="78"/>
      <c r="AO18" s="77"/>
      <c r="AP18" s="78"/>
      <c r="AQ18" s="77"/>
      <c r="AR18" s="78"/>
      <c r="AS18" s="77"/>
      <c r="AT18" s="78"/>
      <c r="AU18" s="94"/>
      <c r="AV18" s="95"/>
      <c r="AW18" s="96"/>
      <c r="AX18" s="75"/>
      <c r="AY18" s="81"/>
      <c r="AZ18" s="75"/>
      <c r="BA18" s="81"/>
      <c r="BB18" s="75"/>
      <c r="BC18" s="96"/>
      <c r="BD18" s="75"/>
      <c r="BE18" s="81"/>
      <c r="BF18" s="75"/>
      <c r="BG18" s="96"/>
      <c r="BH18" s="75"/>
      <c r="BI18" s="81"/>
      <c r="BJ18" s="75"/>
      <c r="BK18" s="81"/>
      <c r="BL18" s="75"/>
      <c r="BM18" s="81"/>
      <c r="BN18" s="75"/>
      <c r="BO18" s="81"/>
      <c r="BP18" s="75"/>
      <c r="BQ18" s="81"/>
      <c r="BR18" s="75"/>
      <c r="BS18" s="81"/>
      <c r="BT18" s="75"/>
      <c r="BU18" s="81"/>
      <c r="BV18" s="75"/>
      <c r="BW18" s="81"/>
      <c r="BX18" s="75"/>
      <c r="BY18" s="81"/>
      <c r="BZ18" s="75"/>
      <c r="CA18" s="81"/>
      <c r="CB18" s="75"/>
      <c r="CC18" s="81"/>
      <c r="CD18" s="75"/>
      <c r="CE18" s="81"/>
      <c r="CF18" s="75"/>
      <c r="CG18" s="81"/>
      <c r="CH18" s="75"/>
      <c r="CI18" s="81"/>
      <c r="CJ18" s="75"/>
      <c r="CK18" s="81"/>
      <c r="CL18" s="75"/>
      <c r="CM18" s="81"/>
      <c r="CN18" s="75"/>
      <c r="CO18" s="81"/>
      <c r="CP18" s="75"/>
      <c r="CQ18" s="81"/>
      <c r="CR18" s="75"/>
      <c r="CS18" s="81"/>
      <c r="CT18" s="75"/>
      <c r="CU18" s="81"/>
      <c r="CV18" s="75"/>
      <c r="CW18" s="81"/>
      <c r="CX18" s="75"/>
      <c r="CY18" s="82" t="n">
        <f aca="false">W18+Y18+AA18+AC18+AE18+AG18+AI18+AK18+AM18+AO18+AQ18+AS18+AU18+AW18+AY18+BA18+BC18+BE18+BG18+BI18+BK18+BM18+BO18+BQ18+BS18+BU18+BW18+BY18+CA18+CC18+CE18+CG18+CI18+CK18+CM18+CO18+CQ18+CS18+CU18+CW18</f>
        <v>0</v>
      </c>
      <c r="CZ18" s="83" t="n">
        <f aca="false">IF(AND(CY18=0,DC18=0),0,(DF18+DG18)/DC18)</f>
        <v>0</v>
      </c>
      <c r="DA18" s="84" t="n">
        <f aca="false">DC18*DD18</f>
        <v>0</v>
      </c>
      <c r="DB18" s="85" t="n">
        <f aca="false">V18</f>
        <v>37141</v>
      </c>
      <c r="DC18" s="84" t="n">
        <f aca="false">ABS(W18)+ABS(Y18)+ABS(AA18)+ABS(AC18)+ABS(AE18)+ABS(AG18)+ABS(AI18)+ABS(AK18)+ABS(AM18)+ABS(AO18)+ABS(AQ18)+ABS(AS18)+ABS(AU18)+ABS(AW18)+ABS(AY18)+ABS(BA18)+ABS(BC18)+ABS(BE18)+ABS(BG18)+ABS(BI18)+ABS(BK18)+ABS(BM18)+ABS(BO18)+ABS(BQ18)+ABS(BS18)+ABS(BU18)+ABS(BW18)+ABS(BY18)+ABS(CA18)+ABS(CC18)+ABS(CE18)+ABS(CG18)+ABS(CI18)+ABS(CK18)+ABS(CM18)+ABS(CO18)+ABS(CQ18)+ABS(CS18)+ABS(CU18)+ABS(CW18)</f>
        <v>0</v>
      </c>
      <c r="DD18" s="86" t="n">
        <v>16</v>
      </c>
      <c r="DE18" s="84" t="n">
        <v>1</v>
      </c>
      <c r="DF18" s="43" t="n">
        <f aca="false">(ABS(W18)*X18+ABS(Y18)*Z18+ABS(AA18)*AB18+ABS(AC18)*AD18+ABS(AE18)*AF18+ABS(AG18)*AH18+ABS(AI18)*AJ18+ABS(AK18)*AL18+ABS(AM18)*AN18+ABS(AO18)*AP18+ABS(AQ18)*AR18+ABS(AS18)*AT18+ABS(AU18)*AV18+ABS(AW18)*AX18+ABS(AY18)*AZ18+ABS(BA18)*BB18+ABS(BC18)*BD18+ABS(BE18)*BF18+ABS(BG18)*BH18+ABS(BI18)*BJ18)</f>
        <v>0</v>
      </c>
      <c r="DG18" s="43" t="n">
        <f aca="false">ABS(BK18)*BL18+ABS(BM18)*BN18+ABS(BO18)*BP18+ABS(BQ18)*BR18+ABS(BS18)*BT18+ABS(BU18)*BV18+ABS(BW18)*BX18+ABS(BY18)*BZ18+ABS(CA18)*CB18+ABS(CC18)*CD18+ABS(CE18)*CF18+ABS(CG18)*CH18+ABS(CI18)*CJ18+ABS(CK18)*CL18+ABS(CM18)*CN18+ABS(CO18)*CP18+ABS(CQ18)*CR18+ABS(CS18)*CT18+ABS(CU18)*CV18+ABS(CW18)*CX18</f>
        <v>0</v>
      </c>
      <c r="DH18" s="43" t="n">
        <f aca="false">((H18-X18)*W18+(H18-Z18)*Y18+(H18-AB18)*AA18+(H18-AD18)*AC18+(H18-AF18)*AE18+(H18-AH18)*AG18+(H18-AJ18)*AI18+(H18-AL18)*AK18+(H18-AN18)*AM18+(H18-AP18)*AO18+(H18-AR18)*AQ18+(H18-AT18)*AS18+(H18-AV18)*AU18+(H18-AX18)*AW18+(H18-AZ18)*AY18+(H18-BB18)*BA18+(H18-BD18)*BC18+(H18-BF18)*BE18+(H18-BH18)*BG18+(H18-BJ18)*BI18)*DD18*DE18</f>
        <v>0</v>
      </c>
      <c r="DI18" s="43" t="n">
        <f aca="false">(((H18-BL18)*BK18+(H18-BN18)*BM18+(H18-BP18)*BO18+(H18-BR18)*BQ18+(H18-BT18)*BS18+(H18-BV18)*BU18+(H18-BX18)*BW18+(H18-BZ18)*BY18+(H18-CB18)*CA18+(H18-CD18)*CC18+(H18-CF18)*CE18+(H18-CH18)*CG18+(H18-CJ18)*CH18+(H18-CL18)*CK18+(H18-CN18)*CM18+(H18-CP18)*CO18+(H18-CR18)*CQ18+(H18-CT18)*CS18+(H18-CV18)*CU18+(H18-CX18)*CW18)*DD18*DE18)</f>
        <v>0</v>
      </c>
      <c r="DJ18" s="21" t="n">
        <v>0</v>
      </c>
      <c r="DK18" s="85" t="n">
        <v>37141</v>
      </c>
      <c r="DL18" s="21" t="n">
        <v>-100</v>
      </c>
      <c r="DM18" s="21" t="n">
        <f aca="false">[3]NYZoneA!$L9</f>
        <v>-3188.60620117188</v>
      </c>
      <c r="DN18" s="21" t="n">
        <f aca="false">IF(AND(WEEKDAY(DK18)&gt;1,WEEKDAY(DK18)&lt;7),1,0)</f>
        <v>1</v>
      </c>
    </row>
    <row r="19" customFormat="false" ht="18.75" hidden="false" customHeight="false" outlineLevel="0" collapsed="false">
      <c r="A19" s="58" t="n">
        <f aca="false">[4]NYZoneA!$D10</f>
        <v>37142</v>
      </c>
      <c r="B19" s="59" t="n">
        <f aca="false">+([3]NYZoneA!$L10+[3]NYZoneD!$L10)/16</f>
        <v>0</v>
      </c>
      <c r="C19" s="87" t="n">
        <f aca="false">CY19</f>
        <v>0</v>
      </c>
      <c r="D19" s="87" t="n">
        <f aca="false">(IF(MONTH(A19)=MONTH(EOMONTH(TradeDate,1)),$AN$70,0)*VLOOKUP(A19,$DK$12:$DN$43,4))</f>
        <v>0</v>
      </c>
      <c r="E19" s="62" t="n">
        <f aca="false">SUM(B19:D19)</f>
        <v>0</v>
      </c>
      <c r="F19" s="63" t="n">
        <f aca="false">+[3]NYZoneA!$C10</f>
        <v>34</v>
      </c>
      <c r="G19" s="88" t="n">
        <f aca="false">IF($Q$9,Q19,P19)</f>
        <v>0</v>
      </c>
      <c r="H19" s="89" t="n">
        <f aca="false">F19+G19</f>
        <v>34</v>
      </c>
      <c r="I19" s="87" t="n">
        <f aca="false">B19*G19*DD19</f>
        <v>0</v>
      </c>
      <c r="J19" s="66" t="n">
        <f aca="false">DH19+DI19</f>
        <v>0</v>
      </c>
      <c r="K19" s="90" t="n">
        <f aca="false">I19+J19</f>
        <v>0</v>
      </c>
      <c r="L19" s="42"/>
      <c r="M19" s="67" t="n">
        <f aca="false">A19</f>
        <v>37142</v>
      </c>
      <c r="N19" s="68" t="n">
        <v>34</v>
      </c>
      <c r="O19" s="68" t="n">
        <v>34</v>
      </c>
      <c r="P19" s="69" t="n">
        <f aca="false">AVERAGE(N19:O19)-F19</f>
        <v>0</v>
      </c>
      <c r="Q19" s="70"/>
      <c r="R19" s="91" t="n">
        <f aca="false">H19</f>
        <v>34</v>
      </c>
      <c r="S19" s="24"/>
      <c r="T19" s="24"/>
      <c r="U19" s="72"/>
      <c r="V19" s="73" t="n">
        <f aca="false">A19</f>
        <v>37142</v>
      </c>
      <c r="W19" s="77"/>
      <c r="X19" s="76"/>
      <c r="Y19" s="74"/>
      <c r="Z19" s="75"/>
      <c r="AA19" s="77"/>
      <c r="AB19" s="78"/>
      <c r="AC19" s="77"/>
      <c r="AD19" s="78"/>
      <c r="AE19" s="77"/>
      <c r="AF19" s="78"/>
      <c r="AG19" s="77"/>
      <c r="AH19" s="78"/>
      <c r="AI19" s="77"/>
      <c r="AJ19" s="78"/>
      <c r="AK19" s="77"/>
      <c r="AL19" s="99"/>
      <c r="AM19" s="77"/>
      <c r="AN19" s="78"/>
      <c r="AO19" s="77"/>
      <c r="AP19" s="78"/>
      <c r="AQ19" s="77"/>
      <c r="AR19" s="78"/>
      <c r="AS19" s="77"/>
      <c r="AT19" s="78"/>
      <c r="AU19" s="94"/>
      <c r="AV19" s="95"/>
      <c r="AW19" s="96"/>
      <c r="AX19" s="75"/>
      <c r="AY19" s="81"/>
      <c r="AZ19" s="75"/>
      <c r="BA19" s="81"/>
      <c r="BB19" s="75"/>
      <c r="BC19" s="96"/>
      <c r="BD19" s="75"/>
      <c r="BE19" s="81"/>
      <c r="BF19" s="75"/>
      <c r="BG19" s="96"/>
      <c r="BH19" s="75"/>
      <c r="BI19" s="81"/>
      <c r="BJ19" s="75"/>
      <c r="BK19" s="81"/>
      <c r="BL19" s="75"/>
      <c r="BM19" s="81"/>
      <c r="BN19" s="75"/>
      <c r="BO19" s="81"/>
      <c r="BP19" s="75"/>
      <c r="BQ19" s="81"/>
      <c r="BR19" s="75"/>
      <c r="BS19" s="81"/>
      <c r="BT19" s="75"/>
      <c r="BU19" s="81"/>
      <c r="BV19" s="75"/>
      <c r="BW19" s="81"/>
      <c r="BX19" s="75"/>
      <c r="BY19" s="81"/>
      <c r="BZ19" s="75"/>
      <c r="CA19" s="81"/>
      <c r="CB19" s="75"/>
      <c r="CC19" s="81"/>
      <c r="CD19" s="75"/>
      <c r="CE19" s="81"/>
      <c r="CF19" s="75"/>
      <c r="CG19" s="81"/>
      <c r="CH19" s="75"/>
      <c r="CI19" s="81"/>
      <c r="CJ19" s="75"/>
      <c r="CK19" s="81"/>
      <c r="CL19" s="75"/>
      <c r="CM19" s="81"/>
      <c r="CN19" s="75"/>
      <c r="CO19" s="81"/>
      <c r="CP19" s="75"/>
      <c r="CQ19" s="81"/>
      <c r="CR19" s="75"/>
      <c r="CS19" s="81"/>
      <c r="CT19" s="75"/>
      <c r="CU19" s="81"/>
      <c r="CV19" s="75"/>
      <c r="CW19" s="81"/>
      <c r="CX19" s="75"/>
      <c r="CY19" s="82" t="n">
        <f aca="false">W19+Y19+AA19+AC19+AE19+AG19+AI19+AK19+AM19+AO19+AQ19+AS19+AU19+AW19+AY19+BA19+BC19+BE19+BG19+BI19+BK19+BM19+BO19+BQ19+BS19+BU19+BW19+BY19+CA19+CC19+CE19+CG19+CI19+CK19+CM19+CO19+CQ19+CS19+CU19+CW19</f>
        <v>0</v>
      </c>
      <c r="CZ19" s="83" t="n">
        <f aca="false">IF(AND(CY19=0,DC19=0),0,(DF19+DG19)/DC19)</f>
        <v>0</v>
      </c>
      <c r="DA19" s="84" t="n">
        <f aca="false">DC19*DD19</f>
        <v>0</v>
      </c>
      <c r="DB19" s="85" t="n">
        <f aca="false">V19</f>
        <v>37142</v>
      </c>
      <c r="DC19" s="84" t="n">
        <f aca="false">ABS(W19)+ABS(Y19)+ABS(AA19)+ABS(AC19)+ABS(AE19)+ABS(AG19)+ABS(AI19)+ABS(AK19)+ABS(AM19)+ABS(AO19)+ABS(AQ19)+ABS(AS19)+ABS(AU19)+ABS(AW19)+ABS(AY19)+ABS(BA19)+ABS(BC19)+ABS(BE19)+ABS(BG19)+ABS(BI19)+ABS(BK19)+ABS(BM19)+ABS(BO19)+ABS(BQ19)+ABS(BS19)+ABS(BU19)+ABS(BW19)+ABS(BY19)+ABS(CA19)+ABS(CC19)+ABS(CE19)+ABS(CG19)+ABS(CI19)+ABS(CK19)+ABS(CM19)+ABS(CO19)+ABS(CQ19)+ABS(CS19)+ABS(CU19)+ABS(CW19)</f>
        <v>0</v>
      </c>
      <c r="DD19" s="86" t="n">
        <v>16</v>
      </c>
      <c r="DE19" s="84" t="n">
        <v>1</v>
      </c>
      <c r="DF19" s="43" t="n">
        <f aca="false">(ABS(W19)*X19+ABS(Y19)*Z19+ABS(AA19)*AB19+ABS(AC19)*AD19+ABS(AE19)*AF19+ABS(AG19)*AH19+ABS(AI19)*AJ19+ABS(AK19)*AL19+ABS(AM19)*AN19+ABS(AO19)*AP19+ABS(AQ19)*AR19+ABS(AS19)*AT19+ABS(AU19)*AV19+ABS(AW19)*AX19+ABS(AY19)*AZ19+ABS(BA19)*BB19+ABS(BC19)*BD19+ABS(BE19)*BF19+ABS(BG19)*BH19+ABS(BI19)*BJ19)</f>
        <v>0</v>
      </c>
      <c r="DG19" s="43" t="n">
        <f aca="false">ABS(BK19)*BL19+ABS(BM19)*BN19+ABS(BO19)*BP19+ABS(BQ19)*BR19+ABS(BS19)*BT19+ABS(BU19)*BV19+ABS(BW19)*BX19+ABS(BY19)*BZ19+ABS(CA19)*CB19+ABS(CC19)*CD19+ABS(CE19)*CF19+ABS(CG19)*CH19+ABS(CI19)*CJ19+ABS(CK19)*CL19+ABS(CM19)*CN19+ABS(CO19)*CP19+ABS(CQ19)*CR19+ABS(CS19)*CT19+ABS(CU19)*CV19+ABS(CW19)*CX19</f>
        <v>0</v>
      </c>
      <c r="DH19" s="43" t="n">
        <f aca="false">((H19-X19)*W19+(H19-Z19)*Y19+(H19-AB19)*AA19+(H19-AD19)*AC19+(H19-AF19)*AE19+(H19-AH19)*AG19+(H19-AJ19)*AI19+(H19-AL19)*AK19+(H19-AN19)*AM19+(H19-AP19)*AO19+(H19-AR19)*AQ19+(H19-AT19)*AS19+(H19-AV19)*AU19+(H19-AX19)*AW19+(H19-AZ19)*AY19+(H19-BB19)*BA19+(H19-BD19)*BC19+(H19-BF19)*BE19+(H19-BH19)*BG19+(H19-BJ19)*BI19)*DD19*DE19</f>
        <v>0</v>
      </c>
      <c r="DI19" s="43" t="n">
        <f aca="false">(((H19-BL19)*BK19+(H19-BN19)*BM19+(H19-BP19)*BO19+(H19-BR19)*BQ19+(H19-BT19)*BS19+(H19-BV19)*BU19+(H19-BX19)*BW19+(H19-BZ19)*BY19+(H19-CB19)*CA19+(H19-CD19)*CC19+(H19-CF19)*CE19+(H19-CH19)*CG19+(H19-CJ19)*CH19+(H19-CL19)*CK19+(H19-CN19)*CM19+(H19-CP19)*CO19+(H19-CR19)*CQ19+(H19-CT19)*CS19+(H19-CV19)*CU19+(H19-CX19)*CW19)*DD19*DE19)</f>
        <v>0</v>
      </c>
      <c r="DJ19" s="21" t="n">
        <v>0</v>
      </c>
      <c r="DK19" s="85" t="n">
        <v>37142</v>
      </c>
      <c r="DL19" s="21" t="n">
        <v>0</v>
      </c>
      <c r="DM19" s="21" t="n">
        <f aca="false">[3]NYZoneA!$L10</f>
        <v>0</v>
      </c>
      <c r="DN19" s="21" t="n">
        <f aca="false">IF(AND(WEEKDAY(DK19)&gt;1,WEEKDAY(DK19)&lt;7),1,0)</f>
        <v>0</v>
      </c>
    </row>
    <row r="20" customFormat="false" ht="18.75" hidden="false" customHeight="false" outlineLevel="0" collapsed="false">
      <c r="A20" s="58" t="n">
        <f aca="false">[4]NYZoneA!$D11</f>
        <v>37143</v>
      </c>
      <c r="B20" s="59" t="n">
        <f aca="false">+([3]NYZoneA!$L11+[3]NYZoneD!$L11)/16</f>
        <v>0</v>
      </c>
      <c r="C20" s="87" t="n">
        <f aca="false">CY20</f>
        <v>0</v>
      </c>
      <c r="D20" s="61" t="n">
        <f aca="false">(IF(MONTH(A20)=MONTH(EOMONTH(TradeDate,1)),$AN$70,0)*VLOOKUP(A20,$DK$12:$DN$43,4))</f>
        <v>0</v>
      </c>
      <c r="E20" s="62" t="n">
        <f aca="false">SUM(B20:D20)</f>
        <v>0</v>
      </c>
      <c r="F20" s="63" t="n">
        <f aca="false">+[3]NYZoneA!$C11</f>
        <v>34</v>
      </c>
      <c r="G20" s="63" t="n">
        <f aca="false">IF($Q$9,Q20,P20)</f>
        <v>0</v>
      </c>
      <c r="H20" s="64" t="n">
        <f aca="false">F20+G20</f>
        <v>34</v>
      </c>
      <c r="I20" s="65" t="n">
        <f aca="false">B20*G20*DD20</f>
        <v>0</v>
      </c>
      <c r="J20" s="66" t="n">
        <f aca="false">DH20+DI20</f>
        <v>0</v>
      </c>
      <c r="K20" s="66" t="n">
        <f aca="false">I20+J20</f>
        <v>0</v>
      </c>
      <c r="L20" s="42"/>
      <c r="M20" s="67" t="n">
        <f aca="false">A20</f>
        <v>37143</v>
      </c>
      <c r="N20" s="68" t="n">
        <v>34</v>
      </c>
      <c r="O20" s="68" t="n">
        <v>34</v>
      </c>
      <c r="P20" s="69" t="n">
        <f aca="false">AVERAGE(N20:O20)-F20</f>
        <v>0</v>
      </c>
      <c r="Q20" s="70"/>
      <c r="R20" s="91" t="n">
        <f aca="false">H20</f>
        <v>34</v>
      </c>
      <c r="S20" s="24"/>
      <c r="T20" s="24"/>
      <c r="U20" s="72"/>
      <c r="V20" s="73" t="n">
        <f aca="false">A20</f>
        <v>37143</v>
      </c>
      <c r="W20" s="77"/>
      <c r="X20" s="76"/>
      <c r="Y20" s="74"/>
      <c r="Z20" s="75"/>
      <c r="AA20" s="77"/>
      <c r="AB20" s="78"/>
      <c r="AC20" s="77"/>
      <c r="AD20" s="78"/>
      <c r="AE20" s="77"/>
      <c r="AF20" s="78"/>
      <c r="AG20" s="77"/>
      <c r="AH20" s="78"/>
      <c r="AI20" s="77"/>
      <c r="AJ20" s="78"/>
      <c r="AK20" s="77"/>
      <c r="AL20" s="78"/>
      <c r="AM20" s="77"/>
      <c r="AN20" s="78"/>
      <c r="AO20" s="77"/>
      <c r="AP20" s="78"/>
      <c r="AQ20" s="77"/>
      <c r="AR20" s="78"/>
      <c r="AS20" s="77"/>
      <c r="AT20" s="78"/>
      <c r="AU20" s="94"/>
      <c r="AV20" s="95"/>
      <c r="AW20" s="96"/>
      <c r="AX20" s="75"/>
      <c r="AY20" s="81"/>
      <c r="AZ20" s="75"/>
      <c r="BA20" s="81"/>
      <c r="BB20" s="75"/>
      <c r="BC20" s="96"/>
      <c r="BD20" s="75"/>
      <c r="BE20" s="81"/>
      <c r="BF20" s="75"/>
      <c r="BG20" s="96"/>
      <c r="BH20" s="75"/>
      <c r="BI20" s="81"/>
      <c r="BJ20" s="75"/>
      <c r="BK20" s="81"/>
      <c r="BL20" s="75"/>
      <c r="BM20" s="81"/>
      <c r="BN20" s="75"/>
      <c r="BO20" s="81"/>
      <c r="BP20" s="75"/>
      <c r="BQ20" s="81"/>
      <c r="BR20" s="75"/>
      <c r="BS20" s="81"/>
      <c r="BT20" s="75"/>
      <c r="BU20" s="81"/>
      <c r="BV20" s="75"/>
      <c r="BW20" s="81"/>
      <c r="BX20" s="75"/>
      <c r="BY20" s="81"/>
      <c r="BZ20" s="75"/>
      <c r="CA20" s="81"/>
      <c r="CB20" s="75"/>
      <c r="CC20" s="81"/>
      <c r="CD20" s="75"/>
      <c r="CE20" s="81"/>
      <c r="CF20" s="75"/>
      <c r="CG20" s="81"/>
      <c r="CH20" s="75"/>
      <c r="CI20" s="81"/>
      <c r="CJ20" s="75"/>
      <c r="CK20" s="81"/>
      <c r="CL20" s="75"/>
      <c r="CM20" s="81"/>
      <c r="CN20" s="75"/>
      <c r="CO20" s="81"/>
      <c r="CP20" s="75"/>
      <c r="CQ20" s="81"/>
      <c r="CR20" s="75"/>
      <c r="CS20" s="81"/>
      <c r="CT20" s="75"/>
      <c r="CU20" s="81"/>
      <c r="CV20" s="75"/>
      <c r="CW20" s="81"/>
      <c r="CX20" s="75"/>
      <c r="CY20" s="82" t="n">
        <f aca="false">W20+Y20+AA20+AC20+AE20+AG20+AI20+AK20+AM20+AO20+AQ20+AS20+AU20+AW20+AY20+BA20+BC20+BE20+BG20+BI20+BK20+BM20+BO20+BQ20+BS20+BU20+BW20+BY20+CA20+CC20+CE20+CG20+CI20+CK20+CM20+CO20+CQ20+CS20+CU20+CW20</f>
        <v>0</v>
      </c>
      <c r="CZ20" s="83" t="n">
        <f aca="false">IF(AND(CY20=0,DC20=0),0,(DF20+DG20)/DC20)</f>
        <v>0</v>
      </c>
      <c r="DA20" s="84" t="n">
        <f aca="false">DC20*DD20</f>
        <v>0</v>
      </c>
      <c r="DB20" s="85" t="n">
        <f aca="false">V20</f>
        <v>37143</v>
      </c>
      <c r="DC20" s="84" t="n">
        <f aca="false">ABS(W20)+ABS(Y20)+ABS(AA20)+ABS(AC20)+ABS(AE20)+ABS(AG20)+ABS(AI20)+ABS(AK20)+ABS(AM20)+ABS(AO20)+ABS(AQ20)+ABS(AS20)+ABS(AU20)+ABS(AW20)+ABS(AY20)+ABS(BA20)+ABS(BC20)+ABS(BE20)+ABS(BG20)+ABS(BI20)+ABS(BK20)+ABS(BM20)+ABS(BO20)+ABS(BQ20)+ABS(BS20)+ABS(BU20)+ABS(BW20)+ABS(BY20)+ABS(CA20)+ABS(CC20)+ABS(CE20)+ABS(CG20)+ABS(CI20)+ABS(CK20)+ABS(CM20)+ABS(CO20)+ABS(CQ20)+ABS(CS20)+ABS(CU20)+ABS(CW20)</f>
        <v>0</v>
      </c>
      <c r="DD20" s="86" t="n">
        <v>16</v>
      </c>
      <c r="DE20" s="84" t="n">
        <v>1</v>
      </c>
      <c r="DF20" s="43" t="n">
        <f aca="false">(ABS(W20)*X20+ABS(Y20)*Z20+ABS(AA20)*AB20+ABS(AC20)*AD20+ABS(AE20)*AF20+ABS(AG20)*AH20+ABS(AI20)*AJ20+ABS(AK20)*AL20+ABS(AM20)*AN20+ABS(AO20)*AP20+ABS(AQ20)*AR20+ABS(AS20)*AT20+ABS(AU20)*AV20+ABS(AW20)*AX20+ABS(AY20)*AZ20+ABS(BA20)*BB20+ABS(BC20)*BD20+ABS(BE20)*BF20+ABS(BG20)*BH20+ABS(BI20)*BJ20)</f>
        <v>0</v>
      </c>
      <c r="DG20" s="43" t="n">
        <f aca="false">ABS(BK20)*BL20+ABS(BM20)*BN20+ABS(BO20)*BP20+ABS(BQ20)*BR20+ABS(BS20)*BT20+ABS(BU20)*BV20+ABS(BW20)*BX20+ABS(BY20)*BZ20+ABS(CA20)*CB20+ABS(CC20)*CD20+ABS(CE20)*CF20+ABS(CG20)*CH20+ABS(CI20)*CJ20+ABS(CK20)*CL20+ABS(CM20)*CN20+ABS(CO20)*CP20+ABS(CQ20)*CR20+ABS(CS20)*CT20+ABS(CU20)*CV20+ABS(CW20)*CX20</f>
        <v>0</v>
      </c>
      <c r="DH20" s="43" t="n">
        <f aca="false">((H20-X20)*W20+(H20-Z20)*Y20+(H20-AB20)*AA20+(H20-AD20)*AC20+(H20-AF20)*AE20+(H20-AH20)*AG20+(H20-AJ20)*AI20+(H20-AL20)*AK20+(H20-AN20)*AM20+(H20-AP20)*AO20+(H20-AR20)*AQ20+(H20-AT20)*AS20+(H20-AV20)*AU20+(H20-AX20)*AW20+(H20-AZ20)*AY20+(H20-BB20)*BA20+(H20-BD20)*BC20+(H20-BF20)*BE20+(H20-BH20)*BG20+(H20-BJ20)*BI20)*DD20*DE20</f>
        <v>0</v>
      </c>
      <c r="DI20" s="43" t="n">
        <f aca="false">(((H20-BL20)*BK20+(H20-BN20)*BM20+(H20-BP20)*BO20+(H20-BR20)*BQ20+(H20-BT20)*BS20+(H20-BV20)*BU20+(H20-BX20)*BW20+(H20-BZ20)*BY20+(H20-CB20)*CA20+(H20-CD20)*CC20+(H20-CF20)*CE20+(H20-CH20)*CG20+(H20-CJ20)*CH20+(H20-CL20)*CK20+(H20-CN20)*CM20+(H20-CP20)*CO20+(H20-CR20)*CQ20+(H20-CT20)*CS20+(H20-CV20)*CU20+(H20-CX20)*CW20)*DD20*DE20)</f>
        <v>0</v>
      </c>
      <c r="DJ20" s="21" t="n">
        <v>0</v>
      </c>
      <c r="DK20" s="85" t="n">
        <v>37143</v>
      </c>
      <c r="DL20" s="21" t="n">
        <v>0</v>
      </c>
      <c r="DM20" s="21" t="n">
        <f aca="false">[3]NYZoneA!$L11</f>
        <v>0</v>
      </c>
      <c r="DN20" s="21" t="n">
        <f aca="false">IF(AND(WEEKDAY(DK20)&gt;1,WEEKDAY(DK20)&lt;7),1,0)</f>
        <v>0</v>
      </c>
    </row>
    <row r="21" customFormat="false" ht="18.75" hidden="false" customHeight="false" outlineLevel="0" collapsed="false">
      <c r="A21" s="58" t="n">
        <f aca="false">[4]NYZoneA!$D12</f>
        <v>37144</v>
      </c>
      <c r="B21" s="59" t="n">
        <f aca="false">+([3]NYZoneA!$L12+[3]NYZoneD!$L12)/16</f>
        <v>-249.10986328125</v>
      </c>
      <c r="C21" s="87" t="n">
        <f aca="false">CY21</f>
        <v>0</v>
      </c>
      <c r="D21" s="87" t="n">
        <f aca="false">(IF(MONTH(A21)=MONTH(EOMONTH(TradeDate,1)),$AN$70,0)*VLOOKUP(A21,$DK$12:$DN$43,4))</f>
        <v>0</v>
      </c>
      <c r="E21" s="62" t="n">
        <f aca="false">SUM(B21:D21)</f>
        <v>-249.10986328125</v>
      </c>
      <c r="F21" s="63" t="n">
        <f aca="false">+[3]NYZoneA!$C12</f>
        <v>34</v>
      </c>
      <c r="G21" s="88" t="n">
        <f aca="false">IF($Q$9,Q21,P21)</f>
        <v>0.5</v>
      </c>
      <c r="H21" s="89" t="n">
        <f aca="false">F21+G21</f>
        <v>34.5</v>
      </c>
      <c r="I21" s="87" t="n">
        <f aca="false">B21*G21*DD21</f>
        <v>-1992.87890625</v>
      </c>
      <c r="J21" s="66" t="n">
        <f aca="false">DH21+DI21</f>
        <v>0</v>
      </c>
      <c r="K21" s="90" t="n">
        <f aca="false">I21+J21</f>
        <v>-1992.87890625</v>
      </c>
      <c r="L21" s="42"/>
      <c r="M21" s="67" t="n">
        <f aca="false">A21</f>
        <v>37144</v>
      </c>
      <c r="N21" s="68" t="n">
        <v>34.5</v>
      </c>
      <c r="O21" s="68" t="n">
        <v>34.5</v>
      </c>
      <c r="P21" s="69" t="n">
        <f aca="false">AVERAGE(N21:O21)-F21</f>
        <v>0.5</v>
      </c>
      <c r="Q21" s="70"/>
      <c r="R21" s="91" t="n">
        <f aca="false">H21</f>
        <v>34.5</v>
      </c>
      <c r="S21" s="24"/>
      <c r="T21" s="24"/>
      <c r="U21" s="72"/>
      <c r="V21" s="73" t="n">
        <f aca="false">A21</f>
        <v>37144</v>
      </c>
      <c r="W21" s="77"/>
      <c r="X21" s="76"/>
      <c r="Y21" s="74"/>
      <c r="Z21" s="75"/>
      <c r="AA21" s="77"/>
      <c r="AB21" s="99"/>
      <c r="AC21" s="77"/>
      <c r="AD21" s="78"/>
      <c r="AE21" s="77"/>
      <c r="AF21" s="78"/>
      <c r="AG21" s="77"/>
      <c r="AH21" s="78"/>
      <c r="AI21" s="77"/>
      <c r="AJ21" s="78"/>
      <c r="AK21" s="77"/>
      <c r="AL21" s="78"/>
      <c r="AM21" s="77"/>
      <c r="AN21" s="78"/>
      <c r="AO21" s="77"/>
      <c r="AP21" s="78"/>
      <c r="AQ21" s="77"/>
      <c r="AR21" s="78"/>
      <c r="AS21" s="77"/>
      <c r="AT21" s="78"/>
      <c r="AU21" s="94"/>
      <c r="AV21" s="95"/>
      <c r="AW21" s="96"/>
      <c r="AX21" s="75"/>
      <c r="AY21" s="81"/>
      <c r="AZ21" s="75"/>
      <c r="BA21" s="81"/>
      <c r="BB21" s="75"/>
      <c r="BC21" s="96"/>
      <c r="BD21" s="75"/>
      <c r="BE21" s="81"/>
      <c r="BF21" s="75"/>
      <c r="BG21" s="96"/>
      <c r="BH21" s="75"/>
      <c r="BI21" s="81"/>
      <c r="BJ21" s="75"/>
      <c r="BK21" s="81"/>
      <c r="BL21" s="75"/>
      <c r="BM21" s="81"/>
      <c r="BN21" s="75"/>
      <c r="BO21" s="81"/>
      <c r="BP21" s="75"/>
      <c r="BQ21" s="81"/>
      <c r="BR21" s="75"/>
      <c r="BS21" s="81"/>
      <c r="BT21" s="75"/>
      <c r="BU21" s="81"/>
      <c r="BV21" s="75"/>
      <c r="BW21" s="81"/>
      <c r="BX21" s="75"/>
      <c r="BY21" s="81"/>
      <c r="BZ21" s="75"/>
      <c r="CA21" s="81"/>
      <c r="CB21" s="75"/>
      <c r="CC21" s="81"/>
      <c r="CD21" s="75"/>
      <c r="CE21" s="81"/>
      <c r="CF21" s="75"/>
      <c r="CG21" s="81"/>
      <c r="CH21" s="75"/>
      <c r="CI21" s="81"/>
      <c r="CJ21" s="75"/>
      <c r="CK21" s="81"/>
      <c r="CL21" s="75"/>
      <c r="CM21" s="81"/>
      <c r="CN21" s="75"/>
      <c r="CO21" s="81"/>
      <c r="CP21" s="75"/>
      <c r="CQ21" s="81"/>
      <c r="CR21" s="75"/>
      <c r="CS21" s="81"/>
      <c r="CT21" s="75"/>
      <c r="CU21" s="81"/>
      <c r="CV21" s="75"/>
      <c r="CW21" s="81"/>
      <c r="CX21" s="75"/>
      <c r="CY21" s="82" t="n">
        <f aca="false">W21+Y21+AA21+AC21+AE21+AG21+AI21+AK21+AM21+AO21+AQ21+AS21+AU21+AW21+AY21+BA21+BC21+BE21+BG21+BI21+BK21+BM21+BO21+BQ21+BS21+BU21+BW21+BY21+CA21+CC21+CE21+CG21+CI21+CK21+CM21+CO21+CQ21+CS21+CU21+CW21</f>
        <v>0</v>
      </c>
      <c r="CZ21" s="83" t="n">
        <f aca="false">IF(AND(CY21=0,DC21=0),0,(DF21+DG21)/DC21)</f>
        <v>0</v>
      </c>
      <c r="DA21" s="84" t="n">
        <f aca="false">DC21*DD21</f>
        <v>0</v>
      </c>
      <c r="DB21" s="85" t="n">
        <f aca="false">V21</f>
        <v>37144</v>
      </c>
      <c r="DC21" s="84" t="n">
        <f aca="false">ABS(W21)+ABS(Y21)+ABS(AA21)+ABS(AC21)+ABS(AE21)+ABS(AG21)+ABS(AI21)+ABS(AK21)+ABS(AM21)+ABS(AO21)+ABS(AQ21)+ABS(AS21)+ABS(AU21)+ABS(AW21)+ABS(AY21)+ABS(BA21)+ABS(BC21)+ABS(BE21)+ABS(BG21)+ABS(BI21)+ABS(BK21)+ABS(BM21)+ABS(BO21)+ABS(BQ21)+ABS(BS21)+ABS(BU21)+ABS(BW21)+ABS(BY21)+ABS(CA21)+ABS(CC21)+ABS(CE21)+ABS(CG21)+ABS(CI21)+ABS(CK21)+ABS(CM21)+ABS(CO21)+ABS(CQ21)+ABS(CS21)+ABS(CU21)+ABS(CW21)</f>
        <v>0</v>
      </c>
      <c r="DD21" s="86" t="n">
        <v>16</v>
      </c>
      <c r="DE21" s="84" t="n">
        <v>1</v>
      </c>
      <c r="DF21" s="43" t="n">
        <f aca="false">(ABS(W21)*X21+ABS(Y21)*Z21+ABS(AA21)*AB21+ABS(AC21)*AD21+ABS(AE21)*AF21+ABS(AG21)*AH21+ABS(AI21)*AJ21+ABS(AK21)*AL21+ABS(AM21)*AN21+ABS(AO21)*AP21+ABS(AQ21)*AR21+ABS(AS21)*AT21+ABS(AU21)*AV21+ABS(AW21)*AX21+ABS(AY21)*AZ21+ABS(BA21)*BB21+ABS(BC21)*BD21+ABS(BE21)*BF21+ABS(BG21)*BH21+ABS(BI21)*BJ21)</f>
        <v>0</v>
      </c>
      <c r="DG21" s="43" t="n">
        <f aca="false">ABS(BK21)*BL21+ABS(BM21)*BN21+ABS(BO21)*BP21+ABS(BQ21)*BR21+ABS(BS21)*BT21+ABS(BU21)*BV21+ABS(BW21)*BX21+ABS(BY21)*BZ21+ABS(CA21)*CB21+ABS(CC21)*CD21+ABS(CE21)*CF21+ABS(CG21)*CH21+ABS(CI21)*CJ21+ABS(CK21)*CL21+ABS(CM21)*CN21+ABS(CO21)*CP21+ABS(CQ21)*CR21+ABS(CS21)*CT21+ABS(CU21)*CV21+ABS(CW21)*CX21</f>
        <v>0</v>
      </c>
      <c r="DH21" s="43" t="n">
        <f aca="false">((H21-X21)*W21+(H21-Z21)*Y21+(H21-AB21)*AA21+(H21-AD21)*AC21+(H21-AF21)*AE21+(H21-AH21)*AG21+(H21-AJ21)*AI21+(H21-AL21)*AK21+(H21-AN21)*AM21+(H21-AP21)*AO21+(H21-AR21)*AQ21+(H21-AT21)*AS21+(H21-AV21)*AU21+(H21-AX21)*AW21+(H21-AZ21)*AY21+(H21-BB21)*BA21+(H21-BD21)*BC21+(H21-BF21)*BE21+(H21-BH21)*BG21+(H21-BJ21)*BI21)*DD21*DE21</f>
        <v>0</v>
      </c>
      <c r="DI21" s="43" t="n">
        <f aca="false">(((H21-BL21)*BK21+(H21-BN21)*BM21+(H21-BP21)*BO21+(H21-BR21)*BQ21+(H21-BT21)*BS21+(H21-BV21)*BU21+(H21-BX21)*BW21+(H21-BZ21)*BY21+(H21-CB21)*CA21+(H21-CD21)*CC21+(H21-CF21)*CE21+(H21-CH21)*CG21+(H21-CJ21)*CH21+(H21-CL21)*CK21+(H21-CN21)*CM21+(H21-CP21)*CO21+(H21-CR21)*CQ21+(H21-CT21)*CS21+(H21-CV21)*CU21+(H21-CX21)*CW21)*DD21*DE21)</f>
        <v>0</v>
      </c>
      <c r="DJ21" s="21" t="n">
        <v>0</v>
      </c>
      <c r="DK21" s="85" t="n">
        <v>37144</v>
      </c>
      <c r="DL21" s="21" t="n">
        <v>-249.10986328125</v>
      </c>
      <c r="DM21" s="21" t="n">
        <f aca="false">[3]NYZoneA!$L12</f>
        <v>-3985.7578125</v>
      </c>
      <c r="DN21" s="21" t="n">
        <f aca="false">IF(AND(WEEKDAY(DK21)&gt;1,WEEKDAY(DK21)&lt;7),1,0)</f>
        <v>1</v>
      </c>
    </row>
    <row r="22" customFormat="false" ht="18.75" hidden="false" customHeight="false" outlineLevel="0" collapsed="false">
      <c r="A22" s="58" t="n">
        <f aca="false">[4]NYZoneA!$D13</f>
        <v>37145</v>
      </c>
      <c r="B22" s="59" t="n">
        <f aca="false">+([3]NYZoneA!$L13+[3]NYZoneD!$L13)/16</f>
        <v>-249.10986328125</v>
      </c>
      <c r="C22" s="87" t="n">
        <f aca="false">CY22</f>
        <v>0</v>
      </c>
      <c r="D22" s="61" t="n">
        <f aca="false">(IF(MONTH(A22)=MONTH(EOMONTH(TradeDate,1)),$AN$70,0)*VLOOKUP(A22,$DK$12:$DN$43,4))</f>
        <v>0</v>
      </c>
      <c r="E22" s="62" t="n">
        <f aca="false">SUM(B22:D22)</f>
        <v>-249.10986328125</v>
      </c>
      <c r="F22" s="63" t="n">
        <f aca="false">+[3]NYZoneA!$C13</f>
        <v>34</v>
      </c>
      <c r="G22" s="63" t="n">
        <f aca="false">IF($Q$9,Q22,P22)</f>
        <v>0.5</v>
      </c>
      <c r="H22" s="64" t="n">
        <f aca="false">F22+G22</f>
        <v>34.5</v>
      </c>
      <c r="I22" s="65" t="n">
        <f aca="false">B22*G22*DD22</f>
        <v>-1992.87890625</v>
      </c>
      <c r="J22" s="66" t="n">
        <f aca="false">DH22+DI22</f>
        <v>0</v>
      </c>
      <c r="K22" s="66" t="n">
        <f aca="false">I22+J22</f>
        <v>-1992.87890625</v>
      </c>
      <c r="L22" s="98"/>
      <c r="M22" s="67" t="n">
        <f aca="false">A22</f>
        <v>37145</v>
      </c>
      <c r="N22" s="68" t="n">
        <v>34.5</v>
      </c>
      <c r="O22" s="68" t="n">
        <v>34.5</v>
      </c>
      <c r="P22" s="69" t="n">
        <f aca="false">AVERAGE(N22:O22)-F22</f>
        <v>0.5</v>
      </c>
      <c r="Q22" s="70"/>
      <c r="R22" s="91" t="n">
        <f aca="false">H22</f>
        <v>34.5</v>
      </c>
      <c r="S22" s="24"/>
      <c r="T22" s="24"/>
      <c r="U22" s="72"/>
      <c r="V22" s="73" t="n">
        <f aca="false">A22</f>
        <v>37145</v>
      </c>
      <c r="W22" s="77"/>
      <c r="X22" s="76"/>
      <c r="Y22" s="74"/>
      <c r="Z22" s="76"/>
      <c r="AA22" s="77"/>
      <c r="AB22" s="78"/>
      <c r="AC22" s="77"/>
      <c r="AD22" s="78"/>
      <c r="AE22" s="77"/>
      <c r="AF22" s="78"/>
      <c r="AG22" s="77"/>
      <c r="AH22" s="78"/>
      <c r="AI22" s="77"/>
      <c r="AJ22" s="78"/>
      <c r="AK22" s="77"/>
      <c r="AL22" s="78"/>
      <c r="AM22" s="77"/>
      <c r="AN22" s="78"/>
      <c r="AO22" s="77"/>
      <c r="AP22" s="78"/>
      <c r="AQ22" s="77"/>
      <c r="AR22" s="78"/>
      <c r="AS22" s="77"/>
      <c r="AT22" s="78"/>
      <c r="AU22" s="94"/>
      <c r="AV22" s="95"/>
      <c r="AW22" s="96"/>
      <c r="AX22" s="75"/>
      <c r="AY22" s="81"/>
      <c r="AZ22" s="75"/>
      <c r="BA22" s="81"/>
      <c r="BB22" s="75"/>
      <c r="BC22" s="96"/>
      <c r="BD22" s="75"/>
      <c r="BE22" s="81"/>
      <c r="BF22" s="75"/>
      <c r="BG22" s="96"/>
      <c r="BH22" s="75"/>
      <c r="BI22" s="81"/>
      <c r="BJ22" s="75"/>
      <c r="BK22" s="81"/>
      <c r="BL22" s="75"/>
      <c r="BM22" s="81"/>
      <c r="BN22" s="75"/>
      <c r="BO22" s="81"/>
      <c r="BP22" s="75"/>
      <c r="BQ22" s="81"/>
      <c r="BR22" s="75"/>
      <c r="BS22" s="81"/>
      <c r="BT22" s="75"/>
      <c r="BU22" s="81"/>
      <c r="BV22" s="75"/>
      <c r="BW22" s="81"/>
      <c r="BX22" s="75"/>
      <c r="BY22" s="81"/>
      <c r="BZ22" s="75"/>
      <c r="CA22" s="81"/>
      <c r="CB22" s="75"/>
      <c r="CC22" s="81"/>
      <c r="CD22" s="75"/>
      <c r="CE22" s="81"/>
      <c r="CF22" s="75"/>
      <c r="CG22" s="81"/>
      <c r="CH22" s="75"/>
      <c r="CI22" s="81"/>
      <c r="CJ22" s="75"/>
      <c r="CK22" s="81"/>
      <c r="CL22" s="75"/>
      <c r="CM22" s="81"/>
      <c r="CN22" s="75"/>
      <c r="CO22" s="81"/>
      <c r="CP22" s="75"/>
      <c r="CQ22" s="81"/>
      <c r="CR22" s="75"/>
      <c r="CS22" s="81"/>
      <c r="CT22" s="75"/>
      <c r="CU22" s="81"/>
      <c r="CV22" s="75"/>
      <c r="CW22" s="81"/>
      <c r="CX22" s="75"/>
      <c r="CY22" s="82" t="n">
        <f aca="false">W22+Y22+AA22+AC22+AE22+AG22+AI22+AK22+AM22+AO22+AQ22+AS22+AU22+AW22+AY22+BA22+BC22+BE22+BG22+BI22+BK22+BM22+BO22+BQ22+BS22+BU22+BW22+BY22+CA22+CC22+CE22+CG22+CI22+CK22+CM22+CO22+CQ22+CS22+CU22+CW22</f>
        <v>0</v>
      </c>
      <c r="CZ22" s="83" t="n">
        <f aca="false">IF(AND(CY22=0,DC22=0),0,(DF22+DG22)/DC22)</f>
        <v>0</v>
      </c>
      <c r="DA22" s="84" t="n">
        <f aca="false">DC22*DD22</f>
        <v>0</v>
      </c>
      <c r="DB22" s="85" t="n">
        <f aca="false">V22</f>
        <v>37145</v>
      </c>
      <c r="DC22" s="84" t="n">
        <f aca="false">ABS(W22)+ABS(Y22)+ABS(AA22)+ABS(AC22)+ABS(AE22)+ABS(AG22)+ABS(AI22)+ABS(AK22)+ABS(AM22)+ABS(AO22)+ABS(AQ22)+ABS(AS22)+ABS(AU22)+ABS(AW22)+ABS(AY22)+ABS(BA22)+ABS(BC22)+ABS(BE22)+ABS(BG22)+ABS(BI22)+ABS(BK22)+ABS(BM22)+ABS(BO22)+ABS(BQ22)+ABS(BS22)+ABS(BU22)+ABS(BW22)+ABS(BY22)+ABS(CA22)+ABS(CC22)+ABS(CE22)+ABS(CG22)+ABS(CI22)+ABS(CK22)+ABS(CM22)+ABS(CO22)+ABS(CQ22)+ABS(CS22)+ABS(CU22)+ABS(CW22)</f>
        <v>0</v>
      </c>
      <c r="DD22" s="86" t="n">
        <v>16</v>
      </c>
      <c r="DE22" s="84" t="n">
        <v>1</v>
      </c>
      <c r="DF22" s="43" t="n">
        <f aca="false">(ABS(W22)*X22+ABS(Y22)*Z22+ABS(AA22)*AB22+ABS(AC22)*AD22+ABS(AE22)*AF22+ABS(AG22)*AH22+ABS(AI22)*AJ22+ABS(AK22)*AL22+ABS(AM22)*AN22+ABS(AO22)*AP22+ABS(AQ22)*AR22+ABS(AS22)*AT22+ABS(AU22)*AV22+ABS(AW22)*AX22+ABS(AY22)*AZ22+ABS(BA22)*BB22+ABS(BC22)*BD22+ABS(BE22)*BF22+ABS(BG22)*BH22+ABS(BI22)*BJ22)</f>
        <v>0</v>
      </c>
      <c r="DG22" s="43" t="n">
        <f aca="false">ABS(BK22)*BL22+ABS(BM22)*BN22+ABS(BO22)*BP22+ABS(BQ22)*BR22+ABS(BS22)*BT22+ABS(BU22)*BV22+ABS(BW22)*BX22+ABS(BY22)*BZ22+ABS(CA22)*CB22+ABS(CC22)*CD22+ABS(CE22)*CF22+ABS(CG22)*CH22+ABS(CI22)*CJ22+ABS(CK22)*CL22+ABS(CM22)*CN22+ABS(CO22)*CP22+ABS(CQ22)*CR22+ABS(CS22)*CT22+ABS(CU22)*CV22+ABS(CW22)*CX22</f>
        <v>0</v>
      </c>
      <c r="DH22" s="43" t="n">
        <f aca="false">((H22-X22)*W22+(H22-Z22)*Y22+(H22-AB22)*AA22+(H22-AD22)*AC22+(H22-AF22)*AE22+(H22-AH22)*AG22+(H22-AJ22)*AI22+(H22-AL22)*AK22+(H22-AN22)*AM22+(H22-AP22)*AO22+(H22-AR22)*AQ22+(H22-AT22)*AS22+(H22-AV22)*AU22+(H22-AX22)*AW22+(H22-AZ22)*AY22+(H22-BB22)*BA22+(H22-BD22)*BC22+(H22-BF22)*BE22+(H22-BH22)*BG22+(H22-BJ22)*BI22)*DD22*DE22</f>
        <v>0</v>
      </c>
      <c r="DI22" s="43" t="n">
        <f aca="false">(((H22-BL22)*BK22+(H22-BN22)*BM22+(H22-BP22)*BO22+(H22-BR22)*BQ22+(H22-BT22)*BS22+(H22-BV22)*BU22+(H22-BX22)*BW22+(H22-BZ22)*BY22+(H22-CB22)*CA22+(H22-CD22)*CC22+(H22-CF22)*CE22+(H22-CH22)*CG22+(H22-CJ22)*CH22+(H22-CL22)*CK22+(H22-CN22)*CM22+(H22-CP22)*CO22+(H22-CR22)*CQ22+(H22-CT22)*CS22+(H22-CV22)*CU22+(H22-CX22)*CW22)*DD22*DE22)</f>
        <v>0</v>
      </c>
      <c r="DJ22" s="21" t="n">
        <v>0</v>
      </c>
      <c r="DK22" s="85" t="n">
        <v>37145</v>
      </c>
      <c r="DL22" s="21" t="n">
        <v>-249.10986328125</v>
      </c>
      <c r="DM22" s="21" t="n">
        <f aca="false">[3]NYZoneA!$L13</f>
        <v>-3985.7578125</v>
      </c>
      <c r="DN22" s="21" t="n">
        <f aca="false">IF(AND(WEEKDAY(DK22)&gt;1,WEEKDAY(DK22)&lt;7),1,0)</f>
        <v>1</v>
      </c>
    </row>
    <row r="23" customFormat="false" ht="18.75" hidden="false" customHeight="false" outlineLevel="0" collapsed="false">
      <c r="A23" s="58" t="n">
        <f aca="false">[4]NYZoneA!$D14</f>
        <v>37146</v>
      </c>
      <c r="B23" s="59" t="n">
        <f aca="false">+([3]NYZoneA!$L14+[3]NYZoneD!$L14)/16</f>
        <v>-249.10986328125</v>
      </c>
      <c r="C23" s="87" t="n">
        <f aca="false">CY23</f>
        <v>0</v>
      </c>
      <c r="D23" s="87" t="n">
        <f aca="false">(IF(MONTH(A23)=MONTH(EOMONTH(TradeDate,1)),$AN$70,0)*VLOOKUP(A23,$DK$12:$DN$43,4))</f>
        <v>0</v>
      </c>
      <c r="E23" s="62" t="n">
        <f aca="false">SUM(B23:D23)</f>
        <v>-249.10986328125</v>
      </c>
      <c r="F23" s="63" t="n">
        <f aca="false">+[3]NYZoneA!$C14</f>
        <v>34</v>
      </c>
      <c r="G23" s="88" t="n">
        <f aca="false">IF($Q$9,Q23,P23)</f>
        <v>0.5</v>
      </c>
      <c r="H23" s="89" t="n">
        <f aca="false">F23+G23</f>
        <v>34.5</v>
      </c>
      <c r="I23" s="87" t="n">
        <f aca="false">B23*G23*DD23</f>
        <v>-1992.87890625</v>
      </c>
      <c r="J23" s="66" t="n">
        <f aca="false">DH23+DI23</f>
        <v>0</v>
      </c>
      <c r="K23" s="90" t="n">
        <f aca="false">I23+J23</f>
        <v>-1992.87890625</v>
      </c>
      <c r="L23" s="98"/>
      <c r="M23" s="67" t="n">
        <f aca="false">A23</f>
        <v>37146</v>
      </c>
      <c r="N23" s="68" t="n">
        <v>34.5</v>
      </c>
      <c r="O23" s="68" t="n">
        <v>34.5</v>
      </c>
      <c r="P23" s="69" t="n">
        <f aca="false">AVERAGE(N23:O23)-F23</f>
        <v>0.5</v>
      </c>
      <c r="Q23" s="70"/>
      <c r="R23" s="91" t="n">
        <f aca="false">H23</f>
        <v>34.5</v>
      </c>
      <c r="S23" s="24"/>
      <c r="T23" s="24"/>
      <c r="U23" s="72"/>
      <c r="V23" s="73" t="n">
        <f aca="false">A23</f>
        <v>37146</v>
      </c>
      <c r="W23" s="77"/>
      <c r="X23" s="76"/>
      <c r="Y23" s="74"/>
      <c r="Z23" s="75"/>
      <c r="AA23" s="77"/>
      <c r="AB23" s="78"/>
      <c r="AC23" s="77"/>
      <c r="AD23" s="78"/>
      <c r="AE23" s="77"/>
      <c r="AF23" s="78"/>
      <c r="AG23" s="77"/>
      <c r="AH23" s="78"/>
      <c r="AI23" s="77"/>
      <c r="AJ23" s="78"/>
      <c r="AK23" s="77"/>
      <c r="AL23" s="78"/>
      <c r="AM23" s="77"/>
      <c r="AN23" s="78"/>
      <c r="AO23" s="77"/>
      <c r="AP23" s="78"/>
      <c r="AQ23" s="77"/>
      <c r="AR23" s="78"/>
      <c r="AS23" s="77"/>
      <c r="AT23" s="78"/>
      <c r="AU23" s="94"/>
      <c r="AV23" s="95"/>
      <c r="AW23" s="96"/>
      <c r="AX23" s="75"/>
      <c r="AY23" s="81"/>
      <c r="AZ23" s="75"/>
      <c r="BA23" s="81"/>
      <c r="BB23" s="75"/>
      <c r="BC23" s="96"/>
      <c r="BD23" s="75"/>
      <c r="BE23" s="81"/>
      <c r="BF23" s="75"/>
      <c r="BG23" s="96"/>
      <c r="BH23" s="75"/>
      <c r="BI23" s="81"/>
      <c r="BJ23" s="75"/>
      <c r="BK23" s="81"/>
      <c r="BL23" s="75"/>
      <c r="BM23" s="81"/>
      <c r="BN23" s="75"/>
      <c r="BO23" s="81"/>
      <c r="BP23" s="75"/>
      <c r="BQ23" s="81"/>
      <c r="BR23" s="75"/>
      <c r="BS23" s="81"/>
      <c r="BT23" s="75"/>
      <c r="BU23" s="81"/>
      <c r="BV23" s="75"/>
      <c r="BW23" s="81"/>
      <c r="BX23" s="75"/>
      <c r="BY23" s="81"/>
      <c r="BZ23" s="75"/>
      <c r="CA23" s="81"/>
      <c r="CB23" s="75"/>
      <c r="CC23" s="81"/>
      <c r="CD23" s="75"/>
      <c r="CE23" s="81"/>
      <c r="CF23" s="75"/>
      <c r="CG23" s="81"/>
      <c r="CH23" s="75"/>
      <c r="CI23" s="81"/>
      <c r="CJ23" s="75"/>
      <c r="CK23" s="81"/>
      <c r="CL23" s="75"/>
      <c r="CM23" s="81"/>
      <c r="CN23" s="75"/>
      <c r="CO23" s="81"/>
      <c r="CP23" s="75"/>
      <c r="CQ23" s="81"/>
      <c r="CR23" s="75"/>
      <c r="CS23" s="81"/>
      <c r="CT23" s="75"/>
      <c r="CU23" s="81"/>
      <c r="CV23" s="75"/>
      <c r="CW23" s="81"/>
      <c r="CX23" s="75"/>
      <c r="CY23" s="82" t="n">
        <f aca="false">W23+Y23+AA23+AC23+AE23+AG23+AI23+AK23+AM23+AO23+AQ23+AS23+AU23+AW23+AY23+BA23+BC23+BE23+BG23+BI23+BK23+BM23+BO23+BQ23+BS23+BU23+BW23+BY23+CA23+CC23+CE23+CG23+CI23+CK23+CM23+CO23+CQ23+CS23+CU23+CW23</f>
        <v>0</v>
      </c>
      <c r="CZ23" s="83" t="n">
        <f aca="false">IF(AND(CY23=0,DC23=0),0,(DF23+DG23)/DC23)</f>
        <v>0</v>
      </c>
      <c r="DA23" s="84" t="n">
        <f aca="false">DC23*DD23</f>
        <v>0</v>
      </c>
      <c r="DB23" s="85" t="n">
        <f aca="false">V23</f>
        <v>37146</v>
      </c>
      <c r="DC23" s="84" t="n">
        <f aca="false">ABS(W23)+ABS(Y23)+ABS(AA23)+ABS(AC23)+ABS(AE23)+ABS(AG23)+ABS(AI23)+ABS(AK23)+ABS(AM23)+ABS(AO23)+ABS(AQ23)+ABS(AS23)+ABS(AU23)+ABS(AW23)+ABS(AY23)+ABS(BA23)+ABS(BC23)+ABS(BE23)+ABS(BG23)+ABS(BI23)+ABS(BK23)+ABS(BM23)+ABS(BO23)+ABS(BQ23)+ABS(BS23)+ABS(BU23)+ABS(BW23)+ABS(BY23)+ABS(CA23)+ABS(CC23)+ABS(CE23)+ABS(CG23)+ABS(CI23)+ABS(CK23)+ABS(CM23)+ABS(CO23)+ABS(CQ23)+ABS(CS23)+ABS(CU23)+ABS(CW23)</f>
        <v>0</v>
      </c>
      <c r="DD23" s="86" t="n">
        <v>16</v>
      </c>
      <c r="DE23" s="84" t="n">
        <v>1</v>
      </c>
      <c r="DF23" s="43" t="n">
        <f aca="false">(ABS(W23)*X23+ABS(Y23)*Z23+ABS(AA23)*AB23+ABS(AC23)*AD23+ABS(AE23)*AF23+ABS(AG23)*AH23+ABS(AI23)*AJ23+ABS(AK23)*AL23+ABS(AM23)*AN23+ABS(AO23)*AP23+ABS(AQ23)*AR23+ABS(AS23)*AT23+ABS(AU23)*AV23+ABS(AW23)*AX23+ABS(AY23)*AZ23+ABS(BA23)*BB23+ABS(BC23)*BD23+ABS(BE23)*BF23+ABS(BG23)*BH23+ABS(BI23)*BJ23)</f>
        <v>0</v>
      </c>
      <c r="DG23" s="43" t="n">
        <f aca="false">ABS(BK23)*BL23+ABS(BM23)*BN23+ABS(BO23)*BP23+ABS(BQ23)*BR23+ABS(BS23)*BT23+ABS(BU23)*BV23+ABS(BW23)*BX23+ABS(BY23)*BZ23+ABS(CA23)*CB23+ABS(CC23)*CD23+ABS(CE23)*CF23+ABS(CG23)*CH23+ABS(CI23)*CJ23+ABS(CK23)*CL23+ABS(CM23)*CN23+ABS(CO23)*CP23+ABS(CQ23)*CR23+ABS(CS23)*CT23+ABS(CU23)*CV23+ABS(CW23)*CX23</f>
        <v>0</v>
      </c>
      <c r="DH23" s="43" t="n">
        <f aca="false">((H23-X23)*W23+(H23-Z23)*Y23+(H23-AB23)*AA23+(H23-AD23)*AC23+(H23-AF23)*AE23+(H23-AH23)*AG23+(H23-AJ23)*AI23+(H23-AL23)*AK23+(H23-AN23)*AM23+(H23-AP23)*AO23+(H23-AR23)*AQ23+(H23-AT23)*AS23+(H23-AV23)*AU23+(H23-AX23)*AW23+(H23-AZ23)*AY23+(H23-BB23)*BA23+(H23-BD23)*BC23+(H23-BF23)*BE23+(H23-BH23)*BG23+(H23-BJ23)*BI23)*DD23*DE23</f>
        <v>0</v>
      </c>
      <c r="DI23" s="43" t="n">
        <f aca="false">(((H23-BL23)*BK23+(H23-BN23)*BM23+(H23-BP23)*BO23+(H23-BR23)*BQ23+(H23-BT23)*BS23+(H23-BV23)*BU23+(H23-BX23)*BW23+(H23-BZ23)*BY23+(H23-CB23)*CA23+(H23-CD23)*CC23+(H23-CF23)*CE23+(H23-CH23)*CG23+(H23-CJ23)*CH23+(H23-CL23)*CK23+(H23-CN23)*CM23+(H23-CP23)*CO23+(H23-CR23)*CQ23+(H23-CT23)*CS23+(H23-CV23)*CU23+(H23-CX23)*CW23)*DD23*DE23)</f>
        <v>0</v>
      </c>
      <c r="DJ23" s="21" t="n">
        <v>0</v>
      </c>
      <c r="DK23" s="85" t="n">
        <v>37146</v>
      </c>
      <c r="DL23" s="21" t="n">
        <v>-249.10986328125</v>
      </c>
      <c r="DM23" s="21" t="n">
        <f aca="false">[3]NYZoneA!$L14</f>
        <v>-3985.7578125</v>
      </c>
      <c r="DN23" s="21" t="n">
        <f aca="false">IF(AND(WEEKDAY(DK23)&gt;1,WEEKDAY(DK23)&lt;7),1,0)</f>
        <v>1</v>
      </c>
    </row>
    <row r="24" customFormat="false" ht="18.75" hidden="false" customHeight="false" outlineLevel="0" collapsed="false">
      <c r="A24" s="58" t="n">
        <f aca="false">[4]NYZoneA!$D15</f>
        <v>37147</v>
      </c>
      <c r="B24" s="59" t="n">
        <f aca="false">+([3]NYZoneA!$L15+[3]NYZoneD!$L15)/16</f>
        <v>-249.10986328125</v>
      </c>
      <c r="C24" s="87" t="n">
        <f aca="false">CY24</f>
        <v>0</v>
      </c>
      <c r="D24" s="61" t="n">
        <f aca="false">(IF(MONTH(A24)=MONTH(EOMONTH(TradeDate,1)),$AN$70,0)*VLOOKUP(A24,$DK$12:$DN$43,4))</f>
        <v>0</v>
      </c>
      <c r="E24" s="62" t="n">
        <f aca="false">SUM(B24:D24)</f>
        <v>-249.10986328125</v>
      </c>
      <c r="F24" s="63" t="n">
        <f aca="false">+[3]NYZoneA!$C15</f>
        <v>34</v>
      </c>
      <c r="G24" s="63" t="n">
        <f aca="false">IF($Q$9,Q24,P24)</f>
        <v>0.5</v>
      </c>
      <c r="H24" s="64" t="n">
        <f aca="false">F24+G24</f>
        <v>34.5</v>
      </c>
      <c r="I24" s="65" t="n">
        <f aca="false">B24*G24*DD24</f>
        <v>-1992.87890625</v>
      </c>
      <c r="J24" s="66" t="n">
        <f aca="false">DH24+DI24</f>
        <v>0</v>
      </c>
      <c r="K24" s="66" t="n">
        <f aca="false">I24+J24</f>
        <v>-1992.87890625</v>
      </c>
      <c r="L24" s="98"/>
      <c r="M24" s="67" t="n">
        <f aca="false">A24</f>
        <v>37147</v>
      </c>
      <c r="N24" s="68" t="n">
        <v>34.5</v>
      </c>
      <c r="O24" s="68" t="n">
        <v>34.5</v>
      </c>
      <c r="P24" s="69" t="n">
        <f aca="false">AVERAGE(N24:O24)-F24</f>
        <v>0.5</v>
      </c>
      <c r="Q24" s="70"/>
      <c r="R24" s="91" t="n">
        <f aca="false">H24</f>
        <v>34.5</v>
      </c>
      <c r="S24" s="24"/>
      <c r="T24" s="24"/>
      <c r="U24" s="72"/>
      <c r="V24" s="73" t="n">
        <f aca="false">A24</f>
        <v>37147</v>
      </c>
      <c r="W24" s="77"/>
      <c r="X24" s="76"/>
      <c r="Y24" s="74"/>
      <c r="Z24" s="75"/>
      <c r="AA24" s="77"/>
      <c r="AB24" s="78"/>
      <c r="AC24" s="77"/>
      <c r="AD24" s="76"/>
      <c r="AE24" s="77"/>
      <c r="AF24" s="78"/>
      <c r="AG24" s="77"/>
      <c r="AH24" s="78"/>
      <c r="AI24" s="77"/>
      <c r="AJ24" s="78"/>
      <c r="AK24" s="77"/>
      <c r="AL24" s="78"/>
      <c r="AM24" s="77"/>
      <c r="AN24" s="78"/>
      <c r="AO24" s="77"/>
      <c r="AP24" s="78"/>
      <c r="AQ24" s="77"/>
      <c r="AR24" s="78"/>
      <c r="AS24" s="77"/>
      <c r="AT24" s="78"/>
      <c r="AU24" s="94"/>
      <c r="AV24" s="95"/>
      <c r="AW24" s="96"/>
      <c r="AX24" s="75"/>
      <c r="AY24" s="81"/>
      <c r="AZ24" s="75"/>
      <c r="BA24" s="81"/>
      <c r="BB24" s="75"/>
      <c r="BC24" s="96"/>
      <c r="BD24" s="75"/>
      <c r="BE24" s="81"/>
      <c r="BF24" s="75"/>
      <c r="BG24" s="96"/>
      <c r="BH24" s="75"/>
      <c r="BI24" s="81"/>
      <c r="BJ24" s="75"/>
      <c r="BK24" s="81"/>
      <c r="BL24" s="75"/>
      <c r="BM24" s="81"/>
      <c r="BN24" s="75"/>
      <c r="BO24" s="81"/>
      <c r="BP24" s="75"/>
      <c r="BQ24" s="81"/>
      <c r="BR24" s="75"/>
      <c r="BS24" s="81"/>
      <c r="BT24" s="75"/>
      <c r="BU24" s="81"/>
      <c r="BV24" s="75"/>
      <c r="BW24" s="81"/>
      <c r="BX24" s="75"/>
      <c r="BY24" s="81"/>
      <c r="BZ24" s="75"/>
      <c r="CA24" s="81"/>
      <c r="CB24" s="75"/>
      <c r="CC24" s="81"/>
      <c r="CD24" s="75"/>
      <c r="CE24" s="81"/>
      <c r="CF24" s="75"/>
      <c r="CG24" s="81"/>
      <c r="CH24" s="75"/>
      <c r="CI24" s="81"/>
      <c r="CJ24" s="75"/>
      <c r="CK24" s="81"/>
      <c r="CL24" s="75"/>
      <c r="CM24" s="81"/>
      <c r="CN24" s="75"/>
      <c r="CO24" s="81"/>
      <c r="CP24" s="75"/>
      <c r="CQ24" s="81"/>
      <c r="CR24" s="75"/>
      <c r="CS24" s="81"/>
      <c r="CT24" s="75"/>
      <c r="CU24" s="81"/>
      <c r="CV24" s="75"/>
      <c r="CW24" s="81"/>
      <c r="CX24" s="75"/>
      <c r="CY24" s="82" t="n">
        <f aca="false">W24+Y24+AA24+AC24+AE24+AG24+AI24+AK24+AM24+AO24+AQ24+AS24+AU24+AW24+AY24+BA24+BC24+BE24+BG24+BI24+BK24+BM24+BO24+BQ24+BS24+BU24+BW24+BY24+CA24+CC24+CE24+CG24+CI24+CK24+CM24+CO24+CQ24+CS24+CU24+CW24</f>
        <v>0</v>
      </c>
      <c r="CZ24" s="83" t="n">
        <f aca="false">IF(AND(CY24=0,DC24=0),0,(DF24+DG24)/DC24)</f>
        <v>0</v>
      </c>
      <c r="DA24" s="84" t="n">
        <f aca="false">DC24*DD24</f>
        <v>0</v>
      </c>
      <c r="DB24" s="85" t="n">
        <f aca="false">V24</f>
        <v>37147</v>
      </c>
      <c r="DC24" s="84" t="n">
        <f aca="false">ABS(W24)+ABS(Y24)+ABS(AA24)+ABS(AC24)+ABS(AE24)+ABS(AG24)+ABS(AI24)+ABS(AK24)+ABS(AM24)+ABS(AO24)+ABS(AQ24)+ABS(AS24)+ABS(AU24)+ABS(AW24)+ABS(AY24)+ABS(BA24)+ABS(BC24)+ABS(BE24)+ABS(BG24)+ABS(BI24)+ABS(BK24)+ABS(BM24)+ABS(BO24)+ABS(BQ24)+ABS(BS24)+ABS(BU24)+ABS(BW24)+ABS(BY24)+ABS(CA24)+ABS(CC24)+ABS(CE24)+ABS(CG24)+ABS(CI24)+ABS(CK24)+ABS(CM24)+ABS(CO24)+ABS(CQ24)+ABS(CS24)+ABS(CU24)+ABS(CW24)</f>
        <v>0</v>
      </c>
      <c r="DD24" s="86" t="n">
        <v>16</v>
      </c>
      <c r="DE24" s="84" t="n">
        <v>1</v>
      </c>
      <c r="DF24" s="43" t="n">
        <f aca="false">(ABS(W24)*X24+ABS(Y24)*Z24+ABS(AA24)*AB24+ABS(AC24)*AD24+ABS(AE24)*AF24+ABS(AG24)*AH24+ABS(AI24)*AJ24+ABS(AK24)*AL24+ABS(AM24)*AN24+ABS(AO24)*AP24+ABS(AQ24)*AR24+ABS(AS24)*AT24+ABS(AU24)*AV24+ABS(AW24)*AX24+ABS(AY24)*AZ24+ABS(BA24)*BB24+ABS(BC24)*BD24+ABS(BE24)*BF24+ABS(BG24)*BH24+ABS(BI24)*BJ24)</f>
        <v>0</v>
      </c>
      <c r="DG24" s="43" t="n">
        <f aca="false">ABS(BK24)*BL24+ABS(BM24)*BN24+ABS(BO24)*BP24+ABS(BQ24)*BR24+ABS(BS24)*BT24+ABS(BU24)*BV24+ABS(BW24)*BX24+ABS(BY24)*BZ24+ABS(CA24)*CB24+ABS(CC24)*CD24+ABS(CE24)*CF24+ABS(CG24)*CH24+ABS(CI24)*CJ24+ABS(CK24)*CL24+ABS(CM24)*CN24+ABS(CO24)*CP24+ABS(CQ24)*CR24+ABS(CS24)*CT24+ABS(CU24)*CV24+ABS(CW24)*CX24</f>
        <v>0</v>
      </c>
      <c r="DH24" s="43" t="n">
        <f aca="false">((H24-X24)*W24+(H24-Z24)*Y24+(H24-AB24)*AA24+(H24-AD24)*AC24+(H24-AF24)*AE24+(H24-AH24)*AG24+(H24-AJ24)*AI24+(H24-AL24)*AK24+(H24-AN24)*AM24+(H24-AP24)*AO24+(H24-AR24)*AQ24+(H24-AT24)*AS24+(H24-AV24)*AU24+(H24-AX24)*AW24+(H24-AZ24)*AY24+(H24-BB24)*BA24+(H24-BD24)*BC24+(H24-BF24)*BE24+(H24-BH24)*BG24+(H24-BJ24)*BI24)*DD24*DE24</f>
        <v>0</v>
      </c>
      <c r="DI24" s="43" t="n">
        <f aca="false">(((H24-BL24)*BK24+(H24-BN24)*BM24+(H24-BP24)*BO24+(H24-BR24)*BQ24+(H24-BT24)*BS24+(H24-BV24)*BU24+(H24-BX24)*BW24+(H24-BZ24)*BY24+(H24-CB24)*CA24+(H24-CD24)*CC24+(H24-CF24)*CE24+(H24-CH24)*CG24+(H24-CJ24)*CH24+(H24-CL24)*CK24+(H24-CN24)*CM24+(H24-CP24)*CO24+(H24-CR24)*CQ24+(H24-CT24)*CS24+(H24-CV24)*CU24+(H24-CX24)*CW24)*DD24*DE24)</f>
        <v>0</v>
      </c>
      <c r="DJ24" s="21" t="n">
        <v>0</v>
      </c>
      <c r="DK24" s="85" t="n">
        <v>37147</v>
      </c>
      <c r="DL24" s="21" t="n">
        <v>-249.10986328125</v>
      </c>
      <c r="DM24" s="21" t="n">
        <f aca="false">[3]NYZoneA!$L15</f>
        <v>-3985.7578125</v>
      </c>
      <c r="DN24" s="21" t="n">
        <f aca="false">IF(AND(WEEKDAY(DK24)&gt;1,WEEKDAY(DK24)&lt;7),1,0)</f>
        <v>1</v>
      </c>
    </row>
    <row r="25" customFormat="false" ht="18.75" hidden="false" customHeight="false" outlineLevel="0" collapsed="false">
      <c r="A25" s="58" t="n">
        <f aca="false">[4]NYZoneA!$D16</f>
        <v>37148</v>
      </c>
      <c r="B25" s="59" t="n">
        <f aca="false">+([3]NYZoneA!$L16+[3]NYZoneD!$L16)/16</f>
        <v>-249.10986328125</v>
      </c>
      <c r="C25" s="87" t="n">
        <f aca="false">CY25</f>
        <v>0</v>
      </c>
      <c r="D25" s="87" t="n">
        <f aca="false">(IF(MONTH(A25)=MONTH(EOMONTH(TradeDate,1)),$AN$70,0)*VLOOKUP(A25,$DK$12:$DN$43,4))</f>
        <v>0</v>
      </c>
      <c r="E25" s="62" t="n">
        <f aca="false">SUM(B25:D25)</f>
        <v>-249.10986328125</v>
      </c>
      <c r="F25" s="63" t="n">
        <f aca="false">+[3]NYZoneA!$C16</f>
        <v>34</v>
      </c>
      <c r="G25" s="88" t="n">
        <f aca="false">IF($Q$9,Q25,P25)</f>
        <v>0.5</v>
      </c>
      <c r="H25" s="89" t="n">
        <f aca="false">F25+G25</f>
        <v>34.5</v>
      </c>
      <c r="I25" s="87" t="n">
        <f aca="false">B25*G25*DD25</f>
        <v>-1992.87890625</v>
      </c>
      <c r="J25" s="66" t="n">
        <f aca="false">DH25+DI25</f>
        <v>0</v>
      </c>
      <c r="K25" s="90" t="n">
        <f aca="false">I25+J25</f>
        <v>-1992.87890625</v>
      </c>
      <c r="L25" s="98"/>
      <c r="M25" s="67" t="n">
        <f aca="false">A25</f>
        <v>37148</v>
      </c>
      <c r="N25" s="68" t="n">
        <v>34.5</v>
      </c>
      <c r="O25" s="68" t="n">
        <v>34.5</v>
      </c>
      <c r="P25" s="69" t="n">
        <f aca="false">AVERAGE(N25:O25)-F25</f>
        <v>0.5</v>
      </c>
      <c r="Q25" s="70"/>
      <c r="R25" s="91" t="n">
        <f aca="false">H25</f>
        <v>34.5</v>
      </c>
      <c r="S25" s="24"/>
      <c r="T25" s="24"/>
      <c r="U25" s="72"/>
      <c r="V25" s="73" t="n">
        <f aca="false">A25</f>
        <v>37148</v>
      </c>
      <c r="W25" s="77"/>
      <c r="X25" s="76"/>
      <c r="Y25" s="74"/>
      <c r="Z25" s="75"/>
      <c r="AA25" s="77"/>
      <c r="AB25" s="78"/>
      <c r="AC25" s="77"/>
      <c r="AD25" s="78"/>
      <c r="AE25" s="77"/>
      <c r="AF25" s="78"/>
      <c r="AG25" s="77"/>
      <c r="AH25" s="78"/>
      <c r="AI25" s="77"/>
      <c r="AJ25" s="78"/>
      <c r="AK25" s="77"/>
      <c r="AL25" s="78"/>
      <c r="AM25" s="77"/>
      <c r="AN25" s="78"/>
      <c r="AO25" s="77"/>
      <c r="AP25" s="78"/>
      <c r="AQ25" s="77"/>
      <c r="AR25" s="78"/>
      <c r="AS25" s="77"/>
      <c r="AT25" s="78"/>
      <c r="AU25" s="94"/>
      <c r="AV25" s="95"/>
      <c r="AW25" s="96"/>
      <c r="AX25" s="75"/>
      <c r="AY25" s="81"/>
      <c r="AZ25" s="75"/>
      <c r="BA25" s="81"/>
      <c r="BB25" s="75"/>
      <c r="BC25" s="96"/>
      <c r="BD25" s="75"/>
      <c r="BE25" s="81"/>
      <c r="BF25" s="75"/>
      <c r="BG25" s="96"/>
      <c r="BH25" s="75"/>
      <c r="BI25" s="81"/>
      <c r="BJ25" s="75"/>
      <c r="BK25" s="81"/>
      <c r="BL25" s="75"/>
      <c r="BM25" s="81"/>
      <c r="BN25" s="75"/>
      <c r="BO25" s="81"/>
      <c r="BP25" s="75"/>
      <c r="BQ25" s="81"/>
      <c r="BR25" s="75"/>
      <c r="BS25" s="81"/>
      <c r="BT25" s="75"/>
      <c r="BU25" s="81"/>
      <c r="BV25" s="75"/>
      <c r="BW25" s="81"/>
      <c r="BX25" s="75"/>
      <c r="BY25" s="81"/>
      <c r="BZ25" s="75"/>
      <c r="CA25" s="81"/>
      <c r="CB25" s="75"/>
      <c r="CC25" s="81"/>
      <c r="CD25" s="75"/>
      <c r="CE25" s="81"/>
      <c r="CF25" s="75"/>
      <c r="CG25" s="81"/>
      <c r="CH25" s="75"/>
      <c r="CI25" s="81"/>
      <c r="CJ25" s="75"/>
      <c r="CK25" s="81"/>
      <c r="CL25" s="75"/>
      <c r="CM25" s="81"/>
      <c r="CN25" s="75"/>
      <c r="CO25" s="81"/>
      <c r="CP25" s="75"/>
      <c r="CQ25" s="81"/>
      <c r="CR25" s="75"/>
      <c r="CS25" s="81"/>
      <c r="CT25" s="75"/>
      <c r="CU25" s="81"/>
      <c r="CV25" s="75"/>
      <c r="CW25" s="81"/>
      <c r="CX25" s="75"/>
      <c r="CY25" s="82" t="n">
        <f aca="false">W25+Y25+AA25+AC25+AE25+AG25+AI25+AK25+AM25+AO25+AQ25+AS25+AU25+AW25+AY25+BA25+BC25+BE25+BG25+BI25+BK25+BM25+BO25+BQ25+BS25+BU25+BW25+BY25+CA25+CC25+CE25+CG25+CI25+CK25+CM25+CO25+CQ25+CS25+CU25+CW25</f>
        <v>0</v>
      </c>
      <c r="CZ25" s="83" t="n">
        <f aca="false">IF(AND(CY25=0,DC25=0),0,(DF25+DG25)/DC25)</f>
        <v>0</v>
      </c>
      <c r="DA25" s="84" t="n">
        <f aca="false">DC25*DD25</f>
        <v>0</v>
      </c>
      <c r="DB25" s="85" t="n">
        <f aca="false">V25</f>
        <v>37148</v>
      </c>
      <c r="DC25" s="84" t="n">
        <f aca="false">ABS(W25)+ABS(Y25)+ABS(AA25)+ABS(AC25)+ABS(AE25)+ABS(AG25)+ABS(AI25)+ABS(AK25)+ABS(AM25)+ABS(AO25)+ABS(AQ25)+ABS(AS25)+ABS(AU25)+ABS(AW25)+ABS(AY25)+ABS(BA25)+ABS(BC25)+ABS(BE25)+ABS(BG25)+ABS(BI25)+ABS(BK25)+ABS(BM25)+ABS(BO25)+ABS(BQ25)+ABS(BS25)+ABS(BU25)+ABS(BW25)+ABS(BY25)+ABS(CA25)+ABS(CC25)+ABS(CE25)+ABS(CG25)+ABS(CI25)+ABS(CK25)+ABS(CM25)+ABS(CO25)+ABS(CQ25)+ABS(CS25)+ABS(CU25)+ABS(CW25)</f>
        <v>0</v>
      </c>
      <c r="DD25" s="86" t="n">
        <v>16</v>
      </c>
      <c r="DE25" s="84" t="n">
        <v>1</v>
      </c>
      <c r="DF25" s="43" t="n">
        <f aca="false">(ABS(W25)*X25+ABS(Y25)*Z25+ABS(AA25)*AB25+ABS(AC25)*AD25+ABS(AE25)*AF25+ABS(AG25)*AH25+ABS(AI25)*AJ25+ABS(AK25)*AL25+ABS(AM25)*AN25+ABS(AO25)*AP25+ABS(AQ25)*AR25+ABS(AS25)*AT25+ABS(AU25)*AV25+ABS(AW25)*AX25+ABS(AY25)*AZ25+ABS(BA25)*BB25+ABS(BC25)*BD25+ABS(BE25)*BF25+ABS(BG25)*BH25+ABS(BI25)*BJ25)</f>
        <v>0</v>
      </c>
      <c r="DG25" s="43" t="n">
        <f aca="false">ABS(BK25)*BL25+ABS(BM25)*BN25+ABS(BO25)*BP25+ABS(BQ25)*BR25+ABS(BS25)*BT25+ABS(BU25)*BV25+ABS(BW25)*BX25+ABS(BY25)*BZ25+ABS(CA25)*CB25+ABS(CC25)*CD25+ABS(CE25)*CF25+ABS(CG25)*CH25+ABS(CI25)*CJ25+ABS(CK25)*CL25+ABS(CM25)*CN25+ABS(CO25)*CP25+ABS(CQ25)*CR25+ABS(CS25)*CT25+ABS(CU25)*CV25+ABS(CW25)*CX25</f>
        <v>0</v>
      </c>
      <c r="DH25" s="43" t="n">
        <f aca="false">((H25-X25)*W25+(H25-Z25)*Y25+(H25-AB25)*AA25+(H25-AD25)*AC25+(H25-AF25)*AE25+(H25-AH25)*AG25+(H25-AJ25)*AI25+(H25-AL25)*AK25+(H25-AN25)*AM25+(H25-AP25)*AO25+(H25-AR25)*AQ25+(H25-AT25)*AS25+(H25-AV25)*AU25+(H25-AX25)*AW25+(H25-AZ25)*AY25+(H25-BB25)*BA25+(H25-BD25)*BC25+(H25-BF25)*BE25+(H25-BH25)*BG25+(H25-BJ25)*BI25)*DD25*DE25</f>
        <v>0</v>
      </c>
      <c r="DI25" s="43" t="n">
        <f aca="false">(((H25-BL25)*BK25+(H25-BN25)*BM25+(H25-BP25)*BO25+(H25-BR25)*BQ25+(H25-BT25)*BS25+(H25-BV25)*BU25+(H25-BX25)*BW25+(H25-BZ25)*BY25+(H25-CB25)*CA25+(H25-CD25)*CC25+(H25-CF25)*CE25+(H25-CH25)*CG25+(H25-CJ25)*CH25+(H25-CL25)*CK25+(H25-CN25)*CM25+(H25-CP25)*CO25+(H25-CR25)*CQ25+(H25-CT25)*CS25+(H25-CV25)*CU25+(H25-CX25)*CW25)*DD25*DE25)</f>
        <v>0</v>
      </c>
      <c r="DJ25" s="21" t="n">
        <v>0</v>
      </c>
      <c r="DK25" s="85" t="n">
        <v>37148</v>
      </c>
      <c r="DL25" s="21" t="n">
        <v>-249.10986328125</v>
      </c>
      <c r="DM25" s="21" t="n">
        <f aca="false">[3]NYZoneA!$L16</f>
        <v>-3985.7578125</v>
      </c>
      <c r="DN25" s="21" t="n">
        <f aca="false">IF(AND(WEEKDAY(DK25)&gt;1,WEEKDAY(DK25)&lt;7),1,0)</f>
        <v>1</v>
      </c>
    </row>
    <row r="26" customFormat="false" ht="18.75" hidden="false" customHeight="false" outlineLevel="0" collapsed="false">
      <c r="A26" s="58" t="n">
        <f aca="false">[4]NYZoneA!$D17</f>
        <v>37149</v>
      </c>
      <c r="B26" s="59" t="n">
        <f aca="false">+([3]NYZoneA!$L17+[3]NYZoneD!$L17)/16</f>
        <v>0</v>
      </c>
      <c r="C26" s="87" t="n">
        <f aca="false">CY26</f>
        <v>0</v>
      </c>
      <c r="D26" s="61" t="n">
        <f aca="false">(IF(MONTH(A26)=MONTH(EOMONTH(TradeDate,1)),$AN$70,0)*VLOOKUP(A26,$DK$12:$DN$43,4))</f>
        <v>0</v>
      </c>
      <c r="E26" s="62" t="n">
        <f aca="false">SUM(B26:D26)</f>
        <v>0</v>
      </c>
      <c r="F26" s="63" t="n">
        <f aca="false">+[3]NYZoneA!$C17</f>
        <v>33</v>
      </c>
      <c r="G26" s="63" t="n">
        <f aca="false">IF($Q$9,Q26,P26)</f>
        <v>0</v>
      </c>
      <c r="H26" s="64" t="n">
        <f aca="false">F26+G26</f>
        <v>33</v>
      </c>
      <c r="I26" s="65" t="n">
        <f aca="false">B26*G26*DD26</f>
        <v>0</v>
      </c>
      <c r="J26" s="66" t="n">
        <f aca="false">DH26+DI26</f>
        <v>0</v>
      </c>
      <c r="K26" s="66" t="n">
        <f aca="false">I26+J26</f>
        <v>0</v>
      </c>
      <c r="L26" s="98"/>
      <c r="M26" s="67" t="n">
        <f aca="false">A26</f>
        <v>37149</v>
      </c>
      <c r="N26" s="68" t="n">
        <v>33</v>
      </c>
      <c r="O26" s="68" t="n">
        <v>33</v>
      </c>
      <c r="P26" s="69" t="n">
        <f aca="false">AVERAGE(N26:O26)-F26</f>
        <v>0</v>
      </c>
      <c r="Q26" s="70"/>
      <c r="R26" s="91" t="n">
        <f aca="false">H26</f>
        <v>33</v>
      </c>
      <c r="S26" s="24"/>
      <c r="T26" s="24"/>
      <c r="U26" s="72"/>
      <c r="V26" s="73" t="n">
        <f aca="false">A26</f>
        <v>37149</v>
      </c>
      <c r="W26" s="77"/>
      <c r="X26" s="76"/>
      <c r="Y26" s="74"/>
      <c r="Z26" s="75"/>
      <c r="AA26" s="77"/>
      <c r="AB26" s="78"/>
      <c r="AC26" s="77"/>
      <c r="AD26" s="78"/>
      <c r="AE26" s="77"/>
      <c r="AF26" s="78"/>
      <c r="AG26" s="77"/>
      <c r="AH26" s="78"/>
      <c r="AI26" s="77"/>
      <c r="AJ26" s="78"/>
      <c r="AK26" s="77"/>
      <c r="AL26" s="78"/>
      <c r="AM26" s="77"/>
      <c r="AN26" s="78"/>
      <c r="AO26" s="77"/>
      <c r="AP26" s="78"/>
      <c r="AQ26" s="77"/>
      <c r="AR26" s="78"/>
      <c r="AS26" s="77"/>
      <c r="AT26" s="76"/>
      <c r="AU26" s="94"/>
      <c r="AV26" s="95"/>
      <c r="AW26" s="96"/>
      <c r="AX26" s="75"/>
      <c r="AY26" s="81"/>
      <c r="AZ26" s="75"/>
      <c r="BA26" s="81"/>
      <c r="BB26" s="75"/>
      <c r="BC26" s="96"/>
      <c r="BD26" s="75"/>
      <c r="BE26" s="81"/>
      <c r="BF26" s="75"/>
      <c r="BG26" s="96"/>
      <c r="BH26" s="75"/>
      <c r="BI26" s="81"/>
      <c r="BJ26" s="75"/>
      <c r="BK26" s="81"/>
      <c r="BL26" s="75"/>
      <c r="BM26" s="81"/>
      <c r="BN26" s="75"/>
      <c r="BO26" s="81"/>
      <c r="BP26" s="75"/>
      <c r="BQ26" s="81"/>
      <c r="BR26" s="75"/>
      <c r="BS26" s="81"/>
      <c r="BT26" s="75"/>
      <c r="BU26" s="81"/>
      <c r="BV26" s="75"/>
      <c r="BW26" s="81"/>
      <c r="BX26" s="75"/>
      <c r="BY26" s="81"/>
      <c r="BZ26" s="75"/>
      <c r="CA26" s="81"/>
      <c r="CB26" s="75"/>
      <c r="CC26" s="81"/>
      <c r="CD26" s="75"/>
      <c r="CE26" s="81"/>
      <c r="CF26" s="75"/>
      <c r="CG26" s="81"/>
      <c r="CH26" s="75"/>
      <c r="CI26" s="81"/>
      <c r="CJ26" s="75"/>
      <c r="CK26" s="81"/>
      <c r="CL26" s="75"/>
      <c r="CM26" s="81"/>
      <c r="CN26" s="75"/>
      <c r="CO26" s="81"/>
      <c r="CP26" s="75"/>
      <c r="CQ26" s="81"/>
      <c r="CR26" s="75"/>
      <c r="CS26" s="81"/>
      <c r="CT26" s="75"/>
      <c r="CU26" s="81"/>
      <c r="CV26" s="75"/>
      <c r="CW26" s="81"/>
      <c r="CX26" s="75"/>
      <c r="CY26" s="82" t="n">
        <f aca="false">W26+Y26+AA26+AC26+AE26+AG26+AI26+AK26+AM26+AO26+AQ26+AS26+AU26+AW26+AY26+BA26+BC26+BE26+BG26+BI26+BK26+BM26+BO26+BQ26+BS26+BU26+BW26+BY26+CA26+CC26+CE26+CG26+CI26+CK26+CM26+CO26+CQ26+CS26+CU26+CW26</f>
        <v>0</v>
      </c>
      <c r="CZ26" s="83" t="n">
        <f aca="false">IF(AND(CY26=0,DC26=0),0,(DF26+DG26)/DC26)</f>
        <v>0</v>
      </c>
      <c r="DA26" s="84" t="n">
        <f aca="false">DC26*DD26</f>
        <v>0</v>
      </c>
      <c r="DB26" s="85" t="n">
        <f aca="false">V26</f>
        <v>37149</v>
      </c>
      <c r="DC26" s="84" t="n">
        <f aca="false">ABS(W26)+ABS(Y26)+ABS(AA26)+ABS(AC26)+ABS(AE26)+ABS(AG26)+ABS(AI26)+ABS(AK26)+ABS(AM26)+ABS(AO26)+ABS(AQ26)+ABS(AS26)+ABS(AU26)+ABS(AW26)+ABS(AY26)+ABS(BA26)+ABS(BC26)+ABS(BE26)+ABS(BG26)+ABS(BI26)+ABS(BK26)+ABS(BM26)+ABS(BO26)+ABS(BQ26)+ABS(BS26)+ABS(BU26)+ABS(BW26)+ABS(BY26)+ABS(CA26)+ABS(CC26)+ABS(CE26)+ABS(CG26)+ABS(CI26)+ABS(CK26)+ABS(CM26)+ABS(CO26)+ABS(CQ26)+ABS(CS26)+ABS(CU26)+ABS(CW26)</f>
        <v>0</v>
      </c>
      <c r="DD26" s="86" t="n">
        <v>16</v>
      </c>
      <c r="DE26" s="84" t="n">
        <v>1</v>
      </c>
      <c r="DF26" s="43" t="n">
        <f aca="false">(ABS(W26)*X26+ABS(Y26)*Z26+ABS(AA26)*AB26+ABS(AC26)*AD26+ABS(AE26)*AF26+ABS(AG26)*AH26+ABS(AI26)*AJ26+ABS(AK26)*AL26+ABS(AM26)*AN26+ABS(AO26)*AP26+ABS(AQ26)*AR26+ABS(AS26)*AT26+ABS(AU26)*AV26+ABS(AW26)*AX26+ABS(AY26)*AZ26+ABS(BA26)*BB26+ABS(BC26)*BD26+ABS(BE26)*BF26+ABS(BG26)*BH26+ABS(BI26)*BJ26)</f>
        <v>0</v>
      </c>
      <c r="DG26" s="43" t="n">
        <f aca="false">ABS(BK26)*BL26+ABS(BM26)*BN26+ABS(BO26)*BP26+ABS(BQ26)*BR26+ABS(BS26)*BT26+ABS(BU26)*BV26+ABS(BW26)*BX26+ABS(BY26)*BZ26+ABS(CA26)*CB26+ABS(CC26)*CD26+ABS(CE26)*CF26+ABS(CG26)*CH26+ABS(CI26)*CJ26+ABS(CK26)*CL26+ABS(CM26)*CN26+ABS(CO26)*CP26+ABS(CQ26)*CR26+ABS(CS26)*CT26+ABS(CU26)*CV26+ABS(CW26)*CX26</f>
        <v>0</v>
      </c>
      <c r="DH26" s="43" t="n">
        <f aca="false">((H26-X26)*W26+(H26-Z26)*Y26+(H26-AB26)*AA26+(H26-AD26)*AC26+(H26-AF26)*AE26+(H26-AH26)*AG26+(H26-AJ26)*AI26+(H26-AL26)*AK26+(H26-AN26)*AM26+(H26-AP26)*AO26+(H26-AR26)*AQ26+(H26-AT26)*AS26+(H26-AV26)*AU26+(H26-AX26)*AW26+(H26-AZ26)*AY26+(H26-BB26)*BA26+(H26-BD26)*BC26+(H26-BF26)*BE26+(H26-BH26)*BG26+(H26-BJ26)*BI26)*DD26*DE26</f>
        <v>0</v>
      </c>
      <c r="DI26" s="43" t="n">
        <f aca="false">(((H26-BL26)*BK26+(H26-BN26)*BM26+(H26-BP26)*BO26+(H26-BR26)*BQ26+(H26-BT26)*BS26+(H26-BV26)*BU26+(H26-BX26)*BW26+(H26-BZ26)*BY26+(H26-CB26)*CA26+(H26-CD26)*CC26+(H26-CF26)*CE26+(H26-CH26)*CG26+(H26-CJ26)*CH26+(H26-CL26)*CK26+(H26-CN26)*CM26+(H26-CP26)*CO26+(H26-CR26)*CQ26+(H26-CT26)*CS26+(H26-CV26)*CU26+(H26-CX26)*CW26)*DD26*DE26)</f>
        <v>0</v>
      </c>
      <c r="DJ26" s="21" t="n">
        <v>0</v>
      </c>
      <c r="DK26" s="85" t="n">
        <v>37149</v>
      </c>
      <c r="DL26" s="21" t="n">
        <v>0</v>
      </c>
      <c r="DM26" s="21" t="n">
        <f aca="false">[3]NYZoneA!$L17</f>
        <v>0</v>
      </c>
      <c r="DN26" s="21" t="n">
        <f aca="false">IF(AND(WEEKDAY(DK26)&gt;1,WEEKDAY(DK26)&lt;7),1,0)</f>
        <v>0</v>
      </c>
    </row>
    <row r="27" customFormat="false" ht="18.75" hidden="false" customHeight="false" outlineLevel="0" collapsed="false">
      <c r="A27" s="58" t="n">
        <f aca="false">[4]NYZoneA!$D18</f>
        <v>37150</v>
      </c>
      <c r="B27" s="59" t="n">
        <f aca="false">+([3]NYZoneA!$L18+[3]NYZoneD!$L18)/16</f>
        <v>0</v>
      </c>
      <c r="C27" s="87" t="n">
        <f aca="false">CY27</f>
        <v>0</v>
      </c>
      <c r="D27" s="87" t="n">
        <f aca="false">(IF(MONTH(A27)=MONTH(EOMONTH(TradeDate,1)),$AN$70,0)*VLOOKUP(A27,$DK$12:$DN$43,4))</f>
        <v>0</v>
      </c>
      <c r="E27" s="62" t="n">
        <f aca="false">SUM(B27:D27)</f>
        <v>0</v>
      </c>
      <c r="F27" s="63" t="n">
        <f aca="false">+[3]NYZoneA!$C18</f>
        <v>33</v>
      </c>
      <c r="G27" s="88" t="n">
        <f aca="false">IF($Q$9,Q27,P27)</f>
        <v>0</v>
      </c>
      <c r="H27" s="89" t="n">
        <f aca="false">F27+G27</f>
        <v>33</v>
      </c>
      <c r="I27" s="87" t="n">
        <f aca="false">B27*G27*DD27</f>
        <v>0</v>
      </c>
      <c r="J27" s="66" t="n">
        <f aca="false">DH27+DI27</f>
        <v>0</v>
      </c>
      <c r="K27" s="90" t="n">
        <f aca="false">I27+J27</f>
        <v>0</v>
      </c>
      <c r="L27" s="98"/>
      <c r="M27" s="67" t="n">
        <f aca="false">A27</f>
        <v>37150</v>
      </c>
      <c r="N27" s="68" t="n">
        <v>33</v>
      </c>
      <c r="O27" s="68" t="n">
        <v>33</v>
      </c>
      <c r="P27" s="69" t="n">
        <f aca="false">AVERAGE(N27:O27)-F27</f>
        <v>0</v>
      </c>
      <c r="Q27" s="70"/>
      <c r="R27" s="91" t="n">
        <f aca="false">H27</f>
        <v>33</v>
      </c>
      <c r="S27" s="24"/>
      <c r="T27" s="24"/>
      <c r="U27" s="72"/>
      <c r="V27" s="73" t="n">
        <f aca="false">A27</f>
        <v>37150</v>
      </c>
      <c r="W27" s="77"/>
      <c r="X27" s="76"/>
      <c r="Y27" s="74"/>
      <c r="Z27" s="75"/>
      <c r="AA27" s="77"/>
      <c r="AB27" s="78"/>
      <c r="AC27" s="77"/>
      <c r="AD27" s="78"/>
      <c r="AE27" s="77"/>
      <c r="AF27" s="78"/>
      <c r="AG27" s="77"/>
      <c r="AH27" s="78"/>
      <c r="AI27" s="77"/>
      <c r="AJ27" s="78"/>
      <c r="AK27" s="77"/>
      <c r="AL27" s="78"/>
      <c r="AM27" s="77"/>
      <c r="AN27" s="78"/>
      <c r="AO27" s="77"/>
      <c r="AP27" s="78"/>
      <c r="AQ27" s="77"/>
      <c r="AR27" s="78"/>
      <c r="AS27" s="74"/>
      <c r="AT27" s="75"/>
      <c r="AU27" s="94"/>
      <c r="AV27" s="95"/>
      <c r="AW27" s="96"/>
      <c r="AX27" s="75"/>
      <c r="AY27" s="81"/>
      <c r="AZ27" s="75"/>
      <c r="BA27" s="81"/>
      <c r="BB27" s="75"/>
      <c r="BC27" s="96"/>
      <c r="BD27" s="75"/>
      <c r="BE27" s="81"/>
      <c r="BF27" s="75"/>
      <c r="BG27" s="96"/>
      <c r="BH27" s="75"/>
      <c r="BI27" s="81"/>
      <c r="BJ27" s="75"/>
      <c r="BK27" s="81"/>
      <c r="BL27" s="75"/>
      <c r="BM27" s="81"/>
      <c r="BN27" s="75"/>
      <c r="BO27" s="81"/>
      <c r="BP27" s="75"/>
      <c r="BQ27" s="81"/>
      <c r="BR27" s="75"/>
      <c r="BS27" s="81"/>
      <c r="BT27" s="75"/>
      <c r="BU27" s="81"/>
      <c r="BV27" s="75"/>
      <c r="BW27" s="81"/>
      <c r="BX27" s="75"/>
      <c r="BY27" s="81"/>
      <c r="BZ27" s="75"/>
      <c r="CA27" s="81"/>
      <c r="CB27" s="75"/>
      <c r="CC27" s="81"/>
      <c r="CD27" s="75"/>
      <c r="CE27" s="81"/>
      <c r="CF27" s="75"/>
      <c r="CG27" s="81"/>
      <c r="CH27" s="75"/>
      <c r="CI27" s="81"/>
      <c r="CJ27" s="75"/>
      <c r="CK27" s="81"/>
      <c r="CL27" s="75"/>
      <c r="CM27" s="81"/>
      <c r="CN27" s="75"/>
      <c r="CO27" s="81"/>
      <c r="CP27" s="75"/>
      <c r="CQ27" s="81"/>
      <c r="CR27" s="75"/>
      <c r="CS27" s="81"/>
      <c r="CT27" s="75"/>
      <c r="CU27" s="81"/>
      <c r="CV27" s="75"/>
      <c r="CW27" s="81"/>
      <c r="CX27" s="75"/>
      <c r="CY27" s="82" t="n">
        <f aca="false">W27+Y27+AA27+AC27+AE27+AG27+AI27+AK27+AM27+AO27+AQ27+AS27+AU27+AW27+AY27+BA27+BC27+BE27+BG27+BI27+BK27+BM27+BO27+BQ27+BS27+BU27+BW27+BY27+CA27+CC27+CE27+CG27+CI27+CK27+CM27+CO27+CQ27+CS27+CU27+CW27</f>
        <v>0</v>
      </c>
      <c r="CZ27" s="83" t="n">
        <f aca="false">IF(AND(CY27=0,DC27=0),0,(DF27+DG27)/DC27)</f>
        <v>0</v>
      </c>
      <c r="DA27" s="84" t="n">
        <f aca="false">DC27*DD27</f>
        <v>0</v>
      </c>
      <c r="DB27" s="85" t="n">
        <f aca="false">V27</f>
        <v>37150</v>
      </c>
      <c r="DC27" s="84" t="n">
        <f aca="false">ABS(W27)+ABS(Y27)+ABS(AA27)+ABS(AC27)+ABS(AE27)+ABS(AG27)+ABS(AI27)+ABS(AK27)+ABS(AM27)+ABS(AO27)+ABS(AQ27)+ABS(AS27)+ABS(AU27)+ABS(AW27)+ABS(AY27)+ABS(BA27)+ABS(BC27)+ABS(BE27)+ABS(BG27)+ABS(BI27)+ABS(BK27)+ABS(BM27)+ABS(BO27)+ABS(BQ27)+ABS(BS27)+ABS(BU27)+ABS(BW27)+ABS(BY27)+ABS(CA27)+ABS(CC27)+ABS(CE27)+ABS(CG27)+ABS(CI27)+ABS(CK27)+ABS(CM27)+ABS(CO27)+ABS(CQ27)+ABS(CS27)+ABS(CU27)+ABS(CW27)</f>
        <v>0</v>
      </c>
      <c r="DD27" s="86" t="n">
        <v>16</v>
      </c>
      <c r="DE27" s="84" t="n">
        <v>1</v>
      </c>
      <c r="DF27" s="43" t="n">
        <f aca="false">(ABS(W27)*X27+ABS(Y27)*Z27+ABS(AA27)*AB27+ABS(AC27)*AD27+ABS(AE27)*AF27+ABS(AG27)*AH27+ABS(AI27)*AJ27+ABS(AK27)*AL27+ABS(AM27)*AN27+ABS(AO27)*AP27+ABS(AQ27)*AR27+ABS(AS27)*AT27+ABS(AU27)*AV27+ABS(AW27)*AX27+ABS(AY27)*AZ27+ABS(BA27)*BB27+ABS(BC27)*BD27+ABS(BE27)*BF27+ABS(BG27)*BH27+ABS(BI27)*BJ27)</f>
        <v>0</v>
      </c>
      <c r="DG27" s="43" t="n">
        <f aca="false">ABS(BK27)*BL27+ABS(BM27)*BN27+ABS(BO27)*BP27+ABS(BQ27)*BR27+ABS(BS27)*BT27+ABS(BU27)*BV27+ABS(BW27)*BX27+ABS(BY27)*BZ27+ABS(CA27)*CB27+ABS(CC27)*CD27+ABS(CE27)*CF27+ABS(CG27)*CH27+ABS(CI27)*CJ27+ABS(CK27)*CL27+ABS(CM27)*CN27+ABS(CO27)*CP27+ABS(CQ27)*CR27+ABS(CS27)*CT27+ABS(CU27)*CV27+ABS(CW27)*CX27</f>
        <v>0</v>
      </c>
      <c r="DH27" s="43" t="n">
        <f aca="false">((H27-X27)*W27+(H27-Z27)*Y27+(H27-AB27)*AA27+(H27-AD27)*AC27+(H27-AF27)*AE27+(H27-AH27)*AG27+(H27-AJ27)*AI27+(H27-AL27)*AK27+(H27-AN27)*AM27+(H27-AP27)*AO27+(H27-AR27)*AQ27+(H27-AT27)*AS27+(H27-AV27)*AU27+(H27-AX27)*AW27+(H27-AZ27)*AY27+(H27-BB27)*BA27+(H27-BD27)*BC27+(H27-BF27)*BE27+(H27-BH27)*BG27+(H27-BJ27)*BI27)*DD27*DE27</f>
        <v>0</v>
      </c>
      <c r="DI27" s="43" t="n">
        <f aca="false">(((H27-BL27)*BK27+(H27-BN27)*BM27+(H27-BP27)*BO27+(H27-BR27)*BQ27+(H27-BT27)*BS27+(H27-BV27)*BU27+(H27-BX27)*BW27+(H27-BZ27)*BY27+(H27-CB27)*CA27+(H27-CD27)*CC27+(H27-CF27)*CE27+(H27-CH27)*CG27+(H27-CJ27)*CH27+(H27-CL27)*CK27+(H27-CN27)*CM27+(H27-CP27)*CO27+(H27-CR27)*CQ27+(H27-CT27)*CS27+(H27-CV27)*CU27+(H27-CX27)*CW27)*DD27*DE27)</f>
        <v>0</v>
      </c>
      <c r="DJ27" s="21" t="n">
        <v>0</v>
      </c>
      <c r="DK27" s="85" t="n">
        <v>37150</v>
      </c>
      <c r="DL27" s="21" t="n">
        <v>0</v>
      </c>
      <c r="DM27" s="21" t="n">
        <f aca="false">[3]NYZoneA!$L18</f>
        <v>0</v>
      </c>
      <c r="DN27" s="21" t="n">
        <f aca="false">IF(AND(WEEKDAY(DK27)&gt;1,WEEKDAY(DK27)&lt;7),1,0)</f>
        <v>0</v>
      </c>
    </row>
    <row r="28" customFormat="false" ht="18.75" hidden="false" customHeight="false" outlineLevel="0" collapsed="false">
      <c r="A28" s="58" t="n">
        <f aca="false">[4]NYZoneA!$D19</f>
        <v>37151</v>
      </c>
      <c r="B28" s="59" t="n">
        <f aca="false">+([3]NYZoneA!$L19+[3]NYZoneD!$L19)/16</f>
        <v>-249.10986328125</v>
      </c>
      <c r="C28" s="87" t="n">
        <f aca="false">CY28</f>
        <v>0</v>
      </c>
      <c r="D28" s="61" t="n">
        <f aca="false">(IF(MONTH(A28)=MONTH(EOMONTH(TradeDate,1)),$AN$70,0)*VLOOKUP(A28,$DK$12:$DN$43,4))</f>
        <v>0</v>
      </c>
      <c r="E28" s="62" t="n">
        <f aca="false">SUM(B28:D28)</f>
        <v>-249.10986328125</v>
      </c>
      <c r="F28" s="63" t="n">
        <f aca="false">+[3]NYZoneA!$C19</f>
        <v>34</v>
      </c>
      <c r="G28" s="63" t="n">
        <f aca="false">IF($Q$9,Q28,P28)</f>
        <v>0.5</v>
      </c>
      <c r="H28" s="64" t="n">
        <f aca="false">F28+G28</f>
        <v>34.5</v>
      </c>
      <c r="I28" s="65" t="n">
        <f aca="false">B28*G28*DD28</f>
        <v>-1992.87890625</v>
      </c>
      <c r="J28" s="66" t="n">
        <f aca="false">DH28+DI28</f>
        <v>0</v>
      </c>
      <c r="K28" s="66" t="n">
        <f aca="false">I28+J28</f>
        <v>-1992.87890625</v>
      </c>
      <c r="L28" s="24"/>
      <c r="M28" s="67" t="n">
        <f aca="false">A28</f>
        <v>37151</v>
      </c>
      <c r="N28" s="68" t="n">
        <v>34.5</v>
      </c>
      <c r="O28" s="68" t="n">
        <v>34.5</v>
      </c>
      <c r="P28" s="69" t="n">
        <f aca="false">AVERAGE(N28:O28)-F28</f>
        <v>0.5</v>
      </c>
      <c r="Q28" s="70"/>
      <c r="R28" s="91" t="n">
        <f aca="false">H28</f>
        <v>34.5</v>
      </c>
      <c r="S28" s="24"/>
      <c r="T28" s="24"/>
      <c r="U28" s="72"/>
      <c r="V28" s="73" t="n">
        <f aca="false">A28</f>
        <v>37151</v>
      </c>
      <c r="W28" s="77"/>
      <c r="X28" s="76"/>
      <c r="Y28" s="74"/>
      <c r="Z28" s="75"/>
      <c r="AA28" s="77"/>
      <c r="AB28" s="78"/>
      <c r="AC28" s="77"/>
      <c r="AD28" s="78"/>
      <c r="AE28" s="77"/>
      <c r="AF28" s="78"/>
      <c r="AG28" s="77"/>
      <c r="AH28" s="78"/>
      <c r="AI28" s="77"/>
      <c r="AJ28" s="78"/>
      <c r="AK28" s="77"/>
      <c r="AL28" s="78"/>
      <c r="AM28" s="77"/>
      <c r="AN28" s="78"/>
      <c r="AO28" s="77"/>
      <c r="AP28" s="78"/>
      <c r="AQ28" s="77"/>
      <c r="AR28" s="78"/>
      <c r="AS28" s="77"/>
      <c r="AT28" s="78"/>
      <c r="AU28" s="94"/>
      <c r="AV28" s="95"/>
      <c r="AW28" s="96"/>
      <c r="AX28" s="75"/>
      <c r="AY28" s="81"/>
      <c r="AZ28" s="75"/>
      <c r="BA28" s="81"/>
      <c r="BB28" s="75"/>
      <c r="BC28" s="96"/>
      <c r="BD28" s="75"/>
      <c r="BE28" s="81"/>
      <c r="BF28" s="75"/>
      <c r="BG28" s="96"/>
      <c r="BH28" s="75"/>
      <c r="BI28" s="81"/>
      <c r="BJ28" s="75"/>
      <c r="BK28" s="81"/>
      <c r="BL28" s="75"/>
      <c r="BM28" s="81"/>
      <c r="BN28" s="75"/>
      <c r="BO28" s="81"/>
      <c r="BP28" s="75"/>
      <c r="BQ28" s="81"/>
      <c r="BR28" s="75"/>
      <c r="BS28" s="81"/>
      <c r="BT28" s="75"/>
      <c r="BU28" s="81"/>
      <c r="BV28" s="75"/>
      <c r="BW28" s="81"/>
      <c r="BX28" s="75"/>
      <c r="BY28" s="81"/>
      <c r="BZ28" s="75"/>
      <c r="CA28" s="81"/>
      <c r="CB28" s="75"/>
      <c r="CC28" s="81"/>
      <c r="CD28" s="75"/>
      <c r="CE28" s="81"/>
      <c r="CF28" s="75"/>
      <c r="CG28" s="81"/>
      <c r="CH28" s="75"/>
      <c r="CI28" s="81"/>
      <c r="CJ28" s="75"/>
      <c r="CK28" s="81"/>
      <c r="CL28" s="75"/>
      <c r="CM28" s="81"/>
      <c r="CN28" s="75"/>
      <c r="CO28" s="81"/>
      <c r="CP28" s="75"/>
      <c r="CQ28" s="81"/>
      <c r="CR28" s="75"/>
      <c r="CS28" s="81"/>
      <c r="CT28" s="75"/>
      <c r="CU28" s="81"/>
      <c r="CV28" s="75"/>
      <c r="CW28" s="81"/>
      <c r="CX28" s="75"/>
      <c r="CY28" s="82" t="n">
        <f aca="false">W28+Y28+AA28+AC28+AE28+AG28+AI28+AK28+AM28+AO28+AQ28+AS28+AU28+AW28+AY28+BA28+BC28+BE28+BG28+BI28+BK28+BM28+BO28+BQ28+BS28+BU28+BW28+BY28+CA28+CC28+CE28+CG28+CI28+CK28+CM28+CO28+CQ28+CS28+CU28+CW28</f>
        <v>0</v>
      </c>
      <c r="CZ28" s="83" t="n">
        <f aca="false">IF(AND(CY28=0,DC28=0),0,(DF28+DG28)/DC28)</f>
        <v>0</v>
      </c>
      <c r="DA28" s="84" t="n">
        <f aca="false">DC28*DD28</f>
        <v>0</v>
      </c>
      <c r="DB28" s="85" t="n">
        <f aca="false">V28</f>
        <v>37151</v>
      </c>
      <c r="DC28" s="84" t="n">
        <f aca="false">ABS(W28)+ABS(Y28)+ABS(AA28)+ABS(AC28)+ABS(AE28)+ABS(AG28)+ABS(AI28)+ABS(AK28)+ABS(AM28)+ABS(AO28)+ABS(AQ28)+ABS(AS28)+ABS(AU28)+ABS(AW28)+ABS(AY28)+ABS(BA28)+ABS(BC28)+ABS(BE28)+ABS(BG28)+ABS(BI28)+ABS(BK28)+ABS(BM28)+ABS(BO28)+ABS(BQ28)+ABS(BS28)+ABS(BU28)+ABS(BW28)+ABS(BY28)+ABS(CA28)+ABS(CC28)+ABS(CE28)+ABS(CG28)+ABS(CI28)+ABS(CK28)+ABS(CM28)+ABS(CO28)+ABS(CQ28)+ABS(CS28)+ABS(CU28)+ABS(CW28)</f>
        <v>0</v>
      </c>
      <c r="DD28" s="86" t="n">
        <v>16</v>
      </c>
      <c r="DE28" s="84" t="n">
        <v>1</v>
      </c>
      <c r="DF28" s="43" t="n">
        <f aca="false">(ABS(W28)*X28+ABS(Y28)*Z28+ABS(AA28)*AB28+ABS(AC28)*AD28+ABS(AE28)*AF28+ABS(AG28)*AH28+ABS(AI28)*AJ28+ABS(AK28)*AL28+ABS(AM28)*AN28+ABS(AO28)*AP28+ABS(AQ28)*AR28+ABS(AS28)*AT28+ABS(AU28)*AV28+ABS(AW28)*AX28+ABS(AY28)*AZ28+ABS(BA28)*BB28+ABS(BC28)*BD28+ABS(BE28)*BF28+ABS(BG28)*BH28+ABS(BI28)*BJ28)</f>
        <v>0</v>
      </c>
      <c r="DG28" s="43" t="n">
        <f aca="false">ABS(BK28)*BL28+ABS(BM28)*BN28+ABS(BO28)*BP28+ABS(BQ28)*BR28+ABS(BS28)*BT28+ABS(BU28)*BV28+ABS(BW28)*BX28+ABS(BY28)*BZ28+ABS(CA28)*CB28+ABS(CC28)*CD28+ABS(CE28)*CF28+ABS(CG28)*CH28+ABS(CI28)*CJ28+ABS(CK28)*CL28+ABS(CM28)*CN28+ABS(CO28)*CP28+ABS(CQ28)*CR28+ABS(CS28)*CT28+ABS(CU28)*CV28+ABS(CW28)*CX28</f>
        <v>0</v>
      </c>
      <c r="DH28" s="43" t="n">
        <f aca="false">((H28-X28)*W28+(H28-Z28)*Y28+(H28-AB28)*AA28+(H28-AD28)*AC28+(H28-AF28)*AE28+(H28-AH28)*AG28+(H28-AJ28)*AI28+(H28-AL28)*AK28+(H28-AN28)*AM28+(H28-AP28)*AO28+(H28-AR28)*AQ28+(H28-AT28)*AS28+(H28-AV28)*AU28+(H28-AX28)*AW28+(H28-AZ28)*AY28+(H28-BB28)*BA28+(H28-BD28)*BC28+(H28-BF28)*BE28+(H28-BH28)*BG28+(H28-BJ28)*BI28)*DD28*DE28</f>
        <v>0</v>
      </c>
      <c r="DI28" s="43" t="n">
        <f aca="false">(((H28-BL28)*BK28+(H28-BN28)*BM28+(H28-BP28)*BO28+(H28-BR28)*BQ28+(H28-BT28)*BS28+(H28-BV28)*BU28+(H28-BX28)*BW28+(H28-BZ28)*BY28+(H28-CB28)*CA28+(H28-CD28)*CC28+(H28-CF28)*CE28+(H28-CH28)*CG28+(H28-CJ28)*CH28+(H28-CL28)*CK28+(H28-CN28)*CM28+(H28-CP28)*CO28+(H28-CR28)*CQ28+(H28-CT28)*CS28+(H28-CV28)*CU28+(H28-CX28)*CW28)*DD28*DE28)</f>
        <v>0</v>
      </c>
      <c r="DJ28" s="21" t="n">
        <v>0</v>
      </c>
      <c r="DK28" s="85" t="n">
        <v>37151</v>
      </c>
      <c r="DL28" s="21" t="n">
        <v>-249.10986328125</v>
      </c>
      <c r="DM28" s="21" t="n">
        <f aca="false">[3]NYZoneA!$L19</f>
        <v>-3985.7578125</v>
      </c>
      <c r="DN28" s="21" t="n">
        <f aca="false">IF(AND(WEEKDAY(DK28)&gt;1,WEEKDAY(DK28)&lt;7),1,0)</f>
        <v>1</v>
      </c>
    </row>
    <row r="29" customFormat="false" ht="18.75" hidden="false" customHeight="false" outlineLevel="0" collapsed="false">
      <c r="A29" s="58" t="n">
        <f aca="false">[4]NYZoneA!$D20</f>
        <v>37152</v>
      </c>
      <c r="B29" s="59" t="n">
        <f aca="false">+([3]NYZoneA!$L20+[3]NYZoneD!$L20)/16</f>
        <v>-249.10986328125</v>
      </c>
      <c r="C29" s="87" t="n">
        <f aca="false">CY29</f>
        <v>0</v>
      </c>
      <c r="D29" s="87" t="n">
        <f aca="false">(IF(MONTH(A29)=MONTH(EOMONTH(TradeDate,1)),$AN$70,0)*VLOOKUP(A29,$DK$12:$DN$43,4))</f>
        <v>0</v>
      </c>
      <c r="E29" s="62" t="n">
        <f aca="false">SUM(B29:D29)</f>
        <v>-249.10986328125</v>
      </c>
      <c r="F29" s="63" t="n">
        <f aca="false">+[3]NYZoneA!$C20</f>
        <v>34</v>
      </c>
      <c r="G29" s="88" t="n">
        <f aca="false">IF($Q$9,Q29,P29)</f>
        <v>0.5</v>
      </c>
      <c r="H29" s="89" t="n">
        <f aca="false">F29+G29</f>
        <v>34.5</v>
      </c>
      <c r="I29" s="87" t="n">
        <f aca="false">B29*G29*DD29</f>
        <v>-1992.87890625</v>
      </c>
      <c r="J29" s="66" t="n">
        <f aca="false">DH29+DI29</f>
        <v>0</v>
      </c>
      <c r="K29" s="90" t="n">
        <f aca="false">I29+J29</f>
        <v>-1992.87890625</v>
      </c>
      <c r="L29" s="24"/>
      <c r="M29" s="67" t="n">
        <f aca="false">A29</f>
        <v>37152</v>
      </c>
      <c r="N29" s="68" t="n">
        <v>34.5</v>
      </c>
      <c r="O29" s="68" t="n">
        <v>34.5</v>
      </c>
      <c r="P29" s="69" t="n">
        <f aca="false">AVERAGE(N29:O29)-F29</f>
        <v>0.5</v>
      </c>
      <c r="Q29" s="70"/>
      <c r="R29" s="91" t="n">
        <f aca="false">H29</f>
        <v>34.5</v>
      </c>
      <c r="S29" s="24"/>
      <c r="T29" s="24"/>
      <c r="U29" s="72"/>
      <c r="V29" s="73" t="n">
        <f aca="false">A29</f>
        <v>37152</v>
      </c>
      <c r="W29" s="77"/>
      <c r="X29" s="76"/>
      <c r="Y29" s="77"/>
      <c r="Z29" s="76"/>
      <c r="AA29" s="77"/>
      <c r="AB29" s="78"/>
      <c r="AC29" s="77"/>
      <c r="AD29" s="78"/>
      <c r="AE29" s="77"/>
      <c r="AF29" s="78"/>
      <c r="AG29" s="77"/>
      <c r="AH29" s="78"/>
      <c r="AI29" s="77"/>
      <c r="AJ29" s="78"/>
      <c r="AK29" s="77"/>
      <c r="AL29" s="78"/>
      <c r="AM29" s="77"/>
      <c r="AN29" s="78"/>
      <c r="AO29" s="77"/>
      <c r="AP29" s="78"/>
      <c r="AQ29" s="77"/>
      <c r="AR29" s="78"/>
      <c r="AS29" s="77"/>
      <c r="AT29" s="78"/>
      <c r="AU29" s="94"/>
      <c r="AV29" s="95"/>
      <c r="AW29" s="96"/>
      <c r="AX29" s="75"/>
      <c r="AY29" s="81"/>
      <c r="AZ29" s="75"/>
      <c r="BA29" s="81"/>
      <c r="BB29" s="75"/>
      <c r="BC29" s="96"/>
      <c r="BD29" s="75"/>
      <c r="BE29" s="81"/>
      <c r="BF29" s="75"/>
      <c r="BG29" s="96"/>
      <c r="BH29" s="75"/>
      <c r="BI29" s="81"/>
      <c r="BJ29" s="75"/>
      <c r="BK29" s="81"/>
      <c r="BL29" s="75"/>
      <c r="BM29" s="81"/>
      <c r="BN29" s="75"/>
      <c r="BO29" s="81"/>
      <c r="BP29" s="75"/>
      <c r="BQ29" s="81"/>
      <c r="BR29" s="75"/>
      <c r="BS29" s="81"/>
      <c r="BT29" s="75"/>
      <c r="BU29" s="81"/>
      <c r="BV29" s="75"/>
      <c r="BW29" s="81"/>
      <c r="BX29" s="75"/>
      <c r="BY29" s="81"/>
      <c r="BZ29" s="75"/>
      <c r="CA29" s="81"/>
      <c r="CB29" s="75"/>
      <c r="CC29" s="81"/>
      <c r="CD29" s="75"/>
      <c r="CE29" s="81"/>
      <c r="CF29" s="75"/>
      <c r="CG29" s="81"/>
      <c r="CH29" s="75"/>
      <c r="CI29" s="81"/>
      <c r="CJ29" s="75"/>
      <c r="CK29" s="81"/>
      <c r="CL29" s="75"/>
      <c r="CM29" s="81"/>
      <c r="CN29" s="75"/>
      <c r="CO29" s="81"/>
      <c r="CP29" s="75"/>
      <c r="CQ29" s="81"/>
      <c r="CR29" s="75"/>
      <c r="CS29" s="81"/>
      <c r="CT29" s="75"/>
      <c r="CU29" s="81"/>
      <c r="CV29" s="75"/>
      <c r="CW29" s="81"/>
      <c r="CX29" s="75"/>
      <c r="CY29" s="82" t="n">
        <f aca="false">W29+Y29+AA29+AC29+AE29+AG29+AI29+AK29+AM29+AO29+AQ29+AS29+AU29+AW29+AY29+BA29+BC29+BE29+BG29+BI29+BK29+BM29+BO29+BQ29+BS29+BU29+BW29+BY29+CA29+CC29+CE29+CG29+CI29+CK29+CM29+CO29+CQ29+CS29+CU29+CW29</f>
        <v>0</v>
      </c>
      <c r="CZ29" s="83" t="n">
        <f aca="false">IF(AND(CY29=0,DC29=0),0,(DF29+DG29)/DC29)</f>
        <v>0</v>
      </c>
      <c r="DA29" s="84" t="n">
        <f aca="false">DC29*DD29</f>
        <v>0</v>
      </c>
      <c r="DB29" s="85" t="n">
        <f aca="false">V29</f>
        <v>37152</v>
      </c>
      <c r="DC29" s="84" t="n">
        <f aca="false">ABS(W29)+ABS(Y29)+ABS(AA29)+ABS(AC29)+ABS(AE29)+ABS(AG29)+ABS(AI29)+ABS(AK29)+ABS(AM29)+ABS(AO29)+ABS(AQ29)+ABS(AS29)+ABS(AU29)+ABS(AW29)+ABS(AY29)+ABS(BA29)+ABS(BC29)+ABS(BE29)+ABS(BG29)+ABS(BI29)+ABS(BK29)+ABS(BM29)+ABS(BO29)+ABS(BQ29)+ABS(BS29)+ABS(BU29)+ABS(BW29)+ABS(BY29)+ABS(CA29)+ABS(CC29)+ABS(CE29)+ABS(CG29)+ABS(CI29)+ABS(CK29)+ABS(CM29)+ABS(CO29)+ABS(CQ29)+ABS(CS29)+ABS(CU29)+ABS(CW29)</f>
        <v>0</v>
      </c>
      <c r="DD29" s="86" t="n">
        <v>16</v>
      </c>
      <c r="DE29" s="84" t="n">
        <v>1</v>
      </c>
      <c r="DF29" s="43" t="n">
        <f aca="false">(ABS(W29)*X29+ABS(Y29)*Z29+ABS(AA29)*AB29+ABS(AC29)*AD29+ABS(AE29)*AF29+ABS(AG29)*AH29+ABS(AI29)*AJ29+ABS(AK29)*AL29+ABS(AM29)*AN29+ABS(AO29)*AP29+ABS(AQ29)*AR29+ABS(AS29)*AT29+ABS(AU29)*AV29+ABS(AW29)*AX29+ABS(AY29)*AZ29+ABS(BA29)*BB29+ABS(BC29)*BD29+ABS(BE29)*BF29+ABS(BG29)*BH29+ABS(BI29)*BJ29)</f>
        <v>0</v>
      </c>
      <c r="DG29" s="43" t="n">
        <f aca="false">ABS(BK29)*BL29+ABS(BM29)*BN29+ABS(BO29)*BP29+ABS(BQ29)*BR29+ABS(BS29)*BT29+ABS(BU29)*BV29+ABS(BW29)*BX29+ABS(BY29)*BZ29+ABS(CA29)*CB29+ABS(CC29)*CD29+ABS(CE29)*CF29+ABS(CG29)*CH29+ABS(CI29)*CJ29+ABS(CK29)*CL29+ABS(CM29)*CN29+ABS(CO29)*CP29+ABS(CQ29)*CR29+ABS(CS29)*CT29+ABS(CU29)*CV29+ABS(CW29)*CX29</f>
        <v>0</v>
      </c>
      <c r="DH29" s="43" t="n">
        <f aca="false">((H29-X29)*W29+(H29-Z29)*Y29+(H29-AB29)*AA29+(H29-AD29)*AC29+(H29-AF29)*AE29+(H29-AH29)*AG29+(H29-AJ29)*AI29+(H29-AL29)*AK29+(H29-AN29)*AM29+(H29-AP29)*AO29+(H29-AR29)*AQ29+(H29-AT29)*AS29+(H29-AV29)*AU29+(H29-AX29)*AW29+(H29-AZ29)*AY29+(H29-BB29)*BA29+(H29-BD29)*BC29+(H29-BF29)*BE29+(H29-BH29)*BG29+(H29-BJ29)*BI29)*DD29*DE29</f>
        <v>0</v>
      </c>
      <c r="DI29" s="43" t="n">
        <f aca="false">(((H29-BL29)*BK29+(H29-BN29)*BM29+(H29-BP29)*BO29+(H29-BR29)*BQ29+(H29-BT29)*BS29+(H29-BV29)*BU29+(H29-BX29)*BW29+(H29-BZ29)*BY29+(H29-CB29)*CA29+(H29-CD29)*CC29+(H29-CF29)*CE29+(H29-CH29)*CG29+(H29-CJ29)*CH29+(H29-CL29)*CK29+(H29-CN29)*CM29+(H29-CP29)*CO29+(H29-CR29)*CQ29+(H29-CT29)*CS29+(H29-CV29)*CU29+(H29-CX29)*CW29)*DD29*DE29)</f>
        <v>0</v>
      </c>
      <c r="DJ29" s="21" t="n">
        <v>0</v>
      </c>
      <c r="DK29" s="85" t="n">
        <v>37152</v>
      </c>
      <c r="DL29" s="21" t="n">
        <v>-249.10986328125</v>
      </c>
      <c r="DM29" s="21" t="n">
        <f aca="false">[3]NYZoneA!$L20</f>
        <v>-3985.7578125</v>
      </c>
      <c r="DN29" s="21" t="n">
        <f aca="false">IF(AND(WEEKDAY(DK29)&gt;1,WEEKDAY(DK29)&lt;7),1,0)</f>
        <v>1</v>
      </c>
    </row>
    <row r="30" customFormat="false" ht="18.75" hidden="false" customHeight="false" outlineLevel="0" collapsed="false">
      <c r="A30" s="58" t="n">
        <f aca="false">[4]NYZoneA!$D21</f>
        <v>37153</v>
      </c>
      <c r="B30" s="59" t="n">
        <f aca="false">+([3]NYZoneA!$L21+[3]NYZoneD!$L21)/16</f>
        <v>-249.10986328125</v>
      </c>
      <c r="C30" s="87" t="n">
        <f aca="false">CY30</f>
        <v>0</v>
      </c>
      <c r="D30" s="61" t="n">
        <f aca="false">(IF(MONTH(A30)=MONTH(EOMONTH(TradeDate,1)),$AN$70,0)*VLOOKUP(A30,$DK$12:$DN$43,4))</f>
        <v>0</v>
      </c>
      <c r="E30" s="62" t="n">
        <f aca="false">SUM(B30:D30)</f>
        <v>-249.10986328125</v>
      </c>
      <c r="F30" s="63" t="n">
        <f aca="false">+[3]NYZoneA!$C21</f>
        <v>34</v>
      </c>
      <c r="G30" s="63" t="n">
        <f aca="false">IF($Q$9,Q30,P30)</f>
        <v>0.5</v>
      </c>
      <c r="H30" s="64" t="n">
        <f aca="false">F30+G30</f>
        <v>34.5</v>
      </c>
      <c r="I30" s="65" t="n">
        <f aca="false">B30*G30*DD30</f>
        <v>-1992.87890625</v>
      </c>
      <c r="J30" s="66" t="n">
        <f aca="false">DH30+DI30</f>
        <v>0</v>
      </c>
      <c r="K30" s="66" t="n">
        <f aca="false">I30+J30</f>
        <v>-1992.87890625</v>
      </c>
      <c r="L30" s="100"/>
      <c r="M30" s="67" t="n">
        <f aca="false">A30</f>
        <v>37153</v>
      </c>
      <c r="N30" s="68" t="n">
        <v>34.5</v>
      </c>
      <c r="O30" s="68" t="n">
        <v>34.5</v>
      </c>
      <c r="P30" s="69" t="n">
        <f aca="false">AVERAGE(N30:O30)-F30</f>
        <v>0.5</v>
      </c>
      <c r="Q30" s="70"/>
      <c r="R30" s="91" t="n">
        <f aca="false">H30</f>
        <v>34.5</v>
      </c>
      <c r="S30" s="24"/>
      <c r="T30" s="24"/>
      <c r="U30" s="72"/>
      <c r="V30" s="73" t="n">
        <f aca="false">A30</f>
        <v>37153</v>
      </c>
      <c r="W30" s="77"/>
      <c r="X30" s="76"/>
      <c r="Y30" s="74"/>
      <c r="Z30" s="75"/>
      <c r="AA30" s="77"/>
      <c r="AB30" s="78"/>
      <c r="AC30" s="77"/>
      <c r="AD30" s="76"/>
      <c r="AE30" s="77"/>
      <c r="AF30" s="78"/>
      <c r="AG30" s="77"/>
      <c r="AH30" s="78"/>
      <c r="AI30" s="77"/>
      <c r="AJ30" s="78"/>
      <c r="AK30" s="77"/>
      <c r="AL30" s="78"/>
      <c r="AM30" s="77"/>
      <c r="AN30" s="78"/>
      <c r="AO30" s="77"/>
      <c r="AP30" s="78"/>
      <c r="AQ30" s="77"/>
      <c r="AR30" s="78"/>
      <c r="AS30" s="77"/>
      <c r="AT30" s="78"/>
      <c r="AU30" s="94"/>
      <c r="AV30" s="95"/>
      <c r="AW30" s="94"/>
      <c r="AX30" s="95"/>
      <c r="AY30" s="81"/>
      <c r="AZ30" s="75"/>
      <c r="BA30" s="81"/>
      <c r="BB30" s="75"/>
      <c r="BC30" s="96"/>
      <c r="BD30" s="75"/>
      <c r="BE30" s="81"/>
      <c r="BF30" s="75"/>
      <c r="BG30" s="96"/>
      <c r="BH30" s="75"/>
      <c r="BI30" s="81"/>
      <c r="BJ30" s="75"/>
      <c r="BK30" s="81"/>
      <c r="BL30" s="75"/>
      <c r="BM30" s="81"/>
      <c r="BN30" s="75"/>
      <c r="BO30" s="81"/>
      <c r="BP30" s="75"/>
      <c r="BQ30" s="81"/>
      <c r="BR30" s="75"/>
      <c r="BS30" s="81"/>
      <c r="BT30" s="75"/>
      <c r="BU30" s="81"/>
      <c r="BV30" s="75"/>
      <c r="BW30" s="81"/>
      <c r="BX30" s="75"/>
      <c r="BY30" s="81"/>
      <c r="BZ30" s="75"/>
      <c r="CA30" s="81"/>
      <c r="CB30" s="75"/>
      <c r="CC30" s="81"/>
      <c r="CD30" s="75"/>
      <c r="CE30" s="81"/>
      <c r="CF30" s="75"/>
      <c r="CG30" s="81"/>
      <c r="CH30" s="75"/>
      <c r="CI30" s="81"/>
      <c r="CJ30" s="75"/>
      <c r="CK30" s="81"/>
      <c r="CL30" s="75"/>
      <c r="CM30" s="81"/>
      <c r="CN30" s="75"/>
      <c r="CO30" s="81"/>
      <c r="CP30" s="75"/>
      <c r="CQ30" s="81"/>
      <c r="CR30" s="75"/>
      <c r="CS30" s="81"/>
      <c r="CT30" s="75"/>
      <c r="CU30" s="81"/>
      <c r="CV30" s="75"/>
      <c r="CW30" s="81"/>
      <c r="CX30" s="75"/>
      <c r="CY30" s="82" t="n">
        <f aca="false">W30+Y30+AA30+AC30+AE30+AG30+AI30+AK30+AM30+AO30+AQ30+AS30+AU30+AW30+AY30+BA30+BC30+BE30+BG30+BI30+BK30+BM30+BO30+BQ30+BS30+BU30+BW30+BY30+CA30+CC30+CE30+CG30+CI30+CK30+CM30+CO30+CQ30+CS30+CU30+CW30</f>
        <v>0</v>
      </c>
      <c r="CZ30" s="83" t="n">
        <f aca="false">IF(AND(CY30=0,DC30=0),0,(DF30+DG30)/DC30)</f>
        <v>0</v>
      </c>
      <c r="DA30" s="84" t="n">
        <f aca="false">DC30*DD30</f>
        <v>0</v>
      </c>
      <c r="DB30" s="85" t="n">
        <f aca="false">V30</f>
        <v>37153</v>
      </c>
      <c r="DC30" s="84" t="n">
        <f aca="false">ABS(W30)+ABS(Y30)+ABS(AA30)+ABS(AC30)+ABS(AE30)+ABS(AG30)+ABS(AI30)+ABS(AK30)+ABS(AM30)+ABS(AO30)+ABS(AQ30)+ABS(AS30)+ABS(AU30)+ABS(AW30)+ABS(AY30)+ABS(BA30)+ABS(BC30)+ABS(BE30)+ABS(BG30)+ABS(BI30)+ABS(BK30)+ABS(BM30)+ABS(BO30)+ABS(BQ30)+ABS(BS30)+ABS(BU30)+ABS(BW30)+ABS(BY30)+ABS(CA30)+ABS(CC30)+ABS(CE30)+ABS(CG30)+ABS(CI30)+ABS(CK30)+ABS(CM30)+ABS(CO30)+ABS(CQ30)+ABS(CS30)+ABS(CU30)+ABS(CW30)</f>
        <v>0</v>
      </c>
      <c r="DD30" s="86" t="n">
        <v>16</v>
      </c>
      <c r="DE30" s="84" t="n">
        <v>1</v>
      </c>
      <c r="DF30" s="43" t="n">
        <f aca="false">(ABS(W30)*X30+ABS(Y30)*Z30+ABS(AA30)*AB30+ABS(AC30)*AD30+ABS(AE30)*AF30+ABS(AG30)*AH30+ABS(AI30)*AJ30+ABS(AK30)*AL30+ABS(AM30)*AN30+ABS(AO30)*AP30+ABS(AQ30)*AR30+ABS(AS30)*AT30+ABS(AU30)*AV30+ABS(AW30)*AX30+ABS(AY30)*AZ30+ABS(BA30)*BB30+ABS(BC30)*BD30+ABS(BE30)*BF30+ABS(BG30)*BH30+ABS(BI30)*BJ30)</f>
        <v>0</v>
      </c>
      <c r="DG30" s="43" t="n">
        <f aca="false">ABS(BK30)*BL30+ABS(BM30)*BN30+ABS(BO30)*BP30+ABS(BQ30)*BR30+ABS(BS30)*BT30+ABS(BU30)*BV30+ABS(BW30)*BX30+ABS(BY30)*BZ30+ABS(CA30)*CB30+ABS(CC30)*CD30+ABS(CE30)*CF30+ABS(CG30)*CH30+ABS(CI30)*CJ30+ABS(CK30)*CL30+ABS(CM30)*CN30+ABS(CO30)*CP30+ABS(CQ30)*CR30+ABS(CS30)*CT30+ABS(CU30)*CV30+ABS(CW30)*CX30</f>
        <v>0</v>
      </c>
      <c r="DH30" s="43" t="n">
        <f aca="false">((H30-X30)*W30+(H30-Z30)*Y30+(H30-AB30)*AA30+(H30-AD30)*AC30+(H30-AF30)*AE30+(H30-AH30)*AG30+(H30-AJ30)*AI30+(H30-AL30)*AK30+(H30-AN30)*AM30+(H30-AP30)*AO30+(H30-AR30)*AQ30+(H30-AT30)*AS30+(H30-AV30)*AU30+(H30-AX30)*AW30+(H30-AZ30)*AY30+(H30-BB30)*BA30+(H30-BD30)*BC30+(H30-BF30)*BE30+(H30-BH30)*BG30+(H30-BJ30)*BI30)*DD30*DE30</f>
        <v>0</v>
      </c>
      <c r="DI30" s="43" t="n">
        <f aca="false">(((H30-BL30)*BK30+(H30-BN30)*BM30+(H30-BP30)*BO30+(H30-BR30)*BQ30+(H30-BT30)*BS30+(H30-BV30)*BU30+(H30-BX30)*BW30+(H30-BZ30)*BY30+(H30-CB30)*CA30+(H30-CD30)*CC30+(H30-CF30)*CE30+(H30-CH30)*CG30+(H30-CJ30)*CH30+(H30-CL30)*CK30+(H30-CN30)*CM30+(H30-CP30)*CO30+(H30-CR30)*CQ30+(H30-CT30)*CS30+(H30-CV30)*CU30+(H30-CX30)*CW30)*DD30*DE30)</f>
        <v>0</v>
      </c>
      <c r="DJ30" s="21" t="n">
        <v>0</v>
      </c>
      <c r="DK30" s="85" t="n">
        <v>37153</v>
      </c>
      <c r="DL30" s="21" t="n">
        <v>-249.10986328125</v>
      </c>
      <c r="DM30" s="21" t="n">
        <f aca="false">[3]NYZoneA!$L21</f>
        <v>-3985.7578125</v>
      </c>
      <c r="DN30" s="21" t="n">
        <f aca="false">IF(AND(WEEKDAY(DK30)&gt;1,WEEKDAY(DK30)&lt;7),1,0)</f>
        <v>1</v>
      </c>
    </row>
    <row r="31" customFormat="false" ht="18.75" hidden="false" customHeight="false" outlineLevel="0" collapsed="false">
      <c r="A31" s="58" t="n">
        <f aca="false">[4]NYZoneA!$D22</f>
        <v>37154</v>
      </c>
      <c r="B31" s="59" t="n">
        <f aca="false">+([3]NYZoneA!$L22+[3]NYZoneD!$L22)/16</f>
        <v>-249.10986328125</v>
      </c>
      <c r="C31" s="87" t="n">
        <f aca="false">CY31</f>
        <v>0</v>
      </c>
      <c r="D31" s="87" t="n">
        <f aca="false">(IF(MONTH(A31)=MONTH(EOMONTH(TradeDate,1)),$AN$70,0)*VLOOKUP(A31,$DK$12:$DN$43,4))</f>
        <v>0</v>
      </c>
      <c r="E31" s="62" t="n">
        <f aca="false">SUM(B31:D31)</f>
        <v>-249.10986328125</v>
      </c>
      <c r="F31" s="63" t="n">
        <f aca="false">+[3]NYZoneA!$C22</f>
        <v>34</v>
      </c>
      <c r="G31" s="88" t="n">
        <f aca="false">IF($Q$9,Q31,P31)</f>
        <v>0.5</v>
      </c>
      <c r="H31" s="89" t="n">
        <f aca="false">F31+G31</f>
        <v>34.5</v>
      </c>
      <c r="I31" s="87" t="n">
        <f aca="false">B31*G31*DD31</f>
        <v>-1992.87890625</v>
      </c>
      <c r="J31" s="66" t="n">
        <f aca="false">DH31+DI31</f>
        <v>0</v>
      </c>
      <c r="K31" s="90" t="n">
        <f aca="false">I31+J31</f>
        <v>-1992.87890625</v>
      </c>
      <c r="L31" s="100"/>
      <c r="M31" s="67" t="n">
        <f aca="false">A31</f>
        <v>37154</v>
      </c>
      <c r="N31" s="68" t="n">
        <v>34.5</v>
      </c>
      <c r="O31" s="68" t="n">
        <v>34.5</v>
      </c>
      <c r="P31" s="69" t="n">
        <f aca="false">AVERAGE(N31:O31)-F31</f>
        <v>0.5</v>
      </c>
      <c r="Q31" s="70"/>
      <c r="R31" s="91" t="n">
        <f aca="false">H31</f>
        <v>34.5</v>
      </c>
      <c r="S31" s="24"/>
      <c r="T31" s="24"/>
      <c r="U31" s="72"/>
      <c r="V31" s="73" t="n">
        <f aca="false">A31</f>
        <v>37154</v>
      </c>
      <c r="W31" s="77"/>
      <c r="X31" s="76"/>
      <c r="Y31" s="74"/>
      <c r="Z31" s="75"/>
      <c r="AA31" s="77"/>
      <c r="AB31" s="78"/>
      <c r="AC31" s="77"/>
      <c r="AD31" s="76"/>
      <c r="AE31" s="77"/>
      <c r="AF31" s="78"/>
      <c r="AG31" s="77"/>
      <c r="AH31" s="78"/>
      <c r="AI31" s="77"/>
      <c r="AJ31" s="78"/>
      <c r="AK31" s="77"/>
      <c r="AL31" s="78"/>
      <c r="AM31" s="77"/>
      <c r="AN31" s="78"/>
      <c r="AO31" s="77"/>
      <c r="AP31" s="78"/>
      <c r="AQ31" s="77"/>
      <c r="AR31" s="78"/>
      <c r="AS31" s="77"/>
      <c r="AT31" s="78"/>
      <c r="AU31" s="94"/>
      <c r="AV31" s="95"/>
      <c r="AW31" s="94"/>
      <c r="AX31" s="95"/>
      <c r="AY31" s="81"/>
      <c r="AZ31" s="75"/>
      <c r="BA31" s="81"/>
      <c r="BB31" s="75"/>
      <c r="BC31" s="96"/>
      <c r="BD31" s="75"/>
      <c r="BE31" s="81"/>
      <c r="BF31" s="75"/>
      <c r="BG31" s="96"/>
      <c r="BH31" s="75"/>
      <c r="BI31" s="81"/>
      <c r="BJ31" s="75"/>
      <c r="BK31" s="81"/>
      <c r="BL31" s="75"/>
      <c r="BM31" s="81"/>
      <c r="BN31" s="75"/>
      <c r="BO31" s="81"/>
      <c r="BP31" s="75"/>
      <c r="BQ31" s="81"/>
      <c r="BR31" s="75"/>
      <c r="BS31" s="81"/>
      <c r="BT31" s="75"/>
      <c r="BU31" s="81"/>
      <c r="BV31" s="75"/>
      <c r="BW31" s="81"/>
      <c r="BX31" s="75"/>
      <c r="BY31" s="81"/>
      <c r="BZ31" s="75"/>
      <c r="CA31" s="81"/>
      <c r="CB31" s="75"/>
      <c r="CC31" s="81"/>
      <c r="CD31" s="75"/>
      <c r="CE31" s="81"/>
      <c r="CF31" s="75"/>
      <c r="CG31" s="81"/>
      <c r="CH31" s="75"/>
      <c r="CI31" s="81"/>
      <c r="CJ31" s="75"/>
      <c r="CK31" s="81"/>
      <c r="CL31" s="75"/>
      <c r="CM31" s="81"/>
      <c r="CN31" s="75"/>
      <c r="CO31" s="81"/>
      <c r="CP31" s="75"/>
      <c r="CQ31" s="81"/>
      <c r="CR31" s="75"/>
      <c r="CS31" s="81"/>
      <c r="CT31" s="75"/>
      <c r="CU31" s="81"/>
      <c r="CV31" s="75"/>
      <c r="CW31" s="81"/>
      <c r="CX31" s="75"/>
      <c r="CY31" s="82" t="n">
        <f aca="false">W31+Y31+AA31+AC31+AE31+AG31+AI31+AK31+AM31+AO31+AQ31+AS31+AU31+AW31+AY31+BA31+BC31+BE31+BG31+BI31+BK31+BM31+BO31+BQ31+BS31+BU31+BW31+BY31+CA31+CC31+CE31+CG31+CI31+CK31+CM31+CO31+CQ31+CS31+CU31+CW31</f>
        <v>0</v>
      </c>
      <c r="CZ31" s="83" t="n">
        <f aca="false">IF(AND(CY31=0,DC31=0),0,(DF31+DG31)/DC31)</f>
        <v>0</v>
      </c>
      <c r="DA31" s="84" t="n">
        <f aca="false">DC31*DD31</f>
        <v>0</v>
      </c>
      <c r="DB31" s="85" t="n">
        <f aca="false">V31</f>
        <v>37154</v>
      </c>
      <c r="DC31" s="84" t="n">
        <f aca="false">ABS(W31)+ABS(Y31)+ABS(AA31)+ABS(AC31)+ABS(AE31)+ABS(AG31)+ABS(AI31)+ABS(AK31)+ABS(AM31)+ABS(AO31)+ABS(AQ31)+ABS(AS31)+ABS(AU31)+ABS(AW31)+ABS(AY31)+ABS(BA31)+ABS(BC31)+ABS(BE31)+ABS(BG31)+ABS(BI31)+ABS(BK31)+ABS(BM31)+ABS(BO31)+ABS(BQ31)+ABS(BS31)+ABS(BU31)+ABS(BW31)+ABS(BY31)+ABS(CA31)+ABS(CC31)+ABS(CE31)+ABS(CG31)+ABS(CI31)+ABS(CK31)+ABS(CM31)+ABS(CO31)+ABS(CQ31)+ABS(CS31)+ABS(CU31)+ABS(CW31)</f>
        <v>0</v>
      </c>
      <c r="DD31" s="86" t="n">
        <v>16</v>
      </c>
      <c r="DE31" s="84" t="n">
        <v>1</v>
      </c>
      <c r="DF31" s="43" t="n">
        <f aca="false">(ABS(W31)*X31+ABS(Y31)*Z31+ABS(AA31)*AB31+ABS(AC31)*AD31+ABS(AE31)*AF31+ABS(AG31)*AH31+ABS(AI31)*AJ31+ABS(AK31)*AL31+ABS(AM31)*AN31+ABS(AO31)*AP31+ABS(AQ31)*AR31+ABS(AS31)*AT31+ABS(AU31)*AV31+ABS(AW31)*AX31+ABS(AY31)*AZ31+ABS(BA31)*BB31+ABS(BC31)*BD31+ABS(BE31)*BF31+ABS(BG31)*BH31+ABS(BI31)*BJ31)</f>
        <v>0</v>
      </c>
      <c r="DG31" s="43" t="n">
        <f aca="false">ABS(BK31)*BL31+ABS(BM31)*BN31+ABS(BO31)*BP31+ABS(BQ31)*BR31+ABS(BS31)*BT31+ABS(BU31)*BV31+ABS(BW31)*BX31+ABS(BY31)*BZ31+ABS(CA31)*CB31+ABS(CC31)*CD31+ABS(CE31)*CF31+ABS(CG31)*CH31+ABS(CI31)*CJ31+ABS(CK31)*CL31+ABS(CM31)*CN31+ABS(CO31)*CP31+ABS(CQ31)*CR31+ABS(CS31)*CT31+ABS(CU31)*CV31+ABS(CW31)*CX31</f>
        <v>0</v>
      </c>
      <c r="DH31" s="43" t="n">
        <f aca="false">((H31-X31)*W31+(H31-Z31)*Y31+(H31-AB31)*AA31+(H31-AD31)*AC31+(H31-AF31)*AE31+(H31-AH31)*AG31+(H31-AJ31)*AI31+(H31-AL31)*AK31+(H31-AN31)*AM31+(H31-AP31)*AO31+(H31-AR31)*AQ31+(H31-AT31)*AS31+(H31-AV31)*AU31+(H31-AX31)*AW31+(H31-AZ31)*AY31+(H31-BB31)*BA31+(H31-BD31)*BC31+(H31-BF31)*BE31+(H31-BH31)*BG31+(H31-BJ31)*BI31)*DD31*DE31</f>
        <v>0</v>
      </c>
      <c r="DI31" s="43" t="n">
        <f aca="false">(((H31-BL31)*BK31+(H31-BN31)*BM31+(H31-BP31)*BO31+(H31-BR31)*BQ31+(H31-BT31)*BS31+(H31-BV31)*BU31+(H31-BX31)*BW31+(H31-BZ31)*BY31+(H31-CB31)*CA31+(H31-CD31)*CC31+(H31-CF31)*CE31+(H31-CH31)*CG31+(H31-CJ31)*CH31+(H31-CL31)*CK31+(H31-CN31)*CM31+(H31-CP31)*CO31+(H31-CR31)*CQ31+(H31-CT31)*CS31+(H31-CV31)*CU31+(H31-CX31)*CW31)*DD31*DE31)</f>
        <v>0</v>
      </c>
      <c r="DJ31" s="21" t="n">
        <v>0</v>
      </c>
      <c r="DK31" s="85" t="n">
        <v>37154</v>
      </c>
      <c r="DL31" s="21" t="n">
        <v>-249.10986328125</v>
      </c>
      <c r="DM31" s="21" t="n">
        <f aca="false">[3]NYZoneA!$L22</f>
        <v>-3985.7578125</v>
      </c>
      <c r="DN31" s="21" t="n">
        <f aca="false">IF(AND(WEEKDAY(DK31)&gt;1,WEEKDAY(DK31)&lt;7),1,0)</f>
        <v>1</v>
      </c>
    </row>
    <row r="32" customFormat="false" ht="18.75" hidden="false" customHeight="false" outlineLevel="0" collapsed="false">
      <c r="A32" s="58" t="n">
        <f aca="false">[4]NYZoneA!$D23</f>
        <v>37155</v>
      </c>
      <c r="B32" s="59" t="n">
        <f aca="false">+([3]NYZoneA!$L23+[3]NYZoneD!$L23)/16</f>
        <v>-249.10986328125</v>
      </c>
      <c r="C32" s="60" t="n">
        <f aca="false">CY32</f>
        <v>0</v>
      </c>
      <c r="D32" s="61" t="n">
        <f aca="false">(IF(MONTH(A32)=MONTH(EOMONTH(TradeDate,1)),$AN$70,0)*VLOOKUP(A32,$DK$12:$DN$43,4))</f>
        <v>0</v>
      </c>
      <c r="E32" s="62" t="n">
        <f aca="false">SUM(B32:D32)</f>
        <v>-249.10986328125</v>
      </c>
      <c r="F32" s="63" t="n">
        <f aca="false">+[3]NYZoneA!$C23</f>
        <v>34</v>
      </c>
      <c r="G32" s="63" t="n">
        <f aca="false">IF($Q$9,Q32,P32)</f>
        <v>0.5</v>
      </c>
      <c r="H32" s="64" t="n">
        <f aca="false">F32+G32</f>
        <v>34.5</v>
      </c>
      <c r="I32" s="65" t="n">
        <f aca="false">B32*G32*DD32</f>
        <v>-1992.87890625</v>
      </c>
      <c r="J32" s="66" t="n">
        <f aca="false">DH32+DI32</f>
        <v>0</v>
      </c>
      <c r="K32" s="66" t="n">
        <f aca="false">I32+J32</f>
        <v>-1992.87890625</v>
      </c>
      <c r="L32" s="100"/>
      <c r="M32" s="67" t="n">
        <f aca="false">A32</f>
        <v>37155</v>
      </c>
      <c r="N32" s="68" t="n">
        <v>34.5</v>
      </c>
      <c r="O32" s="68" t="n">
        <v>34.5</v>
      </c>
      <c r="P32" s="69" t="n">
        <f aca="false">AVERAGE(N32:O32)-F32</f>
        <v>0.5</v>
      </c>
      <c r="Q32" s="70"/>
      <c r="R32" s="91" t="n">
        <f aca="false">H32</f>
        <v>34.5</v>
      </c>
      <c r="S32" s="24"/>
      <c r="T32" s="24"/>
      <c r="U32" s="72"/>
      <c r="V32" s="73" t="n">
        <f aca="false">A32</f>
        <v>37155</v>
      </c>
      <c r="W32" s="77"/>
      <c r="X32" s="76"/>
      <c r="Y32" s="74"/>
      <c r="Z32" s="75"/>
      <c r="AA32" s="77"/>
      <c r="AB32" s="78"/>
      <c r="AC32" s="77"/>
      <c r="AD32" s="78"/>
      <c r="AE32" s="77"/>
      <c r="AF32" s="78"/>
      <c r="AG32" s="77"/>
      <c r="AH32" s="78"/>
      <c r="AI32" s="77"/>
      <c r="AJ32" s="78"/>
      <c r="AK32" s="77"/>
      <c r="AL32" s="78"/>
      <c r="AM32" s="77"/>
      <c r="AN32" s="78"/>
      <c r="AO32" s="77"/>
      <c r="AP32" s="78"/>
      <c r="AQ32" s="77"/>
      <c r="AR32" s="78"/>
      <c r="AS32" s="77"/>
      <c r="AT32" s="78"/>
      <c r="AU32" s="94"/>
      <c r="AV32" s="95"/>
      <c r="AW32" s="94"/>
      <c r="AX32" s="95"/>
      <c r="AY32" s="81"/>
      <c r="AZ32" s="75"/>
      <c r="BA32" s="81"/>
      <c r="BB32" s="75"/>
      <c r="BC32" s="96"/>
      <c r="BD32" s="75"/>
      <c r="BE32" s="81"/>
      <c r="BF32" s="75"/>
      <c r="BG32" s="96"/>
      <c r="BH32" s="75"/>
      <c r="BI32" s="81"/>
      <c r="BJ32" s="75"/>
      <c r="BK32" s="81"/>
      <c r="BL32" s="75"/>
      <c r="BM32" s="81"/>
      <c r="BN32" s="75"/>
      <c r="BO32" s="81"/>
      <c r="BP32" s="75"/>
      <c r="BQ32" s="81"/>
      <c r="BR32" s="75"/>
      <c r="BS32" s="81"/>
      <c r="BT32" s="75"/>
      <c r="BU32" s="81"/>
      <c r="BV32" s="75"/>
      <c r="BW32" s="81"/>
      <c r="BX32" s="75"/>
      <c r="BY32" s="81"/>
      <c r="BZ32" s="75"/>
      <c r="CA32" s="81"/>
      <c r="CB32" s="75"/>
      <c r="CC32" s="81"/>
      <c r="CD32" s="75"/>
      <c r="CE32" s="81"/>
      <c r="CF32" s="75"/>
      <c r="CG32" s="81"/>
      <c r="CH32" s="75"/>
      <c r="CI32" s="81"/>
      <c r="CJ32" s="75"/>
      <c r="CK32" s="81"/>
      <c r="CL32" s="75"/>
      <c r="CM32" s="81"/>
      <c r="CN32" s="75"/>
      <c r="CO32" s="81"/>
      <c r="CP32" s="75"/>
      <c r="CQ32" s="81"/>
      <c r="CR32" s="75"/>
      <c r="CS32" s="81"/>
      <c r="CT32" s="75"/>
      <c r="CU32" s="81"/>
      <c r="CV32" s="75"/>
      <c r="CW32" s="81"/>
      <c r="CX32" s="75"/>
      <c r="CY32" s="82" t="n">
        <f aca="false">W32+Y32+AA32+AC32+AE32+AG32+AI32+AK32+AM32+AO32+AQ32+AS32+AU32+AW32+AY32+BA32+BC32+BE32+BG32+BI32+BK32+BM32+BO32+BQ32+BS32+BU32+BW32+BY32+CA32+CC32+CE32+CG32+CI32+CK32+CM32+CO32+CQ32+CS32+CU32+CW32</f>
        <v>0</v>
      </c>
      <c r="CZ32" s="83" t="n">
        <f aca="false">IF(AND(CY32=0,DC32=0),0,(DF32+DG32)/DC32)</f>
        <v>0</v>
      </c>
      <c r="DA32" s="84" t="n">
        <f aca="false">DC32*DD32</f>
        <v>0</v>
      </c>
      <c r="DB32" s="85" t="n">
        <f aca="false">V32</f>
        <v>37155</v>
      </c>
      <c r="DC32" s="84" t="n">
        <f aca="false">ABS(W32)+ABS(Y32)+ABS(AA32)+ABS(AC32)+ABS(AE32)+ABS(AG32)+ABS(AI32)+ABS(AK32)+ABS(AM32)+ABS(AO32)+ABS(AQ32)+ABS(AS32)+ABS(AU32)+ABS(AW32)+ABS(AY32)+ABS(BA32)+ABS(BC32)+ABS(BE32)+ABS(BG32)+ABS(BI32)+ABS(BK32)+ABS(BM32)+ABS(BO32)+ABS(BQ32)+ABS(BS32)+ABS(BU32)+ABS(BW32)+ABS(BY32)+ABS(CA32)+ABS(CC32)+ABS(CE32)+ABS(CG32)+ABS(CI32)+ABS(CK32)+ABS(CM32)+ABS(CO32)+ABS(CQ32)+ABS(CS32)+ABS(CU32)+ABS(CW32)</f>
        <v>0</v>
      </c>
      <c r="DD32" s="86" t="n">
        <v>16</v>
      </c>
      <c r="DE32" s="84" t="n">
        <v>1</v>
      </c>
      <c r="DF32" s="43" t="n">
        <f aca="false">(ABS(W32)*X32+ABS(Y32)*Z32+ABS(AA32)*AB32+ABS(AC32)*AD32+ABS(AE32)*AF32+ABS(AG32)*AH32+ABS(AI32)*AJ32+ABS(AK32)*AL32+ABS(AM32)*AN32+ABS(AO32)*AP32+ABS(AQ32)*AR32+ABS(AS32)*AT32+ABS(AU32)*AV32+ABS(AW32)*AX32+ABS(AY32)*AZ32+ABS(BA32)*BB32+ABS(BC32)*BD32+ABS(BE32)*BF32+ABS(BG32)*BH32+ABS(BI32)*BJ32)</f>
        <v>0</v>
      </c>
      <c r="DG32" s="43" t="n">
        <f aca="false">ABS(BK32)*BL32+ABS(BM32)*BN32+ABS(BO32)*BP32+ABS(BQ32)*BR32+ABS(BS32)*BT32+ABS(BU32)*BV32+ABS(BW32)*BX32+ABS(BY32)*BZ32+ABS(CA32)*CB32+ABS(CC32)*CD32+ABS(CE32)*CF32+ABS(CG32)*CH32+ABS(CI32)*CJ32+ABS(CK32)*CL32+ABS(CM32)*CN32+ABS(CO32)*CP32+ABS(CQ32)*CR32+ABS(CS32)*CT32+ABS(CU32)*CV32+ABS(CW32)*CX32</f>
        <v>0</v>
      </c>
      <c r="DH32" s="43" t="n">
        <f aca="false">((H32-X32)*W32+(H32-Z32)*Y32+(H32-AB32)*AA32+(H32-AD32)*AC32+(H32-AF32)*AE32+(H32-AH32)*AG32+(H32-AJ32)*AI32+(H32-AL32)*AK32+(H32-AN32)*AM32+(H32-AP32)*AO32+(H32-AR32)*AQ32+(H32-AT32)*AS32+(H32-AV32)*AU32+(H32-AX32)*AW32+(H32-AZ32)*AY32+(H32-BB32)*BA32+(H32-BD32)*BC32+(H32-BF32)*BE32+(H32-BH32)*BG32+(H32-BJ32)*BI32)*DD32*DE32</f>
        <v>0</v>
      </c>
      <c r="DI32" s="43" t="n">
        <f aca="false">(((H32-BL32)*BK32+(H32-BN32)*BM32+(H32-BP32)*BO32+(H32-BR32)*BQ32+(H32-BT32)*BS32+(H32-BV32)*BU32+(H32-BX32)*BW32+(H32-BZ32)*BY32+(H32-CB32)*CA32+(H32-CD32)*CC32+(H32-CF32)*CE32+(H32-CH32)*CG32+(H32-CJ32)*CH32+(H32-CL32)*CK32+(H32-CN32)*CM32+(H32-CP32)*CO32+(H32-CR32)*CQ32+(H32-CT32)*CS32+(H32-CV32)*CU32+(H32-CX32)*CW32)*DD32*DE32)</f>
        <v>0</v>
      </c>
      <c r="DJ32" s="21" t="n">
        <v>0</v>
      </c>
      <c r="DK32" s="85" t="n">
        <v>37155</v>
      </c>
      <c r="DL32" s="21" t="n">
        <v>-249.10986328125</v>
      </c>
      <c r="DM32" s="21" t="n">
        <f aca="false">[3]NYZoneA!$L23</f>
        <v>-3985.7578125</v>
      </c>
      <c r="DN32" s="21" t="n">
        <f aca="false">IF(AND(WEEKDAY(DK32)&gt;1,WEEKDAY(DK32)&lt;7),1,0)</f>
        <v>1</v>
      </c>
    </row>
    <row r="33" customFormat="false" ht="18.75" hidden="false" customHeight="false" outlineLevel="0" collapsed="false">
      <c r="A33" s="58" t="n">
        <f aca="false">[4]NYZoneA!$D24</f>
        <v>37156</v>
      </c>
      <c r="B33" s="59" t="n">
        <f aca="false">+([3]NYZoneA!$L24+[3]NYZoneD!$L24)/16</f>
        <v>0</v>
      </c>
      <c r="C33" s="101" t="n">
        <f aca="false">CY33</f>
        <v>0</v>
      </c>
      <c r="D33" s="87" t="n">
        <f aca="false">(IF(MONTH(A33)=MONTH(EOMONTH(TradeDate,1)),$AN$70,0)*VLOOKUP(A33,$DK$12:$DN$43,4))</f>
        <v>0</v>
      </c>
      <c r="E33" s="62" t="n">
        <f aca="false">SUM(B33:D33)</f>
        <v>0</v>
      </c>
      <c r="F33" s="63" t="n">
        <f aca="false">+[3]NYZoneA!$C24</f>
        <v>33</v>
      </c>
      <c r="G33" s="88" t="n">
        <f aca="false">IF($Q$9,Q33,P33)</f>
        <v>0</v>
      </c>
      <c r="H33" s="89" t="n">
        <f aca="false">F33+G33</f>
        <v>33</v>
      </c>
      <c r="I33" s="87" t="n">
        <f aca="false">B33*G33*DD33</f>
        <v>0</v>
      </c>
      <c r="J33" s="66" t="n">
        <f aca="false">DH33+DI33</f>
        <v>0</v>
      </c>
      <c r="K33" s="90" t="n">
        <f aca="false">I33+J33</f>
        <v>0</v>
      </c>
      <c r="L33" s="100"/>
      <c r="M33" s="67" t="n">
        <f aca="false">A33</f>
        <v>37156</v>
      </c>
      <c r="N33" s="68" t="n">
        <v>33</v>
      </c>
      <c r="O33" s="68" t="n">
        <v>33</v>
      </c>
      <c r="P33" s="69" t="n">
        <f aca="false">AVERAGE(N33:O33)-F33</f>
        <v>0</v>
      </c>
      <c r="Q33" s="70"/>
      <c r="R33" s="91" t="n">
        <f aca="false">H33</f>
        <v>33</v>
      </c>
      <c r="S33" s="24"/>
      <c r="T33" s="24"/>
      <c r="U33" s="72"/>
      <c r="V33" s="73" t="n">
        <f aca="false">A33</f>
        <v>37156</v>
      </c>
      <c r="W33" s="77"/>
      <c r="X33" s="76"/>
      <c r="Y33" s="74"/>
      <c r="Z33" s="75"/>
      <c r="AA33" s="77"/>
      <c r="AB33" s="78"/>
      <c r="AC33" s="77"/>
      <c r="AD33" s="78"/>
      <c r="AE33" s="77"/>
      <c r="AF33" s="78"/>
      <c r="AG33" s="77"/>
      <c r="AH33" s="78"/>
      <c r="AI33" s="77"/>
      <c r="AJ33" s="78"/>
      <c r="AK33" s="77"/>
      <c r="AL33" s="78"/>
      <c r="AM33" s="77"/>
      <c r="AN33" s="78"/>
      <c r="AO33" s="77"/>
      <c r="AP33" s="78"/>
      <c r="AQ33" s="77"/>
      <c r="AR33" s="78"/>
      <c r="AS33" s="74"/>
      <c r="AT33" s="75"/>
      <c r="AU33" s="94"/>
      <c r="AV33" s="95"/>
      <c r="AW33" s="94"/>
      <c r="AX33" s="95"/>
      <c r="AY33" s="81"/>
      <c r="AZ33" s="75"/>
      <c r="BA33" s="81"/>
      <c r="BB33" s="75"/>
      <c r="BC33" s="96"/>
      <c r="BD33" s="75"/>
      <c r="BE33" s="81"/>
      <c r="BF33" s="75"/>
      <c r="BG33" s="96"/>
      <c r="BH33" s="75"/>
      <c r="BI33" s="81"/>
      <c r="BJ33" s="75"/>
      <c r="BK33" s="81"/>
      <c r="BL33" s="75"/>
      <c r="BM33" s="81"/>
      <c r="BN33" s="75"/>
      <c r="BO33" s="81"/>
      <c r="BP33" s="75"/>
      <c r="BQ33" s="81"/>
      <c r="BR33" s="75"/>
      <c r="BS33" s="81"/>
      <c r="BT33" s="75"/>
      <c r="BU33" s="81"/>
      <c r="BV33" s="75"/>
      <c r="BW33" s="81"/>
      <c r="BX33" s="75"/>
      <c r="BY33" s="81"/>
      <c r="BZ33" s="75"/>
      <c r="CA33" s="81"/>
      <c r="CB33" s="75"/>
      <c r="CC33" s="81"/>
      <c r="CD33" s="75"/>
      <c r="CE33" s="81"/>
      <c r="CF33" s="75"/>
      <c r="CG33" s="81"/>
      <c r="CH33" s="75"/>
      <c r="CI33" s="81"/>
      <c r="CJ33" s="75"/>
      <c r="CK33" s="81"/>
      <c r="CL33" s="75"/>
      <c r="CM33" s="81"/>
      <c r="CN33" s="75"/>
      <c r="CO33" s="81"/>
      <c r="CP33" s="75"/>
      <c r="CQ33" s="81"/>
      <c r="CR33" s="75"/>
      <c r="CS33" s="81"/>
      <c r="CT33" s="75"/>
      <c r="CU33" s="81"/>
      <c r="CV33" s="75"/>
      <c r="CW33" s="81"/>
      <c r="CX33" s="75"/>
      <c r="CY33" s="82" t="n">
        <f aca="false">W33+Y33+AA33+AC33+AE33+AG33+AI33+AK33+AM33+AO33+AQ33+AS33+AU33+AW33+AY33+BA33+BC33+BE33+BG33+BI33+BK33+BM33+BO33+BQ33+BS33+BU33+BW33+BY33+CA33+CC33+CE33+CG33+CI33+CK33+CM33+CO33+CQ33+CS33+CU33+CW33</f>
        <v>0</v>
      </c>
      <c r="CZ33" s="83" t="n">
        <f aca="false">IF(AND(CY33=0,DC33=0),0,(DF33+DG33)/DC33)</f>
        <v>0</v>
      </c>
      <c r="DA33" s="84" t="n">
        <f aca="false">DC33*DD33</f>
        <v>0</v>
      </c>
      <c r="DB33" s="85" t="n">
        <f aca="false">V33</f>
        <v>37156</v>
      </c>
      <c r="DC33" s="84" t="n">
        <f aca="false">ABS(W33)+ABS(Y33)+ABS(AA33)+ABS(AC33)+ABS(AE33)+ABS(AG33)+ABS(AI33)+ABS(AK33)+ABS(AM33)+ABS(AO33)+ABS(AQ33)+ABS(AS33)+ABS(AU33)+ABS(AW33)+ABS(AY33)+ABS(BA33)+ABS(BC33)+ABS(BE33)+ABS(BG33)+ABS(BI33)+ABS(BK33)+ABS(BM33)+ABS(BO33)+ABS(BQ33)+ABS(BS33)+ABS(BU33)+ABS(BW33)+ABS(BY33)+ABS(CA33)+ABS(CC33)+ABS(CE33)+ABS(CG33)+ABS(CI33)+ABS(CK33)+ABS(CM33)+ABS(CO33)+ABS(CQ33)+ABS(CS33)+ABS(CU33)+ABS(CW33)</f>
        <v>0</v>
      </c>
      <c r="DD33" s="86" t="n">
        <v>16</v>
      </c>
      <c r="DE33" s="84" t="n">
        <v>1</v>
      </c>
      <c r="DF33" s="43" t="n">
        <f aca="false">(ABS(W33)*X33+ABS(Y33)*Z33+ABS(AA33)*AB33+ABS(AC33)*AD33+ABS(AE33)*AF33+ABS(AG33)*AH33+ABS(AI33)*AJ33+ABS(AK33)*AL33+ABS(AM33)*AN33+ABS(AO33)*AP33+ABS(AQ33)*AR33+ABS(AS33)*AT33+ABS(AU33)*AV33+ABS(AW33)*AX33+ABS(AY33)*AZ33+ABS(BA33)*BB33+ABS(BC33)*BD33+ABS(BE33)*BF33+ABS(BG33)*BH33+ABS(BI33)*BJ33)</f>
        <v>0</v>
      </c>
      <c r="DG33" s="43" t="n">
        <f aca="false">ABS(BK33)*BL33+ABS(BM33)*BN33+ABS(BO33)*BP33+ABS(BQ33)*BR33+ABS(BS33)*BT33+ABS(BU33)*BV33+ABS(BW33)*BX33+ABS(BY33)*BZ33+ABS(CA33)*CB33+ABS(CC33)*CD33+ABS(CE33)*CF33+ABS(CG33)*CH33+ABS(CI33)*CJ33+ABS(CK33)*CL33+ABS(CM33)*CN33+ABS(CO33)*CP33+ABS(CQ33)*CR33+ABS(CS33)*CT33+ABS(CU33)*CV33+ABS(CW33)*CX33</f>
        <v>0</v>
      </c>
      <c r="DH33" s="43" t="n">
        <f aca="false">((H33-X33)*W33+(H33-Z33)*Y33+(H33-AB33)*AA33+(H33-AD33)*AC33+(H33-AF33)*AE33+(H33-AH33)*AG33+(H33-AJ33)*AI33+(H33-AL33)*AK33+(H33-AN33)*AM33+(H33-AP33)*AO33+(H33-AR33)*AQ33+(H33-AT33)*AS33+(H33-AV33)*AU33+(H33-AX33)*AW33+(H33-AZ33)*AY33+(H33-BB33)*BA33+(H33-BD33)*BC33+(H33-BF33)*BE33+(H33-BH33)*BG33+(H33-BJ33)*BI33)*DD33*DE33</f>
        <v>0</v>
      </c>
      <c r="DI33" s="43" t="n">
        <f aca="false">(((H33-BL33)*BK33+(H33-BN33)*BM33+(H33-BP33)*BO33+(H33-BR33)*BQ33+(H33-BT33)*BS33+(H33-BV33)*BU33+(H33-BX33)*BW33+(H33-BZ33)*BY33+(H33-CB33)*CA33+(H33-CD33)*CC33+(H33-CF33)*CE33+(H33-CH33)*CG33+(H33-CJ33)*CH33+(H33-CL33)*CK33+(H33-CN33)*CM33+(H33-CP33)*CO33+(H33-CR33)*CQ33+(H33-CT33)*CS33+(H33-CV33)*CU33+(H33-CX33)*CW33)*DD33*DE33)</f>
        <v>0</v>
      </c>
      <c r="DJ33" s="21" t="n">
        <v>0</v>
      </c>
      <c r="DK33" s="85" t="n">
        <v>37156</v>
      </c>
      <c r="DL33" s="21" t="n">
        <v>0</v>
      </c>
      <c r="DM33" s="21" t="n">
        <f aca="false">[3]NYZoneA!$L24</f>
        <v>0</v>
      </c>
      <c r="DN33" s="21" t="n">
        <f aca="false">IF(AND(WEEKDAY(DK33)&gt;1,WEEKDAY(DK33)&lt;7),1,0)</f>
        <v>0</v>
      </c>
    </row>
    <row r="34" customFormat="false" ht="18.75" hidden="false" customHeight="false" outlineLevel="0" collapsed="false">
      <c r="A34" s="58" t="n">
        <f aca="false">[4]NYZoneA!$D25</f>
        <v>37157</v>
      </c>
      <c r="B34" s="59" t="n">
        <f aca="false">+([3]NYZoneA!$L25+[3]NYZoneD!$L25)/16</f>
        <v>0</v>
      </c>
      <c r="C34" s="60" t="n">
        <f aca="false">CY34</f>
        <v>0</v>
      </c>
      <c r="D34" s="61" t="n">
        <f aca="false">(IF(MONTH(A34)=MONTH(EOMONTH(TradeDate,1)),$AN$70,0)*VLOOKUP(A34,$DK$12:$DN$43,4))</f>
        <v>0</v>
      </c>
      <c r="E34" s="62" t="n">
        <f aca="false">SUM(B34:D34)</f>
        <v>0</v>
      </c>
      <c r="F34" s="63" t="n">
        <f aca="false">+[3]NYZoneA!$C25</f>
        <v>33</v>
      </c>
      <c r="G34" s="63" t="n">
        <f aca="false">IF($Q$9,Q34,P34)</f>
        <v>0</v>
      </c>
      <c r="H34" s="64" t="n">
        <f aca="false">F34+G34</f>
        <v>33</v>
      </c>
      <c r="I34" s="65" t="n">
        <f aca="false">B34*G34*DD34</f>
        <v>0</v>
      </c>
      <c r="J34" s="66" t="n">
        <f aca="false">DH34+DI34</f>
        <v>0</v>
      </c>
      <c r="K34" s="66" t="n">
        <f aca="false">I34+J34</f>
        <v>0</v>
      </c>
      <c r="L34" s="24"/>
      <c r="M34" s="67" t="n">
        <f aca="false">A34</f>
        <v>37157</v>
      </c>
      <c r="N34" s="68" t="n">
        <v>33</v>
      </c>
      <c r="O34" s="68" t="n">
        <v>33</v>
      </c>
      <c r="P34" s="69" t="n">
        <f aca="false">AVERAGE(N34:O34)-F34</f>
        <v>0</v>
      </c>
      <c r="Q34" s="70"/>
      <c r="R34" s="91" t="n">
        <f aca="false">H34</f>
        <v>33</v>
      </c>
      <c r="S34" s="24"/>
      <c r="T34" s="24"/>
      <c r="U34" s="72"/>
      <c r="V34" s="73" t="n">
        <f aca="false">A34</f>
        <v>37157</v>
      </c>
      <c r="W34" s="77"/>
      <c r="X34" s="76"/>
      <c r="Y34" s="74"/>
      <c r="Z34" s="75"/>
      <c r="AA34" s="77"/>
      <c r="AB34" s="78"/>
      <c r="AC34" s="77"/>
      <c r="AD34" s="78"/>
      <c r="AE34" s="77"/>
      <c r="AF34" s="78"/>
      <c r="AG34" s="77"/>
      <c r="AH34" s="78"/>
      <c r="AI34" s="77"/>
      <c r="AJ34" s="78"/>
      <c r="AK34" s="77"/>
      <c r="AL34" s="78"/>
      <c r="AM34" s="77"/>
      <c r="AN34" s="78"/>
      <c r="AO34" s="77"/>
      <c r="AP34" s="78"/>
      <c r="AQ34" s="77"/>
      <c r="AR34" s="78"/>
      <c r="AS34" s="74"/>
      <c r="AT34" s="75"/>
      <c r="AU34" s="94"/>
      <c r="AV34" s="95"/>
      <c r="AW34" s="94"/>
      <c r="AX34" s="95"/>
      <c r="AY34" s="81"/>
      <c r="AZ34" s="75"/>
      <c r="BA34" s="81"/>
      <c r="BB34" s="75"/>
      <c r="BC34" s="96"/>
      <c r="BD34" s="75"/>
      <c r="BE34" s="81"/>
      <c r="BF34" s="75"/>
      <c r="BG34" s="96"/>
      <c r="BH34" s="75"/>
      <c r="BI34" s="81"/>
      <c r="BJ34" s="75"/>
      <c r="BK34" s="81"/>
      <c r="BL34" s="75"/>
      <c r="BM34" s="81"/>
      <c r="BN34" s="75"/>
      <c r="BO34" s="81"/>
      <c r="BP34" s="75"/>
      <c r="BQ34" s="81"/>
      <c r="BR34" s="75"/>
      <c r="BS34" s="81"/>
      <c r="BT34" s="75"/>
      <c r="BU34" s="81"/>
      <c r="BV34" s="75"/>
      <c r="BW34" s="81"/>
      <c r="BX34" s="75"/>
      <c r="BY34" s="81"/>
      <c r="BZ34" s="75"/>
      <c r="CA34" s="81"/>
      <c r="CB34" s="75"/>
      <c r="CC34" s="81"/>
      <c r="CD34" s="75"/>
      <c r="CE34" s="81"/>
      <c r="CF34" s="75"/>
      <c r="CG34" s="81"/>
      <c r="CH34" s="75"/>
      <c r="CI34" s="81"/>
      <c r="CJ34" s="75"/>
      <c r="CK34" s="81"/>
      <c r="CL34" s="75"/>
      <c r="CM34" s="81"/>
      <c r="CN34" s="75"/>
      <c r="CO34" s="81"/>
      <c r="CP34" s="75"/>
      <c r="CQ34" s="81"/>
      <c r="CR34" s="75"/>
      <c r="CS34" s="81"/>
      <c r="CT34" s="75"/>
      <c r="CU34" s="81"/>
      <c r="CV34" s="75"/>
      <c r="CW34" s="81"/>
      <c r="CX34" s="75"/>
      <c r="CY34" s="82" t="n">
        <f aca="false">W34+Y34+AA34+AC34+AE34+AG34+AI34+AK34+AM34+AO34+AQ34+AS34+AU34+AW34+AY34+BA34+BC34+BE34+BG34+BI34+BK34+BM34+BO34+BQ34+BS34+BU34+BW34+BY34+CA34+CC34+CE34+CG34+CI34+CK34+CM34+CO34+CQ34+CS34+CU34+CW34</f>
        <v>0</v>
      </c>
      <c r="CZ34" s="83" t="n">
        <f aca="false">IF(AND(CY34=0,DC34=0),0,(DF34+DG34)/DC34)</f>
        <v>0</v>
      </c>
      <c r="DA34" s="84" t="n">
        <f aca="false">DC34*DD34</f>
        <v>0</v>
      </c>
      <c r="DB34" s="85" t="n">
        <f aca="false">V34</f>
        <v>37157</v>
      </c>
      <c r="DC34" s="84" t="n">
        <f aca="false">ABS(W34)+ABS(Y34)+ABS(AA34)+ABS(AC34)+ABS(AE34)+ABS(AG34)+ABS(AI34)+ABS(AK34)+ABS(AM34)+ABS(AO34)+ABS(AQ34)+ABS(AS34)+ABS(AU34)+ABS(AW34)+ABS(AY34)+ABS(BA34)+ABS(BC34)+ABS(BE34)+ABS(BG34)+ABS(BI34)+ABS(BK34)+ABS(BM34)+ABS(BO34)+ABS(BQ34)+ABS(BS34)+ABS(BU34)+ABS(BW34)+ABS(BY34)+ABS(CA34)+ABS(CC34)+ABS(CE34)+ABS(CG34)+ABS(CI34)+ABS(CK34)+ABS(CM34)+ABS(CO34)+ABS(CQ34)+ABS(CS34)+ABS(CU34)+ABS(CW34)</f>
        <v>0</v>
      </c>
      <c r="DD34" s="86" t="n">
        <v>16</v>
      </c>
      <c r="DE34" s="84" t="n">
        <v>1</v>
      </c>
      <c r="DF34" s="43" t="n">
        <f aca="false">(ABS(W34)*X34+ABS(Y34)*Z34+ABS(AA34)*AB34+ABS(AC34)*AD34+ABS(AE34)*AF34+ABS(AG34)*AH34+ABS(AI34)*AJ34+ABS(AK34)*AL34+ABS(AM34)*AN34+ABS(AO34)*AP34+ABS(AQ34)*AR34+ABS(AS34)*AT34+ABS(AU34)*AV34+ABS(AW34)*AX34+ABS(AY34)*AZ34+ABS(BA34)*BB34+ABS(BC34)*BD34+ABS(BE34)*BF34+ABS(BG34)*BH34+ABS(BI34)*BJ34)</f>
        <v>0</v>
      </c>
      <c r="DG34" s="43" t="n">
        <f aca="false">ABS(BK34)*BL34+ABS(BM34)*BN34+ABS(BO34)*BP34+ABS(BQ34)*BR34+ABS(BS34)*BT34+ABS(BU34)*BV34+ABS(BW34)*BX34+ABS(BY34)*BZ34+ABS(CA34)*CB34+ABS(CC34)*CD34+ABS(CE34)*CF34+ABS(CG34)*CH34+ABS(CI34)*CJ34+ABS(CK34)*CL34+ABS(CM34)*CN34+ABS(CO34)*CP34+ABS(CQ34)*CR34+ABS(CS34)*CT34+ABS(CU34)*CV34+ABS(CW34)*CX34</f>
        <v>0</v>
      </c>
      <c r="DH34" s="43" t="n">
        <f aca="false">((H34-X34)*W34+(H34-Z34)*Y34+(H34-AB34)*AA34+(H34-AD34)*AC34+(H34-AF34)*AE34+(H34-AH34)*AG34+(H34-AJ34)*AI34+(H34-AL34)*AK34+(H34-AN34)*AM34+(H34-AP34)*AO34+(H34-AR34)*AQ34+(H34-AT34)*AS34+(H34-AV34)*AU34+(H34-AX34)*AW34+(H34-AZ34)*AY34+(H34-BB34)*BA34+(H34-BD34)*BC34+(H34-BF34)*BE34+(H34-BH34)*BG34+(H34-BJ34)*BI34)*DD34*DE34</f>
        <v>0</v>
      </c>
      <c r="DI34" s="43" t="n">
        <f aca="false">(((H34-BL34)*BK34+(H34-BN34)*BM34+(H34-BP34)*BO34+(H34-BR34)*BQ34+(H34-BT34)*BS34+(H34-BV34)*BU34+(H34-BX34)*BW34+(H34-BZ34)*BY34+(H34-CB34)*CA34+(H34-CD34)*CC34+(H34-CF34)*CE34+(H34-CH34)*CG34+(H34-CJ34)*CH34+(H34-CL34)*CK34+(H34-CN34)*CM34+(H34-CP34)*CO34+(H34-CR34)*CQ34+(H34-CT34)*CS34+(H34-CV34)*CU34+(H34-CX34)*CW34)*DD34*DE34)</f>
        <v>0</v>
      </c>
      <c r="DJ34" s="21" t="n">
        <v>0</v>
      </c>
      <c r="DK34" s="85" t="n">
        <v>37157</v>
      </c>
      <c r="DL34" s="21" t="n">
        <v>0</v>
      </c>
      <c r="DM34" s="21" t="n">
        <f aca="false">[3]NYZoneA!$L25</f>
        <v>0</v>
      </c>
      <c r="DN34" s="21" t="n">
        <f aca="false">IF(AND(WEEKDAY(DK34)&gt;1,WEEKDAY(DK34)&lt;7),1,0)</f>
        <v>0</v>
      </c>
    </row>
    <row r="35" customFormat="false" ht="18.75" hidden="false" customHeight="false" outlineLevel="0" collapsed="false">
      <c r="A35" s="58" t="n">
        <f aca="false">[4]NYZoneA!$D26</f>
        <v>37158</v>
      </c>
      <c r="B35" s="59" t="n">
        <f aca="false">+([3]NYZoneA!$L26+[3]NYZoneD!$L26)/16</f>
        <v>-249.10986328125</v>
      </c>
      <c r="C35" s="101" t="n">
        <f aca="false">CY35</f>
        <v>0</v>
      </c>
      <c r="D35" s="87" t="n">
        <f aca="false">(IF(MONTH(A35)=MONTH(EOMONTH(TradeDate,1)),$AN$70,0)*VLOOKUP(A35,$DK$12:$DN$43,4))</f>
        <v>0</v>
      </c>
      <c r="E35" s="62" t="n">
        <f aca="false">SUM(B35:D35)</f>
        <v>-249.10986328125</v>
      </c>
      <c r="F35" s="63" t="n">
        <f aca="false">+[3]NYZoneA!$C26</f>
        <v>34</v>
      </c>
      <c r="G35" s="88" t="n">
        <f aca="false">IF($Q$9,Q35,P35)</f>
        <v>0.5</v>
      </c>
      <c r="H35" s="89" t="n">
        <f aca="false">F35+G35</f>
        <v>34.5</v>
      </c>
      <c r="I35" s="87" t="n">
        <f aca="false">B35*G35*DD35</f>
        <v>-1992.87890625</v>
      </c>
      <c r="J35" s="66" t="n">
        <f aca="false">DH35+DI35</f>
        <v>0</v>
      </c>
      <c r="K35" s="90" t="n">
        <f aca="false">I35+J35</f>
        <v>-1992.87890625</v>
      </c>
      <c r="L35" s="24"/>
      <c r="M35" s="67" t="n">
        <f aca="false">A35</f>
        <v>37158</v>
      </c>
      <c r="N35" s="68" t="n">
        <v>34.5</v>
      </c>
      <c r="O35" s="68" t="n">
        <v>34.5</v>
      </c>
      <c r="P35" s="69" t="n">
        <f aca="false">AVERAGE(N35:O35)-F35</f>
        <v>0.5</v>
      </c>
      <c r="Q35" s="70"/>
      <c r="R35" s="91" t="n">
        <f aca="false">H35</f>
        <v>34.5</v>
      </c>
      <c r="S35" s="24"/>
      <c r="T35" s="24"/>
      <c r="U35" s="72"/>
      <c r="V35" s="73" t="n">
        <f aca="false">A35</f>
        <v>37158</v>
      </c>
      <c r="W35" s="77"/>
      <c r="X35" s="76"/>
      <c r="Y35" s="74"/>
      <c r="Z35" s="75"/>
      <c r="AA35" s="77"/>
      <c r="AB35" s="78"/>
      <c r="AC35" s="77"/>
      <c r="AD35" s="78"/>
      <c r="AE35" s="77"/>
      <c r="AF35" s="78"/>
      <c r="AG35" s="77"/>
      <c r="AH35" s="78"/>
      <c r="AI35" s="77"/>
      <c r="AJ35" s="78"/>
      <c r="AK35" s="77"/>
      <c r="AL35" s="78"/>
      <c r="AM35" s="77"/>
      <c r="AN35" s="78"/>
      <c r="AO35" s="77"/>
      <c r="AP35" s="78"/>
      <c r="AQ35" s="77"/>
      <c r="AR35" s="78"/>
      <c r="AS35" s="77"/>
      <c r="AT35" s="78"/>
      <c r="AU35" s="94"/>
      <c r="AV35" s="95"/>
      <c r="AW35" s="94"/>
      <c r="AX35" s="95"/>
      <c r="AY35" s="81"/>
      <c r="AZ35" s="75"/>
      <c r="BA35" s="81"/>
      <c r="BB35" s="75"/>
      <c r="BC35" s="96"/>
      <c r="BD35" s="75"/>
      <c r="BE35" s="81"/>
      <c r="BF35" s="75"/>
      <c r="BG35" s="96"/>
      <c r="BH35" s="75"/>
      <c r="BI35" s="81"/>
      <c r="BJ35" s="75"/>
      <c r="BK35" s="81"/>
      <c r="BL35" s="75"/>
      <c r="BM35" s="81"/>
      <c r="BN35" s="75"/>
      <c r="BO35" s="81"/>
      <c r="BP35" s="75"/>
      <c r="BQ35" s="81"/>
      <c r="BR35" s="75"/>
      <c r="BS35" s="81"/>
      <c r="BT35" s="75"/>
      <c r="BU35" s="81"/>
      <c r="BV35" s="75"/>
      <c r="BW35" s="81"/>
      <c r="BX35" s="75"/>
      <c r="BY35" s="81"/>
      <c r="BZ35" s="75"/>
      <c r="CA35" s="81"/>
      <c r="CB35" s="75"/>
      <c r="CC35" s="81"/>
      <c r="CD35" s="75"/>
      <c r="CE35" s="81"/>
      <c r="CF35" s="75"/>
      <c r="CG35" s="81"/>
      <c r="CH35" s="75"/>
      <c r="CI35" s="81"/>
      <c r="CJ35" s="75"/>
      <c r="CK35" s="81"/>
      <c r="CL35" s="75"/>
      <c r="CM35" s="81"/>
      <c r="CN35" s="75"/>
      <c r="CO35" s="81"/>
      <c r="CP35" s="75"/>
      <c r="CQ35" s="81"/>
      <c r="CR35" s="75"/>
      <c r="CS35" s="81"/>
      <c r="CT35" s="75"/>
      <c r="CU35" s="81"/>
      <c r="CV35" s="75"/>
      <c r="CW35" s="81"/>
      <c r="CX35" s="75"/>
      <c r="CY35" s="82" t="n">
        <f aca="false">W35+Y35+AA35+AC35+AE35+AG35+AI35+AK35+AM35+AO35+AQ35+AS35+AU35+AW35+AY35+BA35+BC35+BE35+BG35+BI35+BK35+BM35+BO35+BQ35+BS35+BU35+BW35+BY35+CA35+CC35+CE35+CG35+CI35+CK35+CM35+CO35+CQ35+CS35+CU35+CW35</f>
        <v>0</v>
      </c>
      <c r="CZ35" s="83" t="n">
        <f aca="false">IF(AND(CY35=0,DC35=0),0,(DF35+DG35)/DC35)</f>
        <v>0</v>
      </c>
      <c r="DA35" s="84" t="n">
        <f aca="false">DC35*DD35</f>
        <v>0</v>
      </c>
      <c r="DB35" s="85" t="n">
        <f aca="false">V35</f>
        <v>37158</v>
      </c>
      <c r="DC35" s="84" t="n">
        <f aca="false">ABS(W35)+ABS(Y35)+ABS(AA35)+ABS(AC35)+ABS(AE35)+ABS(AG35)+ABS(AI35)+ABS(AK35)+ABS(AM35)+ABS(AO35)+ABS(AQ35)+ABS(AS35)+ABS(AU35)+ABS(AW35)+ABS(AY35)+ABS(BA35)+ABS(BC35)+ABS(BE35)+ABS(BG35)+ABS(BI35)+ABS(BK35)+ABS(BM35)+ABS(BO35)+ABS(BQ35)+ABS(BS35)+ABS(BU35)+ABS(BW35)+ABS(BY35)+ABS(CA35)+ABS(CC35)+ABS(CE35)+ABS(CG35)+ABS(CI35)+ABS(CK35)+ABS(CM35)+ABS(CO35)+ABS(CQ35)+ABS(CS35)+ABS(CU35)+ABS(CW35)</f>
        <v>0</v>
      </c>
      <c r="DD35" s="86" t="n">
        <v>16</v>
      </c>
      <c r="DE35" s="84" t="n">
        <v>1</v>
      </c>
      <c r="DF35" s="43" t="n">
        <f aca="false">(ABS(W35)*X35+ABS(Y35)*Z35+ABS(AA35)*AB35+ABS(AC35)*AD35+ABS(AE35)*AF35+ABS(AG35)*AH35+ABS(AI35)*AJ35+ABS(AK35)*AL35+ABS(AM35)*AN35+ABS(AO35)*AP35+ABS(AQ35)*AR35+ABS(AS35)*AT35+ABS(AU35)*AV35+ABS(AW35)*AX35+ABS(AY35)*AZ35+ABS(BA35)*BB35+ABS(BC35)*BD35+ABS(BE35)*BF35+ABS(BG35)*BH35+ABS(BI35)*BJ35)</f>
        <v>0</v>
      </c>
      <c r="DG35" s="43" t="n">
        <f aca="false">ABS(BK35)*BL35+ABS(BM35)*BN35+ABS(BO35)*BP35+ABS(BQ35)*BR35+ABS(BS35)*BT35+ABS(BU35)*BV35+ABS(BW35)*BX35+ABS(BY35)*BZ35+ABS(CA35)*CB35+ABS(CC35)*CD35+ABS(CE35)*CF35+ABS(CG35)*CH35+ABS(CI35)*CJ35+ABS(CK35)*CL35+ABS(CM35)*CN35+ABS(CO35)*CP35+ABS(CQ35)*CR35+ABS(CS35)*CT35+ABS(CU35)*CV35+ABS(CW35)*CX35</f>
        <v>0</v>
      </c>
      <c r="DH35" s="43" t="n">
        <f aca="false">((H35-X35)*W35+(H35-Z35)*Y35+(H35-AB35)*AA35+(H35-AD35)*AC35+(H35-AF35)*AE35+(H35-AH35)*AG35+(H35-AJ35)*AI35+(H35-AL35)*AK35+(H35-AN35)*AM35+(H35-AP35)*AO35+(H35-AR35)*AQ35+(H35-AT35)*AS35+(H35-AV35)*AU35+(H35-AX35)*AW35+(H35-AZ35)*AY35+(H35-BB35)*BA35+(H35-BD35)*BC35+(H35-BF35)*BE35+(H35-BH35)*BG35+(H35-BJ35)*BI35)*DD35*DE35</f>
        <v>0</v>
      </c>
      <c r="DI35" s="43" t="n">
        <f aca="false">(((H35-BL35)*BK35+(H35-BN35)*BM35+(H35-BP35)*BO35+(H35-BR35)*BQ35+(H35-BT35)*BS35+(H35-BV35)*BU35+(H35-BX35)*BW35+(H35-BZ35)*BY35+(H35-CB35)*CA35+(H35-CD35)*CC35+(H35-CF35)*CE35+(H35-CH35)*CG35+(H35-CJ35)*CH35+(H35-CL35)*CK35+(H35-CN35)*CM35+(H35-CP35)*CO35+(H35-CR35)*CQ35+(H35-CT35)*CS35+(H35-CV35)*CU35+(H35-CX35)*CW35)*DD35*DE35)</f>
        <v>0</v>
      </c>
      <c r="DJ35" s="21" t="n">
        <v>0</v>
      </c>
      <c r="DK35" s="85" t="n">
        <v>37158</v>
      </c>
      <c r="DL35" s="21" t="n">
        <v>-249.10986328125</v>
      </c>
      <c r="DM35" s="21" t="n">
        <f aca="false">[3]NYZoneA!$L26</f>
        <v>-3985.7578125</v>
      </c>
      <c r="DN35" s="21" t="n">
        <f aca="false">IF(AND(WEEKDAY(DK35)&gt;1,WEEKDAY(DK35)&lt;7),1,0)</f>
        <v>1</v>
      </c>
    </row>
    <row r="36" customFormat="false" ht="18.75" hidden="false" customHeight="false" outlineLevel="0" collapsed="false">
      <c r="A36" s="58" t="n">
        <f aca="false">[4]NYZoneA!$D27</f>
        <v>37159</v>
      </c>
      <c r="B36" s="59" t="n">
        <f aca="false">+([3]NYZoneA!$L27+[3]NYZoneD!$L27)/16</f>
        <v>-249.10986328125</v>
      </c>
      <c r="C36" s="60" t="n">
        <f aca="false">CY36</f>
        <v>0</v>
      </c>
      <c r="D36" s="61" t="n">
        <f aca="false">(IF(MONTH(A36)=MONTH(EOMONTH(TradeDate,1)),$AN$70,0)*VLOOKUP(A36,$DK$12:$DN$43,4))</f>
        <v>0</v>
      </c>
      <c r="E36" s="62" t="n">
        <f aca="false">SUM(B36:D36)</f>
        <v>-249.10986328125</v>
      </c>
      <c r="F36" s="63" t="n">
        <f aca="false">+[3]NYZoneA!$C27</f>
        <v>34</v>
      </c>
      <c r="G36" s="63" t="n">
        <f aca="false">IF($Q$9,Q36,P36)</f>
        <v>0.5</v>
      </c>
      <c r="H36" s="64" t="n">
        <f aca="false">F36+G36</f>
        <v>34.5</v>
      </c>
      <c r="I36" s="65" t="n">
        <f aca="false">B36*G36*DD36</f>
        <v>-1992.87890625</v>
      </c>
      <c r="J36" s="66" t="n">
        <f aca="false">DH36+DI36</f>
        <v>0</v>
      </c>
      <c r="K36" s="66" t="n">
        <f aca="false">I36+J36</f>
        <v>-1992.87890625</v>
      </c>
      <c r="L36" s="24"/>
      <c r="M36" s="67" t="n">
        <f aca="false">A36</f>
        <v>37159</v>
      </c>
      <c r="N36" s="68" t="n">
        <v>34.5</v>
      </c>
      <c r="O36" s="68" t="n">
        <v>34.5</v>
      </c>
      <c r="P36" s="69" t="n">
        <f aca="false">AVERAGE(N36:O36)-F36</f>
        <v>0.5</v>
      </c>
      <c r="Q36" s="70"/>
      <c r="R36" s="91" t="n">
        <f aca="false">H36</f>
        <v>34.5</v>
      </c>
      <c r="S36" s="24"/>
      <c r="T36" s="24"/>
      <c r="U36" s="72"/>
      <c r="V36" s="73" t="n">
        <f aca="false">A36</f>
        <v>37159</v>
      </c>
      <c r="W36" s="77"/>
      <c r="X36" s="76"/>
      <c r="Y36" s="77"/>
      <c r="Z36" s="76"/>
      <c r="AA36" s="77"/>
      <c r="AB36" s="78"/>
      <c r="AC36" s="77"/>
      <c r="AD36" s="78"/>
      <c r="AE36" s="77"/>
      <c r="AF36" s="78"/>
      <c r="AG36" s="77"/>
      <c r="AH36" s="78"/>
      <c r="AI36" s="77"/>
      <c r="AJ36" s="78"/>
      <c r="AK36" s="77"/>
      <c r="AL36" s="78"/>
      <c r="AM36" s="77"/>
      <c r="AN36" s="78"/>
      <c r="AO36" s="77"/>
      <c r="AP36" s="78"/>
      <c r="AQ36" s="77"/>
      <c r="AR36" s="78"/>
      <c r="AS36" s="74"/>
      <c r="AT36" s="75"/>
      <c r="AU36" s="94"/>
      <c r="AV36" s="95"/>
      <c r="AW36" s="94"/>
      <c r="AX36" s="95"/>
      <c r="AY36" s="81"/>
      <c r="AZ36" s="75"/>
      <c r="BA36" s="81"/>
      <c r="BB36" s="75"/>
      <c r="BC36" s="96"/>
      <c r="BD36" s="75"/>
      <c r="BE36" s="81"/>
      <c r="BF36" s="75"/>
      <c r="BG36" s="96"/>
      <c r="BH36" s="75"/>
      <c r="BI36" s="81"/>
      <c r="BJ36" s="75"/>
      <c r="BK36" s="81"/>
      <c r="BL36" s="75"/>
      <c r="BM36" s="81"/>
      <c r="BN36" s="75"/>
      <c r="BO36" s="81"/>
      <c r="BP36" s="75"/>
      <c r="BQ36" s="81"/>
      <c r="BR36" s="75"/>
      <c r="BS36" s="81"/>
      <c r="BT36" s="75"/>
      <c r="BU36" s="81"/>
      <c r="BV36" s="75"/>
      <c r="BW36" s="81"/>
      <c r="BX36" s="75"/>
      <c r="BY36" s="81"/>
      <c r="BZ36" s="75"/>
      <c r="CA36" s="81"/>
      <c r="CB36" s="75"/>
      <c r="CC36" s="81"/>
      <c r="CD36" s="75"/>
      <c r="CE36" s="81"/>
      <c r="CF36" s="75"/>
      <c r="CG36" s="81"/>
      <c r="CH36" s="75"/>
      <c r="CI36" s="81"/>
      <c r="CJ36" s="75"/>
      <c r="CK36" s="81"/>
      <c r="CL36" s="75"/>
      <c r="CM36" s="81"/>
      <c r="CN36" s="75"/>
      <c r="CO36" s="81"/>
      <c r="CP36" s="75"/>
      <c r="CQ36" s="81"/>
      <c r="CR36" s="75"/>
      <c r="CS36" s="81"/>
      <c r="CT36" s="75"/>
      <c r="CU36" s="81"/>
      <c r="CV36" s="75"/>
      <c r="CW36" s="81"/>
      <c r="CX36" s="75"/>
      <c r="CY36" s="82" t="n">
        <f aca="false">W36+Y36+AA36+AC36+AE36+AG36+AI36+AK36+AM36+AO36+AQ36+AS36+AU36+AW36+AY36+BA36+BC36+BE36+BG36+BI36+BK36+BM36+BO36+BQ36+BS36+BU36+BW36+BY36+CA36+CC36+CE36+CG36+CI36+CK36+CM36+CO36+CQ36+CS36+CU36+CW36</f>
        <v>0</v>
      </c>
      <c r="CZ36" s="83" t="n">
        <f aca="false">IF(AND(CY36=0,DC36=0),0,(DF36+DG36)/DC36)</f>
        <v>0</v>
      </c>
      <c r="DA36" s="84" t="n">
        <f aca="false">DC36*DD36</f>
        <v>0</v>
      </c>
      <c r="DB36" s="85" t="n">
        <f aca="false">V36</f>
        <v>37159</v>
      </c>
      <c r="DC36" s="84" t="n">
        <f aca="false">ABS(W36)+ABS(Y36)+ABS(AA36)+ABS(AC36)+ABS(AE36)+ABS(AG36)+ABS(AI36)+ABS(AK36)+ABS(AM36)+ABS(AO36)+ABS(AQ36)+ABS(AS36)+ABS(AU36)+ABS(AW36)+ABS(AY36)+ABS(BA36)+ABS(BC36)+ABS(BE36)+ABS(BG36)+ABS(BI36)+ABS(BK36)+ABS(BM36)+ABS(BO36)+ABS(BQ36)+ABS(BS36)+ABS(BU36)+ABS(BW36)+ABS(BY36)+ABS(CA36)+ABS(CC36)+ABS(CE36)+ABS(CG36)+ABS(CI36)+ABS(CK36)+ABS(CM36)+ABS(CO36)+ABS(CQ36)+ABS(CS36)+ABS(CU36)+ABS(CW36)</f>
        <v>0</v>
      </c>
      <c r="DD36" s="86" t="n">
        <v>16</v>
      </c>
      <c r="DE36" s="84" t="n">
        <v>1</v>
      </c>
      <c r="DF36" s="43" t="n">
        <f aca="false">(ABS(W36)*X36+ABS(Y36)*Z36+ABS(AA36)*AB36+ABS(AC36)*AD36+ABS(AE36)*AF36+ABS(AG36)*AH36+ABS(AI36)*AJ36+ABS(AK36)*AL36+ABS(AM36)*AN36+ABS(AO36)*AP36+ABS(AQ36)*AR36+ABS(AS36)*AT36+ABS(AU36)*AV36+ABS(AW36)*AX36+ABS(AY36)*AZ36+ABS(BA36)*BB36+ABS(BC36)*BD36+ABS(BE36)*BF36+ABS(BG36)*BH36+ABS(BI36)*BJ36)</f>
        <v>0</v>
      </c>
      <c r="DG36" s="43" t="n">
        <f aca="false">ABS(BK36)*BL36+ABS(BM36)*BN36+ABS(BO36)*BP36+ABS(BQ36)*BR36+ABS(BS36)*BT36+ABS(BU36)*BV36+ABS(BW36)*BX36+ABS(BY36)*BZ36+ABS(CA36)*CB36+ABS(CC36)*CD36+ABS(CE36)*CF36+ABS(CG36)*CH36+ABS(CI36)*CJ36+ABS(CK36)*CL36+ABS(CM36)*CN36+ABS(CO36)*CP36+ABS(CQ36)*CR36+ABS(CS36)*CT36+ABS(CU36)*CV36+ABS(CW36)*CX36</f>
        <v>0</v>
      </c>
      <c r="DH36" s="43" t="n">
        <f aca="false">((H36-X36)*W36+(H36-Z36)*Y36+(H36-AB36)*AA36+(H36-AD36)*AC36+(H36-AF36)*AE36+(H36-AH36)*AG36+(H36-AJ36)*AI36+(H36-AL36)*AK36+(H36-AN36)*AM36+(H36-AP36)*AO36+(H36-AR36)*AQ36+(H36-AT36)*AS36+(H36-AV36)*AU36+(H36-AX36)*AW36+(H36-AZ36)*AY36+(H36-BB36)*BA36+(H36-BD36)*BC36+(H36-BF36)*BE36+(H36-BH36)*BG36+(H36-BJ36)*BI36)*DD36*DE36</f>
        <v>0</v>
      </c>
      <c r="DI36" s="43" t="n">
        <f aca="false">(((H36-BL36)*BK36+(H36-BN36)*BM36+(H36-BP36)*BO36+(H36-BR36)*BQ36+(H36-BT36)*BS36+(H36-BV36)*BU36+(H36-BX36)*BW36+(H36-BZ36)*BY36+(H36-CB36)*CA36+(H36-CD36)*CC36+(H36-CF36)*CE36+(H36-CH36)*CG36+(H36-CJ36)*CH36+(H36-CL36)*CK36+(H36-CN36)*CM36+(H36-CP36)*CO36+(H36-CR36)*CQ36+(H36-CT36)*CS36+(H36-CV36)*CU36+(H36-CX36)*CW36)*DD36*DE36)</f>
        <v>0</v>
      </c>
      <c r="DJ36" s="21" t="n">
        <v>0</v>
      </c>
      <c r="DK36" s="85" t="n">
        <v>37159</v>
      </c>
      <c r="DL36" s="21" t="n">
        <v>-249.10986328125</v>
      </c>
      <c r="DM36" s="21" t="n">
        <f aca="false">[3]NYZoneA!$L27</f>
        <v>-3985.7578125</v>
      </c>
      <c r="DN36" s="21" t="n">
        <f aca="false">IF(AND(WEEKDAY(DK36)&gt;1,WEEKDAY(DK36)&lt;7),1,0)</f>
        <v>1</v>
      </c>
    </row>
    <row r="37" customFormat="false" ht="18.75" hidden="false" customHeight="false" outlineLevel="0" collapsed="false">
      <c r="A37" s="58" t="n">
        <f aca="false">[4]NYZoneA!$D28</f>
        <v>37160</v>
      </c>
      <c r="B37" s="59" t="n">
        <f aca="false">+([3]NYZoneA!$L28+[3]NYZoneD!$L28)/16</f>
        <v>-249.10986328125</v>
      </c>
      <c r="C37" s="101" t="n">
        <f aca="false">CY37</f>
        <v>0</v>
      </c>
      <c r="D37" s="87" t="n">
        <f aca="false">(IF(MONTH(A37)=MONTH(EOMONTH(TradeDate,1)),$AN$70,0)*VLOOKUP(A37,$DK$12:$DN$43,4))</f>
        <v>0</v>
      </c>
      <c r="E37" s="62" t="n">
        <f aca="false">SUM(B37:D37)</f>
        <v>-249.10986328125</v>
      </c>
      <c r="F37" s="63" t="n">
        <f aca="false">+[3]NYZoneA!$C28</f>
        <v>34</v>
      </c>
      <c r="G37" s="88" t="n">
        <f aca="false">IF($Q$9,Q37,P37)</f>
        <v>0.5</v>
      </c>
      <c r="H37" s="89" t="n">
        <f aca="false">F37+G37</f>
        <v>34.5</v>
      </c>
      <c r="I37" s="87" t="n">
        <f aca="false">B37*G37*DD37</f>
        <v>-1992.87890625</v>
      </c>
      <c r="J37" s="66" t="n">
        <f aca="false">DH37+DI37</f>
        <v>0</v>
      </c>
      <c r="K37" s="90" t="n">
        <f aca="false">I37+J37</f>
        <v>-1992.87890625</v>
      </c>
      <c r="L37" s="24"/>
      <c r="M37" s="67" t="n">
        <f aca="false">A37</f>
        <v>37160</v>
      </c>
      <c r="N37" s="68" t="n">
        <v>34.5</v>
      </c>
      <c r="O37" s="68" t="n">
        <v>34.5</v>
      </c>
      <c r="P37" s="69" t="n">
        <f aca="false">AVERAGE(N37:O37)-F37</f>
        <v>0.5</v>
      </c>
      <c r="Q37" s="70"/>
      <c r="R37" s="91" t="n">
        <f aca="false">H37</f>
        <v>34.5</v>
      </c>
      <c r="S37" s="24"/>
      <c r="T37" s="24"/>
      <c r="U37" s="72"/>
      <c r="V37" s="73" t="n">
        <f aca="false">A37</f>
        <v>37160</v>
      </c>
      <c r="W37" s="77"/>
      <c r="X37" s="76"/>
      <c r="Y37" s="74"/>
      <c r="Z37" s="75"/>
      <c r="AA37" s="77"/>
      <c r="AB37" s="78"/>
      <c r="AC37" s="77"/>
      <c r="AD37" s="76"/>
      <c r="AE37" s="77"/>
      <c r="AF37" s="78"/>
      <c r="AG37" s="77"/>
      <c r="AH37" s="78"/>
      <c r="AI37" s="77"/>
      <c r="AJ37" s="78"/>
      <c r="AK37" s="77"/>
      <c r="AL37" s="78"/>
      <c r="AM37" s="77"/>
      <c r="AN37" s="78"/>
      <c r="AO37" s="77"/>
      <c r="AP37" s="78"/>
      <c r="AQ37" s="77"/>
      <c r="AR37" s="78"/>
      <c r="AS37" s="74"/>
      <c r="AT37" s="75"/>
      <c r="AU37" s="94"/>
      <c r="AV37" s="95"/>
      <c r="AW37" s="94"/>
      <c r="AX37" s="95"/>
      <c r="AY37" s="81"/>
      <c r="AZ37" s="75"/>
      <c r="BA37" s="81"/>
      <c r="BB37" s="75"/>
      <c r="BC37" s="96"/>
      <c r="BD37" s="75"/>
      <c r="BE37" s="81"/>
      <c r="BF37" s="75"/>
      <c r="BG37" s="96"/>
      <c r="BH37" s="75"/>
      <c r="BI37" s="81"/>
      <c r="BJ37" s="75"/>
      <c r="BK37" s="81"/>
      <c r="BL37" s="75"/>
      <c r="BM37" s="81"/>
      <c r="BN37" s="75"/>
      <c r="BO37" s="81"/>
      <c r="BP37" s="75"/>
      <c r="BQ37" s="81"/>
      <c r="BR37" s="75"/>
      <c r="BS37" s="81"/>
      <c r="BT37" s="75"/>
      <c r="BU37" s="81"/>
      <c r="BV37" s="75"/>
      <c r="BW37" s="81"/>
      <c r="BX37" s="75"/>
      <c r="BY37" s="81"/>
      <c r="BZ37" s="75"/>
      <c r="CA37" s="81"/>
      <c r="CB37" s="75"/>
      <c r="CC37" s="81"/>
      <c r="CD37" s="75"/>
      <c r="CE37" s="81"/>
      <c r="CF37" s="75"/>
      <c r="CG37" s="81"/>
      <c r="CH37" s="75"/>
      <c r="CI37" s="81"/>
      <c r="CJ37" s="75"/>
      <c r="CK37" s="81"/>
      <c r="CL37" s="75"/>
      <c r="CM37" s="81"/>
      <c r="CN37" s="75"/>
      <c r="CO37" s="81"/>
      <c r="CP37" s="75"/>
      <c r="CQ37" s="81"/>
      <c r="CR37" s="75"/>
      <c r="CS37" s="81"/>
      <c r="CT37" s="75"/>
      <c r="CU37" s="81"/>
      <c r="CV37" s="75"/>
      <c r="CW37" s="81"/>
      <c r="CX37" s="75"/>
      <c r="CY37" s="82" t="n">
        <f aca="false">W37+Y37+AA37+AC37+AE37+AG37+AI37+AK37+AM37+AO37+AQ37+AS37+AU37+AW37+AY37+BA37+BC37+BE37+BG37+BI37+BK37+BM37+BO37+BQ37+BS37+BU37+BW37+BY37+CA37+CC37+CE37+CG37+CI37+CK37+CM37+CO37+CQ37+CS37+CU37+CW37</f>
        <v>0</v>
      </c>
      <c r="CZ37" s="83" t="n">
        <f aca="false">IF(AND(CY37=0,DC37=0),0,(DF37+DG37)/DC37)</f>
        <v>0</v>
      </c>
      <c r="DA37" s="84" t="n">
        <f aca="false">DC37*DD37</f>
        <v>0</v>
      </c>
      <c r="DB37" s="85" t="n">
        <f aca="false">V37</f>
        <v>37160</v>
      </c>
      <c r="DC37" s="84" t="n">
        <f aca="false">ABS(W37)+ABS(Y37)+ABS(AA37)+ABS(AC37)+ABS(AE37)+ABS(AG37)+ABS(AI37)+ABS(AK37)+ABS(AM37)+ABS(AO37)+ABS(AQ37)+ABS(AS37)+ABS(AU37)+ABS(AW37)+ABS(AY37)+ABS(BA37)+ABS(BC37)+ABS(BE37)+ABS(BG37)+ABS(BI37)+ABS(BK37)+ABS(BM37)+ABS(BO37)+ABS(BQ37)+ABS(BS37)+ABS(BU37)+ABS(BW37)+ABS(BY37)+ABS(CA37)+ABS(CC37)+ABS(CE37)+ABS(CG37)+ABS(CI37)+ABS(CK37)+ABS(CM37)+ABS(CO37)+ABS(CQ37)+ABS(CS37)+ABS(CU37)+ABS(CW37)</f>
        <v>0</v>
      </c>
      <c r="DD37" s="86" t="n">
        <v>16</v>
      </c>
      <c r="DE37" s="84" t="n">
        <v>1</v>
      </c>
      <c r="DF37" s="43" t="n">
        <f aca="false">(ABS(W37)*X37+ABS(Y37)*Z37+ABS(AA37)*AB37+ABS(AC37)*AD37+ABS(AE37)*AF37+ABS(AG37)*AH37+ABS(AI37)*AJ37+ABS(AK37)*AL37+ABS(AM37)*AN37+ABS(AO37)*AP37+ABS(AQ37)*AR37+ABS(AS37)*AT37+ABS(AU37)*AV37+ABS(AW37)*AX37+ABS(AY37)*AZ37+ABS(BA37)*BB37+ABS(BC37)*BD37+ABS(BE37)*BF37+ABS(BG37)*BH37+ABS(BI37)*BJ37)</f>
        <v>0</v>
      </c>
      <c r="DG37" s="43" t="n">
        <f aca="false">ABS(BK37)*BL37+ABS(BM37)*BN37+ABS(BO37)*BP37+ABS(BQ37)*BR37+ABS(BS37)*BT37+ABS(BU37)*BV37+ABS(BW37)*BX37+ABS(BY37)*BZ37+ABS(CA37)*CB37+ABS(CC37)*CD37+ABS(CE37)*CF37+ABS(CG37)*CH37+ABS(CI37)*CJ37+ABS(CK37)*CL37+ABS(CM37)*CN37+ABS(CO37)*CP37+ABS(CQ37)*CR37+ABS(CS37)*CT37+ABS(CU37)*CV37+ABS(CW37)*CX37</f>
        <v>0</v>
      </c>
      <c r="DH37" s="43" t="n">
        <f aca="false">((H37-X37)*W37+(H37-Z37)*Y37+(H37-AB37)*AA37+(H37-AD37)*AC37+(H37-AF37)*AE37+(H37-AH37)*AG37+(H37-AJ37)*AI37+(H37-AL37)*AK37+(H37-AN37)*AM37+(H37-AP37)*AO37+(H37-AR37)*AQ37+(H37-AT37)*AS37+(H37-AV37)*AU37+(H37-AX37)*AW37+(H37-AZ37)*AY37+(H37-BB37)*BA37+(H37-BD37)*BC37+(H37-BF37)*BE37+(H37-BH37)*BG37+(H37-BJ37)*BI37)*DD37*DE37</f>
        <v>0</v>
      </c>
      <c r="DI37" s="43" t="n">
        <f aca="false">(((H37-BL37)*BK37+(H37-BN37)*BM37+(H37-BP37)*BO37+(H37-BR37)*BQ37+(H37-BT37)*BS37+(H37-BV37)*BU37+(H37-BX37)*BW37+(H37-BZ37)*BY37+(H37-CB37)*CA37+(H37-CD37)*CC37+(H37-CF37)*CE37+(H37-CH37)*CG37+(H37-CJ37)*CH37+(H37-CL37)*CK37+(H37-CN37)*CM37+(H37-CP37)*CO37+(H37-CR37)*CQ37+(H37-CT37)*CS37+(H37-CV37)*CU37+(H37-CX37)*CW37)*DD37*DE37)</f>
        <v>0</v>
      </c>
      <c r="DJ37" s="21" t="n">
        <v>0</v>
      </c>
      <c r="DK37" s="85" t="n">
        <v>37160</v>
      </c>
      <c r="DL37" s="21" t="n">
        <v>-249.10986328125</v>
      </c>
      <c r="DM37" s="21" t="n">
        <f aca="false">[3]NYZoneA!$L28</f>
        <v>-3985.7578125</v>
      </c>
      <c r="DN37" s="21" t="n">
        <f aca="false">IF(AND(WEEKDAY(DK37)&gt;1,WEEKDAY(DK37)&lt;7),1,0)</f>
        <v>1</v>
      </c>
    </row>
    <row r="38" customFormat="false" ht="18.75" hidden="false" customHeight="false" outlineLevel="0" collapsed="false">
      <c r="A38" s="58" t="n">
        <f aca="false">[4]NYZoneA!$D29</f>
        <v>37161</v>
      </c>
      <c r="B38" s="59" t="n">
        <f aca="false">+([3]NYZoneA!$L29+[3]NYZoneD!$L29)/16</f>
        <v>-249.10986328125</v>
      </c>
      <c r="C38" s="60" t="n">
        <f aca="false">CY38</f>
        <v>0</v>
      </c>
      <c r="D38" s="61" t="n">
        <f aca="false">(IF(MONTH(A38)=MONTH(EOMONTH(TradeDate,1)),$AN$70,0)*VLOOKUP(A38,$DK$12:$DN$43,4))</f>
        <v>0</v>
      </c>
      <c r="E38" s="62" t="n">
        <f aca="false">SUM(B38:D38)</f>
        <v>-249.10986328125</v>
      </c>
      <c r="F38" s="63" t="n">
        <f aca="false">+[3]NYZoneA!$C29</f>
        <v>34</v>
      </c>
      <c r="G38" s="63" t="n">
        <f aca="false">IF($Q$9,Q38,P38)</f>
        <v>0.5</v>
      </c>
      <c r="H38" s="64" t="n">
        <f aca="false">F38+G38</f>
        <v>34.5</v>
      </c>
      <c r="I38" s="65" t="n">
        <f aca="false">B38*G38*DD38</f>
        <v>-1992.87890625</v>
      </c>
      <c r="J38" s="66" t="n">
        <f aca="false">DH38+DI38</f>
        <v>0</v>
      </c>
      <c r="K38" s="66" t="n">
        <f aca="false">I38+J38</f>
        <v>-1992.87890625</v>
      </c>
      <c r="L38" s="24"/>
      <c r="M38" s="67" t="n">
        <f aca="false">A38</f>
        <v>37161</v>
      </c>
      <c r="N38" s="68" t="n">
        <v>34.5</v>
      </c>
      <c r="O38" s="68" t="n">
        <v>34.5</v>
      </c>
      <c r="P38" s="69" t="n">
        <f aca="false">AVERAGE(N38:O38)-F38</f>
        <v>0.5</v>
      </c>
      <c r="Q38" s="70"/>
      <c r="R38" s="91" t="n">
        <f aca="false">H38</f>
        <v>34.5</v>
      </c>
      <c r="S38" s="24"/>
      <c r="T38" s="24"/>
      <c r="U38" s="72"/>
      <c r="V38" s="73" t="n">
        <f aca="false">A38</f>
        <v>37161</v>
      </c>
      <c r="W38" s="77"/>
      <c r="X38" s="76"/>
      <c r="Y38" s="74"/>
      <c r="Z38" s="75"/>
      <c r="AA38" s="77"/>
      <c r="AB38" s="78"/>
      <c r="AC38" s="77"/>
      <c r="AD38" s="76"/>
      <c r="AE38" s="77"/>
      <c r="AF38" s="78"/>
      <c r="AG38" s="77"/>
      <c r="AH38" s="78"/>
      <c r="AI38" s="77"/>
      <c r="AJ38" s="78"/>
      <c r="AK38" s="77"/>
      <c r="AL38" s="78"/>
      <c r="AM38" s="77"/>
      <c r="AN38" s="78"/>
      <c r="AO38" s="77"/>
      <c r="AP38" s="78"/>
      <c r="AQ38" s="77"/>
      <c r="AR38" s="78"/>
      <c r="AS38" s="74"/>
      <c r="AT38" s="75"/>
      <c r="AU38" s="94"/>
      <c r="AV38" s="95"/>
      <c r="AW38" s="94"/>
      <c r="AX38" s="95"/>
      <c r="AY38" s="81"/>
      <c r="AZ38" s="75"/>
      <c r="BA38" s="81"/>
      <c r="BB38" s="75"/>
      <c r="BC38" s="96"/>
      <c r="BD38" s="75"/>
      <c r="BE38" s="81"/>
      <c r="BF38" s="75"/>
      <c r="BG38" s="96"/>
      <c r="BH38" s="75"/>
      <c r="BI38" s="81"/>
      <c r="BJ38" s="75"/>
      <c r="BK38" s="81"/>
      <c r="BL38" s="75"/>
      <c r="BM38" s="81"/>
      <c r="BN38" s="75"/>
      <c r="BO38" s="81"/>
      <c r="BP38" s="75"/>
      <c r="BQ38" s="81"/>
      <c r="BR38" s="75"/>
      <c r="BS38" s="81"/>
      <c r="BT38" s="75"/>
      <c r="BU38" s="81"/>
      <c r="BV38" s="75"/>
      <c r="BW38" s="81"/>
      <c r="BX38" s="75"/>
      <c r="BY38" s="81"/>
      <c r="BZ38" s="75"/>
      <c r="CA38" s="81"/>
      <c r="CB38" s="75"/>
      <c r="CC38" s="81"/>
      <c r="CD38" s="75"/>
      <c r="CE38" s="81"/>
      <c r="CF38" s="75"/>
      <c r="CG38" s="81"/>
      <c r="CH38" s="75"/>
      <c r="CI38" s="81"/>
      <c r="CJ38" s="75"/>
      <c r="CK38" s="81"/>
      <c r="CL38" s="75"/>
      <c r="CM38" s="81"/>
      <c r="CN38" s="75"/>
      <c r="CO38" s="81"/>
      <c r="CP38" s="75"/>
      <c r="CQ38" s="81"/>
      <c r="CR38" s="75"/>
      <c r="CS38" s="81"/>
      <c r="CT38" s="75"/>
      <c r="CU38" s="81"/>
      <c r="CV38" s="75"/>
      <c r="CW38" s="81"/>
      <c r="CX38" s="75"/>
      <c r="CY38" s="82" t="n">
        <f aca="false">W38+Y38+AA38+AC38+AE38+AG38+AI38+AK38+AM38+AO38+AQ38+AS38+AU38+AW38+AY38+BA38+BC38+BE38+BG38+BI38+BK38+BM38+BO38+BQ38+BS38+BU38+BW38+BY38+CA38+CC38+CE38+CG38+CI38+CK38+CM38+CO38+CQ38+CS38+CU38+CW38</f>
        <v>0</v>
      </c>
      <c r="CZ38" s="83" t="n">
        <f aca="false">IF(AND(CY38=0,DC38=0),0,(DF38+DG38)/DC38)</f>
        <v>0</v>
      </c>
      <c r="DA38" s="84" t="n">
        <f aca="false">DC38*DD38</f>
        <v>0</v>
      </c>
      <c r="DB38" s="85" t="n">
        <f aca="false">V38</f>
        <v>37161</v>
      </c>
      <c r="DC38" s="84" t="n">
        <f aca="false">ABS(W38)+ABS(Y38)+ABS(AA38)+ABS(AC38)+ABS(AE38)+ABS(AG38)+ABS(AI38)+ABS(AK38)+ABS(AM38)+ABS(AO38)+ABS(AQ38)+ABS(AS38)+ABS(AU38)+ABS(AW38)+ABS(AY38)+ABS(BA38)+ABS(BC38)+ABS(BE38)+ABS(BG38)+ABS(BI38)+ABS(BK38)+ABS(BM38)+ABS(BO38)+ABS(BQ38)+ABS(BS38)+ABS(BU38)+ABS(BW38)+ABS(BY38)+ABS(CA38)+ABS(CC38)+ABS(CE38)+ABS(CG38)+ABS(CI38)+ABS(CK38)+ABS(CM38)+ABS(CO38)+ABS(CQ38)+ABS(CS38)+ABS(CU38)+ABS(CW38)</f>
        <v>0</v>
      </c>
      <c r="DD38" s="86" t="n">
        <v>16</v>
      </c>
      <c r="DE38" s="84" t="n">
        <v>1</v>
      </c>
      <c r="DF38" s="43" t="n">
        <f aca="false">(ABS(W38)*X38+ABS(Y38)*Z38+ABS(AA38)*AB38+ABS(AC38)*AD38+ABS(AE38)*AF38+ABS(AG38)*AH38+ABS(AI38)*AJ38+ABS(AK38)*AL38+ABS(AM38)*AN38+ABS(AO38)*AP38+ABS(AQ38)*AR38+ABS(AS38)*AT38+ABS(AU38)*AV38+ABS(AW38)*AX38+ABS(AY38)*AZ38+ABS(BA38)*BB38+ABS(BC38)*BD38+ABS(BE38)*BF38+ABS(BG38)*BH38+ABS(BI38)*BJ38)</f>
        <v>0</v>
      </c>
      <c r="DG38" s="43" t="n">
        <f aca="false">ABS(BK38)*BL38+ABS(BM38)*BN38+ABS(BO38)*BP38+ABS(BQ38)*BR38+ABS(BS38)*BT38+ABS(BU38)*BV38+ABS(BW38)*BX38+ABS(BY38)*BZ38+ABS(CA38)*CB38+ABS(CC38)*CD38+ABS(CE38)*CF38+ABS(CG38)*CH38+ABS(CI38)*CJ38+ABS(CK38)*CL38+ABS(CM38)*CN38+ABS(CO38)*CP38+ABS(CQ38)*CR38+ABS(CS38)*CT38+ABS(CU38)*CV38+ABS(CW38)*CX38</f>
        <v>0</v>
      </c>
      <c r="DH38" s="43" t="n">
        <f aca="false">((H38-X38)*W38+(H38-Z38)*Y38+(H38-AB38)*AA38+(H38-AD38)*AC38+(H38-AF38)*AE38+(H38-AH38)*AG38+(H38-AJ38)*AI38+(H38-AL38)*AK38+(H38-AN38)*AM38+(H38-AP38)*AO38+(H38-AR38)*AQ38+(H38-AT38)*AS38+(H38-AV38)*AU38+(H38-AX38)*AW38+(H38-AZ38)*AY38+(H38-BB38)*BA38+(H38-BD38)*BC38+(H38-BF38)*BE38+(H38-BH38)*BG38+(H38-BJ38)*BI38)*DD38*DE38</f>
        <v>0</v>
      </c>
      <c r="DI38" s="43" t="n">
        <f aca="false">(((H38-BL38)*BK38+(H38-BN38)*BM38+(H38-BP38)*BO38+(H38-BR38)*BQ38+(H38-BT38)*BS38+(H38-BV38)*BU38+(H38-BX38)*BW38+(H38-BZ38)*BY38+(H38-CB38)*CA38+(H38-CD38)*CC38+(H38-CF38)*CE38+(H38-CH38)*CG38+(H38-CJ38)*CH38+(H38-CL38)*CK38+(H38-CN38)*CM38+(H38-CP38)*CO38+(H38-CR38)*CQ38+(H38-CT38)*CS38+(H38-CV38)*CU38+(H38-CX38)*CW38)*DD38*DE38)</f>
        <v>0</v>
      </c>
      <c r="DJ38" s="21" t="n">
        <v>0</v>
      </c>
      <c r="DK38" s="85" t="n">
        <v>37161</v>
      </c>
      <c r="DL38" s="21" t="n">
        <v>-249.10986328125</v>
      </c>
      <c r="DM38" s="21" t="n">
        <f aca="false">[3]NYZoneA!$L29</f>
        <v>-3985.7578125</v>
      </c>
      <c r="DN38" s="21" t="n">
        <f aca="false">IF(AND(WEEKDAY(DK38)&gt;1,WEEKDAY(DK38)&lt;7),1,0)</f>
        <v>1</v>
      </c>
    </row>
    <row r="39" customFormat="false" ht="18.75" hidden="false" customHeight="false" outlineLevel="0" collapsed="false">
      <c r="A39" s="58" t="n">
        <f aca="false">[4]NYZoneA!$D30</f>
        <v>37162</v>
      </c>
      <c r="B39" s="59" t="n">
        <f aca="false">+([3]NYZoneA!$L30+[3]NYZoneD!$L30)/16</f>
        <v>-249.10986328125</v>
      </c>
      <c r="C39" s="101" t="n">
        <f aca="false">CY39</f>
        <v>0</v>
      </c>
      <c r="D39" s="87" t="n">
        <f aca="false">(IF(MONTH(A39)=MONTH(EOMONTH(TradeDate,1)),$AN$70,0)*VLOOKUP(A39,$DK$12:$DN$43,4))</f>
        <v>0</v>
      </c>
      <c r="E39" s="62" t="n">
        <f aca="false">SUM(B39:D39)</f>
        <v>-249.10986328125</v>
      </c>
      <c r="F39" s="63" t="n">
        <f aca="false">+[3]NYZoneA!$C30</f>
        <v>34</v>
      </c>
      <c r="G39" s="88" t="n">
        <f aca="false">IF($Q$9,Q39,P39)</f>
        <v>0.5</v>
      </c>
      <c r="H39" s="89" t="n">
        <f aca="false">F39+G39</f>
        <v>34.5</v>
      </c>
      <c r="I39" s="87" t="n">
        <f aca="false">B39*G39*DD39</f>
        <v>-1992.87890625</v>
      </c>
      <c r="J39" s="66" t="n">
        <f aca="false">DH39+DI39</f>
        <v>0</v>
      </c>
      <c r="K39" s="90" t="n">
        <f aca="false">I39+J39</f>
        <v>-1992.87890625</v>
      </c>
      <c r="L39" s="24"/>
      <c r="M39" s="67" t="n">
        <f aca="false">A39</f>
        <v>37162</v>
      </c>
      <c r="N39" s="68" t="n">
        <v>34.5</v>
      </c>
      <c r="O39" s="68" t="n">
        <v>34.5</v>
      </c>
      <c r="P39" s="69" t="n">
        <f aca="false">AVERAGE(N39:O39)-F39</f>
        <v>0.5</v>
      </c>
      <c r="Q39" s="70"/>
      <c r="R39" s="91" t="n">
        <f aca="false">H39</f>
        <v>34.5</v>
      </c>
      <c r="S39" s="24"/>
      <c r="T39" s="24"/>
      <c r="U39" s="72"/>
      <c r="V39" s="73" t="n">
        <f aca="false">A39</f>
        <v>37162</v>
      </c>
      <c r="W39" s="77"/>
      <c r="X39" s="76"/>
      <c r="Y39" s="74"/>
      <c r="Z39" s="75"/>
      <c r="AA39" s="77"/>
      <c r="AB39" s="78"/>
      <c r="AC39" s="77"/>
      <c r="AD39" s="78"/>
      <c r="AE39" s="77"/>
      <c r="AF39" s="78"/>
      <c r="AG39" s="77"/>
      <c r="AH39" s="78"/>
      <c r="AI39" s="77"/>
      <c r="AJ39" s="78"/>
      <c r="AK39" s="77"/>
      <c r="AL39" s="78"/>
      <c r="AM39" s="77"/>
      <c r="AN39" s="78"/>
      <c r="AO39" s="77"/>
      <c r="AP39" s="78"/>
      <c r="AQ39" s="77"/>
      <c r="AR39" s="78"/>
      <c r="AS39" s="74"/>
      <c r="AT39" s="75"/>
      <c r="AU39" s="94"/>
      <c r="AV39" s="95"/>
      <c r="AW39" s="94"/>
      <c r="AX39" s="95"/>
      <c r="AY39" s="81"/>
      <c r="AZ39" s="75"/>
      <c r="BA39" s="81"/>
      <c r="BB39" s="75"/>
      <c r="BC39" s="96"/>
      <c r="BD39" s="75"/>
      <c r="BE39" s="81"/>
      <c r="BF39" s="75"/>
      <c r="BG39" s="96"/>
      <c r="BH39" s="75"/>
      <c r="BI39" s="81"/>
      <c r="BJ39" s="75"/>
      <c r="BK39" s="81"/>
      <c r="BL39" s="75"/>
      <c r="BM39" s="81"/>
      <c r="BN39" s="75"/>
      <c r="BO39" s="81"/>
      <c r="BP39" s="75"/>
      <c r="BQ39" s="81"/>
      <c r="BR39" s="75"/>
      <c r="BS39" s="81"/>
      <c r="BT39" s="75"/>
      <c r="BU39" s="81"/>
      <c r="BV39" s="75"/>
      <c r="BW39" s="81"/>
      <c r="BX39" s="75"/>
      <c r="BY39" s="81"/>
      <c r="BZ39" s="75"/>
      <c r="CA39" s="81"/>
      <c r="CB39" s="75"/>
      <c r="CC39" s="81"/>
      <c r="CD39" s="75"/>
      <c r="CE39" s="81"/>
      <c r="CF39" s="75"/>
      <c r="CG39" s="81"/>
      <c r="CH39" s="75"/>
      <c r="CI39" s="81"/>
      <c r="CJ39" s="75"/>
      <c r="CK39" s="81"/>
      <c r="CL39" s="75"/>
      <c r="CM39" s="81"/>
      <c r="CN39" s="75"/>
      <c r="CO39" s="81"/>
      <c r="CP39" s="75"/>
      <c r="CQ39" s="81"/>
      <c r="CR39" s="75"/>
      <c r="CS39" s="81"/>
      <c r="CT39" s="75"/>
      <c r="CU39" s="81"/>
      <c r="CV39" s="75"/>
      <c r="CW39" s="81"/>
      <c r="CX39" s="75"/>
      <c r="CY39" s="82" t="n">
        <f aca="false">W39+Y39+AA39+AC39+AE39+AG39+AI39+AK39+AM39+AO39+AQ39+AS39+AU39+AW39+AY39+BA39+BC39+BE39+BG39+BI39+BK39+BM39+BO39+BQ39+BS39+BU39+BW39+BY39+CA39+CC39+CE39+CG39+CI39+CK39+CM39+CO39+CQ39+CS39+CU39+CW39</f>
        <v>0</v>
      </c>
      <c r="CZ39" s="83" t="n">
        <f aca="false">IF(AND(CY39=0,DC39=0),0,(DF39+DG39)/DC39)</f>
        <v>0</v>
      </c>
      <c r="DA39" s="84" t="n">
        <f aca="false">DC39*DD39</f>
        <v>0</v>
      </c>
      <c r="DB39" s="85" t="n">
        <f aca="false">V39</f>
        <v>37162</v>
      </c>
      <c r="DC39" s="84" t="n">
        <f aca="false">ABS(W39)+ABS(Y39)+ABS(AA39)+ABS(AC39)+ABS(AE39)+ABS(AG39)+ABS(AI39)+ABS(AK39)+ABS(AM39)+ABS(AO39)+ABS(AQ39)+ABS(AS39)+ABS(AU39)+ABS(AW39)+ABS(AY39)+ABS(BA39)+ABS(BC39)+ABS(BE39)+ABS(BG39)+ABS(BI39)+ABS(BK39)+ABS(BM39)+ABS(BO39)+ABS(BQ39)+ABS(BS39)+ABS(BU39)+ABS(BW39)+ABS(BY39)+ABS(CA39)+ABS(CC39)+ABS(CE39)+ABS(CG39)+ABS(CI39)+ABS(CK39)+ABS(CM39)+ABS(CO39)+ABS(CQ39)+ABS(CS39)+ABS(CU39)+ABS(CW39)</f>
        <v>0</v>
      </c>
      <c r="DD39" s="86" t="n">
        <v>16</v>
      </c>
      <c r="DE39" s="84" t="n">
        <v>1</v>
      </c>
      <c r="DF39" s="43" t="n">
        <f aca="false">(ABS(W39)*X39+ABS(Y39)*Z39+ABS(AA39)*AB39+ABS(AC39)*AD39+ABS(AE39)*AF39+ABS(AG39)*AH39+ABS(AI39)*AJ39+ABS(AK39)*AL39+ABS(AM39)*AN39+ABS(AO39)*AP39+ABS(AQ39)*AR39+ABS(AS39)*AT39+ABS(AU39)*AV39+ABS(AW39)*AX39+ABS(AY39)*AZ39+ABS(BA39)*BB39+ABS(BC39)*BD39+ABS(BE39)*BF39+ABS(BG39)*BH39+ABS(BI39)*BJ39)</f>
        <v>0</v>
      </c>
      <c r="DG39" s="43" t="n">
        <f aca="false">ABS(BK39)*BL39+ABS(BM39)*BN39+ABS(BO39)*BP39+ABS(BQ39)*BR39+ABS(BS39)*BT39+ABS(BU39)*BV39+ABS(BW39)*BX39+ABS(BY39)*BZ39+ABS(CA39)*CB39+ABS(CC39)*CD39+ABS(CE39)*CF39+ABS(CG39)*CH39+ABS(CI39)*CJ39+ABS(CK39)*CL39+ABS(CM39)*CN39+ABS(CO39)*CP39+ABS(CQ39)*CR39+ABS(CS39)*CT39+ABS(CU39)*CV39+ABS(CW39)*CX39</f>
        <v>0</v>
      </c>
      <c r="DH39" s="43" t="n">
        <f aca="false">((H39-X39)*W39+(H39-Z39)*Y39+(H39-AB39)*AA39+(H39-AD39)*AC39+(H39-AF39)*AE39+(H39-AH39)*AG39+(H39-AJ39)*AI39+(H39-AL39)*AK39+(H39-AN39)*AM39+(H39-AP39)*AO39+(H39-AR39)*AQ39+(H39-AT39)*AS39+(H39-AV39)*AU39+(H39-AX39)*AW39+(H39-AZ39)*AY39+(H39-BB39)*BA39+(H39-BD39)*BC39+(H39-BF39)*BE39+(H39-BH39)*BG39+(H39-BJ39)*BI39)*DD39*DE39</f>
        <v>0</v>
      </c>
      <c r="DI39" s="43" t="n">
        <f aca="false">(((H39-BL39)*BK39+(H39-BN39)*BM39+(H39-BP39)*BO39+(H39-BR39)*BQ39+(H39-BT39)*BS39+(H39-BV39)*BU39+(H39-BX39)*BW39+(H39-BZ39)*BY39+(H39-CB39)*CA39+(H39-CD39)*CC39+(H39-CF39)*CE39+(H39-CH39)*CG39+(H39-CJ39)*CH39+(H39-CL39)*CK39+(H39-CN39)*CM39+(H39-CP39)*CO39+(H39-CR39)*CQ39+(H39-CT39)*CS39+(H39-CV39)*CU39+(H39-CX39)*CW39)*DD39*DE39)</f>
        <v>0</v>
      </c>
      <c r="DJ39" s="21" t="n">
        <v>0</v>
      </c>
      <c r="DK39" s="85" t="n">
        <v>37162</v>
      </c>
      <c r="DL39" s="21" t="n">
        <v>-249.10986328125</v>
      </c>
      <c r="DM39" s="21" t="n">
        <f aca="false">[3]NYZoneA!$L30</f>
        <v>-3985.7578125</v>
      </c>
      <c r="DN39" s="21" t="n">
        <f aca="false">IF(AND(WEEKDAY(DK39)&gt;1,WEEKDAY(DK39)&lt;7),1,0)</f>
        <v>1</v>
      </c>
    </row>
    <row r="40" customFormat="false" ht="18.75" hidden="false" customHeight="false" outlineLevel="0" collapsed="false">
      <c r="A40" s="58" t="n">
        <f aca="false">[4]NYZoneA!$D31</f>
        <v>37163</v>
      </c>
      <c r="B40" s="59" t="n">
        <f aca="false">+([3]NYZoneA!$L31+[3]NYZoneD!$L31)/16</f>
        <v>0</v>
      </c>
      <c r="C40" s="60" t="n">
        <f aca="false">CY40</f>
        <v>0</v>
      </c>
      <c r="D40" s="61" t="n">
        <f aca="false">(IF(MONTH(A40)=MONTH(EOMONTH(TradeDate,1)),$AN$70,0)*VLOOKUP(A40,$DK$12:$DN$43,4))</f>
        <v>0</v>
      </c>
      <c r="E40" s="62" t="n">
        <f aca="false">SUM(B40:D40)</f>
        <v>0</v>
      </c>
      <c r="F40" s="63" t="n">
        <f aca="false">+[3]NYZoneA!$C31</f>
        <v>33</v>
      </c>
      <c r="G40" s="63" t="n">
        <f aca="false">IF($Q$9,Q40,P40)</f>
        <v>0</v>
      </c>
      <c r="H40" s="64" t="n">
        <f aca="false">F40+G40</f>
        <v>33</v>
      </c>
      <c r="I40" s="65" t="n">
        <f aca="false">B40*G40*DD40</f>
        <v>0</v>
      </c>
      <c r="J40" s="66" t="n">
        <f aca="false">DH40+DI40</f>
        <v>0</v>
      </c>
      <c r="K40" s="66" t="n">
        <f aca="false">I40+J40</f>
        <v>0</v>
      </c>
      <c r="L40" s="24"/>
      <c r="M40" s="102" t="n">
        <f aca="false">A40</f>
        <v>37163</v>
      </c>
      <c r="N40" s="68" t="n">
        <v>33</v>
      </c>
      <c r="O40" s="68" t="n">
        <v>33</v>
      </c>
      <c r="P40" s="103" t="n">
        <f aca="false">AVERAGE(N40:O40)-F40</f>
        <v>0</v>
      </c>
      <c r="Q40" s="70"/>
      <c r="R40" s="91" t="n">
        <f aca="false">H40</f>
        <v>33</v>
      </c>
      <c r="S40" s="24"/>
      <c r="T40" s="24"/>
      <c r="U40" s="72"/>
      <c r="V40" s="73" t="n">
        <f aca="false">A40</f>
        <v>37163</v>
      </c>
      <c r="W40" s="77"/>
      <c r="X40" s="76"/>
      <c r="Y40" s="74"/>
      <c r="Z40" s="75"/>
      <c r="AA40" s="77"/>
      <c r="AB40" s="78"/>
      <c r="AC40" s="77"/>
      <c r="AD40" s="78"/>
      <c r="AE40" s="77"/>
      <c r="AF40" s="78"/>
      <c r="AG40" s="77"/>
      <c r="AH40" s="78"/>
      <c r="AI40" s="77"/>
      <c r="AJ40" s="78"/>
      <c r="AK40" s="77"/>
      <c r="AL40" s="78"/>
      <c r="AM40" s="77"/>
      <c r="AN40" s="78"/>
      <c r="AO40" s="77"/>
      <c r="AP40" s="78"/>
      <c r="AQ40" s="77"/>
      <c r="AR40" s="78"/>
      <c r="AS40" s="74"/>
      <c r="AT40" s="75"/>
      <c r="AU40" s="94"/>
      <c r="AV40" s="95"/>
      <c r="AW40" s="94"/>
      <c r="AX40" s="95"/>
      <c r="AY40" s="81"/>
      <c r="AZ40" s="75"/>
      <c r="BA40" s="81"/>
      <c r="BB40" s="75"/>
      <c r="BC40" s="96"/>
      <c r="BD40" s="75"/>
      <c r="BE40" s="81"/>
      <c r="BF40" s="75"/>
      <c r="BG40" s="96"/>
      <c r="BH40" s="75"/>
      <c r="BI40" s="81"/>
      <c r="BJ40" s="75"/>
      <c r="BK40" s="81"/>
      <c r="BL40" s="75"/>
      <c r="BM40" s="81"/>
      <c r="BN40" s="75"/>
      <c r="BO40" s="81"/>
      <c r="BP40" s="75"/>
      <c r="BQ40" s="81"/>
      <c r="BR40" s="75"/>
      <c r="BS40" s="81"/>
      <c r="BT40" s="75"/>
      <c r="BU40" s="81"/>
      <c r="BV40" s="75"/>
      <c r="BW40" s="81"/>
      <c r="BX40" s="75"/>
      <c r="BY40" s="81"/>
      <c r="BZ40" s="75"/>
      <c r="CA40" s="81"/>
      <c r="CB40" s="75"/>
      <c r="CC40" s="81"/>
      <c r="CD40" s="75"/>
      <c r="CE40" s="81"/>
      <c r="CF40" s="75"/>
      <c r="CG40" s="81"/>
      <c r="CH40" s="75"/>
      <c r="CI40" s="81"/>
      <c r="CJ40" s="75"/>
      <c r="CK40" s="81"/>
      <c r="CL40" s="75"/>
      <c r="CM40" s="81"/>
      <c r="CN40" s="75"/>
      <c r="CO40" s="81"/>
      <c r="CP40" s="75"/>
      <c r="CQ40" s="81"/>
      <c r="CR40" s="75"/>
      <c r="CS40" s="81"/>
      <c r="CT40" s="75"/>
      <c r="CU40" s="81"/>
      <c r="CV40" s="75"/>
      <c r="CW40" s="81"/>
      <c r="CX40" s="75"/>
      <c r="CY40" s="82" t="n">
        <f aca="false">W40+Y40+AA40+AC40+AE40+AG40+AI40+AK40+AM40+AO40+AQ40+AS40+AU40+AW40+AY40+BA40+BC40+BE40+BG40+BI40+BK40+BM40+BO40+BQ40+BS40+BU40+BW40+BY40+CA40+CC40+CE40+CG40+CI40+CK40+CM40+CO40+CQ40+CS40+CU40+CW40</f>
        <v>0</v>
      </c>
      <c r="CZ40" s="83" t="n">
        <f aca="false">IF(AND(CY40=0,DC40=0),0,(DF40+DG40)/DC40)</f>
        <v>0</v>
      </c>
      <c r="DA40" s="84" t="n">
        <f aca="false">DC40*DD40</f>
        <v>0</v>
      </c>
      <c r="DB40" s="85" t="n">
        <f aca="false">V40</f>
        <v>37163</v>
      </c>
      <c r="DC40" s="84" t="n">
        <f aca="false">ABS(W40)+ABS(Y40)+ABS(AA40)+ABS(AC40)+ABS(AE40)+ABS(AG40)+ABS(AI40)+ABS(AK40)+ABS(AM40)+ABS(AO40)+ABS(AQ40)+ABS(AS40)+ABS(AU40)+ABS(AW40)+ABS(AY40)+ABS(BA40)+ABS(BC40)+ABS(BE40)+ABS(BG40)+ABS(BI40)+ABS(BK40)+ABS(BM40)+ABS(BO40)+ABS(BQ40)+ABS(BS40)+ABS(BU40)+ABS(BW40)+ABS(BY40)+ABS(CA40)+ABS(CC40)+ABS(CE40)+ABS(CG40)+ABS(CI40)+ABS(CK40)+ABS(CM40)+ABS(CO40)+ABS(CQ40)+ABS(CS40)+ABS(CU40)+ABS(CW40)</f>
        <v>0</v>
      </c>
      <c r="DD40" s="86" t="n">
        <v>16</v>
      </c>
      <c r="DE40" s="84" t="n">
        <v>1</v>
      </c>
      <c r="DF40" s="43" t="n">
        <f aca="false">(ABS(W40)*X40+ABS(Y40)*Z40+ABS(AA40)*AB40+ABS(AC40)*AD40+ABS(AE40)*AF40+ABS(AG40)*AH40+ABS(AI40)*AJ40+ABS(AK40)*AL40+ABS(AM40)*AN40+ABS(AO40)*AP40+ABS(AQ40)*AR40+ABS(AS40)*AT40+ABS(AU40)*AV40+ABS(AW40)*AX40+ABS(AY40)*AZ40+ABS(BA40)*BB40+ABS(BC40)*BD40+ABS(BE40)*BF40+ABS(BG40)*BH40+ABS(BI40)*BJ40)</f>
        <v>0</v>
      </c>
      <c r="DG40" s="43" t="n">
        <f aca="false">ABS(BK40)*BL40+ABS(BM40)*BN40+ABS(BO40)*BP40+ABS(BQ40)*BR40+ABS(BS40)*BT40+ABS(BU40)*BV40+ABS(BW40)*BX40+ABS(BY40)*BZ40+ABS(CA40)*CB40+ABS(CC40)*CD40+ABS(CE40)*CF40+ABS(CG40)*CH40+ABS(CI40)*CJ40+ABS(CK40)*CL40+ABS(CM40)*CN40+ABS(CO40)*CP40+ABS(CQ40)*CR40+ABS(CS40)*CT40+ABS(CU40)*CV40+ABS(CW40)*CX40</f>
        <v>0</v>
      </c>
      <c r="DH40" s="43" t="n">
        <f aca="false">((H40-X40)*W40+(H40-Z40)*Y40+(H40-AB40)*AA40+(H40-AD40)*AC40+(H40-AF40)*AE40+(H40-AH40)*AG40+(H40-AJ40)*AI40+(H40-AL40)*AK40+(H40-AN40)*AM40+(H40-AP40)*AO40+(H40-AR40)*AQ40+(H40-AT40)*AS40+(H40-AV40)*AU40+(H40-AX40)*AW40+(H40-AZ40)*AY40+(H40-BB40)*BA40+(H40-BD40)*BC40+(H40-BF40)*BE40+(H40-BH40)*BG40+(H40-BJ40)*BI40)*DD40*DE40</f>
        <v>0</v>
      </c>
      <c r="DI40" s="43" t="n">
        <f aca="false">(((H40-BL40)*BK40+(H40-BN40)*BM40+(H40-BP40)*BO40+(H40-BR40)*BQ40+(H40-BT40)*BS40+(H40-BV40)*BU40+(H40-BX40)*BW40+(H40-BZ40)*BY40+(H40-CB40)*CA40+(H40-CD40)*CC40+(H40-CF40)*CE40+(H40-CH40)*CG40+(H40-CJ40)*CH40+(H40-CL40)*CK40+(H40-CN40)*CM40+(H40-CP40)*CO40+(H40-CR40)*CQ40+(H40-CT40)*CS40+(H40-CV40)*CU40+(H40-CX40)*CW40)*DD40*DE40)</f>
        <v>0</v>
      </c>
      <c r="DJ40" s="21" t="n">
        <v>0</v>
      </c>
      <c r="DK40" s="85" t="n">
        <v>37163</v>
      </c>
      <c r="DL40" s="21" t="n">
        <v>0</v>
      </c>
      <c r="DM40" s="21" t="n">
        <f aca="false">[3]NYZoneA!$L31</f>
        <v>0</v>
      </c>
      <c r="DN40" s="21" t="n">
        <f aca="false">IF(AND(WEEKDAY(DK40)&gt;1,WEEKDAY(DK40)&lt;7),1,0)</f>
        <v>0</v>
      </c>
    </row>
    <row r="41" customFormat="false" ht="18.75" hidden="false" customHeight="false" outlineLevel="0" collapsed="false">
      <c r="A41" s="58" t="n">
        <f aca="false">[4]NYZoneA!$D32</f>
        <v>37164</v>
      </c>
      <c r="B41" s="59" t="n">
        <f aca="false">+([3]NYZoneA!$L32+[3]NYZoneD!$L32)/16</f>
        <v>0</v>
      </c>
      <c r="C41" s="101" t="n">
        <f aca="false">CY41</f>
        <v>0</v>
      </c>
      <c r="D41" s="87" t="n">
        <f aca="false">(IF(MONTH(A41)=MONTH(EOMONTH(TradeDate,1)),$AN$70,0)*VLOOKUP(A41,$DK$12:$DN$43,4))</f>
        <v>0</v>
      </c>
      <c r="E41" s="62" t="n">
        <f aca="false">SUM(B41:D41)</f>
        <v>0</v>
      </c>
      <c r="F41" s="63" t="n">
        <f aca="false">+[3]NYZoneA!$C32</f>
        <v>33</v>
      </c>
      <c r="G41" s="88" t="n">
        <f aca="false">IF($Q$9,Q41,P41)</f>
        <v>0</v>
      </c>
      <c r="H41" s="89" t="n">
        <f aca="false">F41+G41</f>
        <v>33</v>
      </c>
      <c r="I41" s="87" t="n">
        <f aca="false">B41*G41*DD41</f>
        <v>0</v>
      </c>
      <c r="J41" s="66" t="n">
        <f aca="false">DH41+DI41</f>
        <v>0</v>
      </c>
      <c r="K41" s="90" t="n">
        <f aca="false">I41+J41</f>
        <v>0</v>
      </c>
      <c r="L41" s="24"/>
      <c r="M41" s="67" t="n">
        <f aca="false">A41</f>
        <v>37164</v>
      </c>
      <c r="N41" s="68" t="n">
        <v>33</v>
      </c>
      <c r="O41" s="68" t="n">
        <v>33</v>
      </c>
      <c r="P41" s="69" t="n">
        <f aca="false">AVERAGE(N41:O41)-F41</f>
        <v>0</v>
      </c>
      <c r="Q41" s="70"/>
      <c r="R41" s="91" t="n">
        <f aca="false">H41</f>
        <v>33</v>
      </c>
      <c r="S41" s="24"/>
      <c r="T41" s="24"/>
      <c r="U41" s="72"/>
      <c r="V41" s="73" t="n">
        <f aca="false">A41</f>
        <v>37164</v>
      </c>
      <c r="W41" s="77"/>
      <c r="X41" s="76"/>
      <c r="Y41" s="74"/>
      <c r="Z41" s="75"/>
      <c r="AA41" s="77"/>
      <c r="AB41" s="78"/>
      <c r="AC41" s="77"/>
      <c r="AD41" s="78"/>
      <c r="AE41" s="77"/>
      <c r="AF41" s="78"/>
      <c r="AG41" s="77"/>
      <c r="AH41" s="78"/>
      <c r="AI41" s="77"/>
      <c r="AJ41" s="78"/>
      <c r="AK41" s="77"/>
      <c r="AL41" s="78"/>
      <c r="AM41" s="77"/>
      <c r="AN41" s="78"/>
      <c r="AO41" s="77"/>
      <c r="AP41" s="78"/>
      <c r="AQ41" s="77"/>
      <c r="AR41" s="78"/>
      <c r="AS41" s="77"/>
      <c r="AT41" s="78"/>
      <c r="AU41" s="94"/>
      <c r="AV41" s="95"/>
      <c r="AW41" s="94"/>
      <c r="AX41" s="95"/>
      <c r="AY41" s="81"/>
      <c r="AZ41" s="75"/>
      <c r="BA41" s="81"/>
      <c r="BB41" s="75"/>
      <c r="BC41" s="81"/>
      <c r="BD41" s="75"/>
      <c r="BE41" s="81"/>
      <c r="BF41" s="75"/>
      <c r="BG41" s="81"/>
      <c r="BH41" s="75"/>
      <c r="BI41" s="81"/>
      <c r="BJ41" s="75"/>
      <c r="BK41" s="81"/>
      <c r="BL41" s="75"/>
      <c r="BM41" s="81"/>
      <c r="BN41" s="75"/>
      <c r="BO41" s="81"/>
      <c r="BP41" s="75"/>
      <c r="BQ41" s="81"/>
      <c r="BR41" s="75"/>
      <c r="BS41" s="81"/>
      <c r="BT41" s="75"/>
      <c r="BU41" s="81"/>
      <c r="BV41" s="75"/>
      <c r="BW41" s="81"/>
      <c r="BX41" s="75"/>
      <c r="BY41" s="81"/>
      <c r="BZ41" s="75"/>
      <c r="CA41" s="81"/>
      <c r="CB41" s="75"/>
      <c r="CC41" s="81"/>
      <c r="CD41" s="75"/>
      <c r="CE41" s="81"/>
      <c r="CF41" s="75"/>
      <c r="CG41" s="81"/>
      <c r="CH41" s="75"/>
      <c r="CI41" s="81"/>
      <c r="CJ41" s="75"/>
      <c r="CK41" s="81"/>
      <c r="CL41" s="75"/>
      <c r="CM41" s="81"/>
      <c r="CN41" s="75"/>
      <c r="CO41" s="81"/>
      <c r="CP41" s="75"/>
      <c r="CQ41" s="81"/>
      <c r="CR41" s="75"/>
      <c r="CS41" s="81"/>
      <c r="CT41" s="75"/>
      <c r="CU41" s="81"/>
      <c r="CV41" s="75"/>
      <c r="CW41" s="81"/>
      <c r="CX41" s="75"/>
      <c r="CY41" s="82" t="n">
        <f aca="false">W41+Y41+AA41+AC41+AE41+AG41+AI41+AK41+AM41+AO41+AQ41+AS41+AU41+AW41+AY41+BA41+BC41+BE41+BG41+BI41+BK41+BM41+BO41+BQ41+BS41+BU41+BW41+BY41+CA41+CC41+CE41+CG41+CI41+CK41+CM41+CO41+CQ41+CS41+CU41+CW41</f>
        <v>0</v>
      </c>
      <c r="CZ41" s="83" t="n">
        <f aca="false">IF(AND(CY41=0,DC41=0),0,(DF41+DG41)/DC41)</f>
        <v>0</v>
      </c>
      <c r="DA41" s="84" t="n">
        <f aca="false">DC41*DD41</f>
        <v>0</v>
      </c>
      <c r="DB41" s="85" t="n">
        <f aca="false">V41</f>
        <v>37164</v>
      </c>
      <c r="DC41" s="84" t="n">
        <f aca="false">ABS(W41)+ABS(Y41)+ABS(AA41)+ABS(AC41)+ABS(AE41)+ABS(AG41)+ABS(AI41)+ABS(AK41)+ABS(AM41)+ABS(AO41)+ABS(AQ41)+ABS(AS41)+ABS(AU41)+ABS(AW41)+ABS(AY41)+ABS(BA41)+ABS(BC41)+ABS(BE41)+ABS(BG41)+ABS(BI41)+ABS(BK41)+ABS(BM41)+ABS(BO41)+ABS(BQ41)+ABS(BS41)+ABS(BU41)+ABS(BW41)+ABS(BY41)+ABS(CA41)+ABS(CC41)+ABS(CE41)+ABS(CG41)+ABS(CI41)+ABS(CK41)+ABS(CM41)+ABS(CO41)+ABS(CQ41)+ABS(CS41)+ABS(CU41)+ABS(CW41)</f>
        <v>0</v>
      </c>
      <c r="DD41" s="86" t="n">
        <v>16</v>
      </c>
      <c r="DE41" s="84" t="n">
        <v>1</v>
      </c>
      <c r="DF41" s="43" t="n">
        <f aca="false">(ABS(W41)*X41+ABS(Y41)*Z41+ABS(AA41)*AB41+ABS(AC41)*AD41+ABS(AE41)*AF41+ABS(AG41)*AH41+ABS(AI41)*AJ41+ABS(AK41)*AL41+ABS(AM41)*AN41+ABS(AO41)*AP41+ABS(AQ41)*AR41+ABS(AS41)*AT41+ABS(AU41)*AV41+ABS(AW41)*AX41+ABS(AY41)*AZ41+ABS(BA41)*BB41+ABS(BC41)*BD41+ABS(BE41)*BF41+ABS(BG41)*BH41+ABS(BI41)*BJ41)</f>
        <v>0</v>
      </c>
      <c r="DG41" s="43" t="n">
        <f aca="false">ABS(BK41)*BL41+ABS(BM41)*BN41+ABS(BO41)*BP41+ABS(BQ41)*BR41+ABS(BS41)*BT41+ABS(BU41)*BV41+ABS(BW41)*BX41+ABS(BY41)*BZ41+ABS(CA41)*CB41+ABS(CC41)*CD41+ABS(CE41)*CF41+ABS(CG41)*CH41+ABS(CI41)*CJ41+ABS(CK41)*CL41+ABS(CM41)*CN41+ABS(CO41)*CP41+ABS(CQ41)*CR41+ABS(CS41)*CT41+ABS(CU41)*CV41+ABS(CW41)*CX41</f>
        <v>0</v>
      </c>
      <c r="DH41" s="43" t="n">
        <f aca="false">((H41-X41)*W41+(H41-Z41)*Y41+(H41-AB41)*AA41+(H41-AD41)*AC41+(H41-AF41)*AE41+(H41-AH41)*AG41+(H41-AJ41)*AI41+(H41-AL41)*AK41+(H41-AN41)*AM41+(H41-AP41)*AO41+(H41-AR41)*AQ41+(H41-AT41)*AS41+(H41-AV41)*AU41+(H41-AX41)*AW41+(H41-AZ41)*AY41+(H41-BB41)*BA41+(H41-BD41)*BC41+(H41-BF41)*BE41+(H41-BH41)*BG41+(H41-BJ41)*BI41)*DD41*DE41</f>
        <v>0</v>
      </c>
      <c r="DI41" s="43" t="n">
        <f aca="false">(((H41-BL41)*BK41+(H41-BN41)*BM41+(H41-BP41)*BO41+(H41-BR41)*BQ41+(H41-BT41)*BS41+(H41-BV41)*BU41+(H41-BX41)*BW41+(H41-BZ41)*BY41+(H41-CB41)*CA41+(H41-CD41)*CC41+(H41-CF41)*CE41+(H41-CH41)*CG41+(H41-CJ41)*CH41+(H41-CL41)*CK41+(H41-CN41)*CM41+(H41-CP41)*CO41+(H41-CR41)*CQ41+(H41-CT41)*CS41+(H41-CV41)*CU41+(H41-CX41)*CW41)*DD41*DE41)</f>
        <v>0</v>
      </c>
      <c r="DJ41" s="21" t="n">
        <v>0</v>
      </c>
      <c r="DK41" s="85" t="n">
        <v>37164</v>
      </c>
      <c r="DL41" s="21" t="n">
        <v>0</v>
      </c>
      <c r="DM41" s="21" t="n">
        <f aca="false">[3]NYZoneA!$L32</f>
        <v>0</v>
      </c>
      <c r="DN41" s="21" t="n">
        <f aca="false">IF(AND(WEEKDAY(DK41)&gt;1,WEEKDAY(DK41)&lt;7),1,0)</f>
        <v>0</v>
      </c>
    </row>
    <row r="42" customFormat="false" ht="18.75" hidden="false" customHeight="false" outlineLevel="0" collapsed="false">
      <c r="A42" s="58" t="n">
        <f aca="false">[4]NYZoneA!$D33</f>
        <v>37165</v>
      </c>
      <c r="B42" s="59" t="n">
        <f aca="false">+([3]NYZoneA!$L33+[3]NYZoneD!$L33)/16</f>
        <v>-4569.0625</v>
      </c>
      <c r="C42" s="60" t="n">
        <f aca="false">CY42</f>
        <v>0</v>
      </c>
      <c r="D42" s="61" t="n">
        <f aca="false">(IF(MONTH(A42)=MONTH(EOMONTH(TradeDate,1)),$AN$70,0)*VLOOKUP(A42,$DK$12:$DN$43,4))</f>
        <v>0</v>
      </c>
      <c r="E42" s="62" t="n">
        <f aca="false">SUM(B42:D42)</f>
        <v>-4569.0625</v>
      </c>
      <c r="F42" s="63" t="n">
        <f aca="false">+[3]NYZoneA!$C33</f>
        <v>34.25</v>
      </c>
      <c r="G42" s="63" t="n">
        <f aca="false">IF($Q$9,Q42,P42)</f>
        <v>0.75</v>
      </c>
      <c r="H42" s="64" t="n">
        <f aca="false">F42+G42</f>
        <v>35</v>
      </c>
      <c r="I42" s="65" t="n">
        <f aca="false">B42*G42*DD42</f>
        <v>-54828.75</v>
      </c>
      <c r="J42" s="66" t="n">
        <f aca="false">DH42+DI42</f>
        <v>0</v>
      </c>
      <c r="K42" s="66" t="n">
        <f aca="false">I42+J42</f>
        <v>-54828.75</v>
      </c>
      <c r="L42" s="24"/>
      <c r="M42" s="102" t="n">
        <f aca="false">A42</f>
        <v>37165</v>
      </c>
      <c r="N42" s="68" t="n">
        <v>35</v>
      </c>
      <c r="O42" s="68" t="n">
        <v>35</v>
      </c>
      <c r="P42" s="103" t="n">
        <f aca="false">AVERAGE(N42:O42)-F42</f>
        <v>0.75</v>
      </c>
      <c r="Q42" s="70"/>
      <c r="R42" s="91" t="n">
        <f aca="false">H42</f>
        <v>35</v>
      </c>
      <c r="S42" s="24"/>
      <c r="T42" s="24"/>
      <c r="U42" s="72"/>
      <c r="V42" s="73" t="n">
        <f aca="false">A42</f>
        <v>37165</v>
      </c>
      <c r="W42" s="77"/>
      <c r="X42" s="76"/>
      <c r="Y42" s="74"/>
      <c r="Z42" s="75"/>
      <c r="AA42" s="77"/>
      <c r="AB42" s="78"/>
      <c r="AC42" s="77"/>
      <c r="AD42" s="78"/>
      <c r="AE42" s="77"/>
      <c r="AF42" s="78"/>
      <c r="AG42" s="77"/>
      <c r="AH42" s="78"/>
      <c r="AI42" s="77"/>
      <c r="AJ42" s="78"/>
      <c r="AK42" s="77"/>
      <c r="AL42" s="78"/>
      <c r="AM42" s="77"/>
      <c r="AN42" s="78"/>
      <c r="AO42" s="77"/>
      <c r="AP42" s="78"/>
      <c r="AQ42" s="77"/>
      <c r="AR42" s="78"/>
      <c r="AS42" s="77"/>
      <c r="AT42" s="78"/>
      <c r="AU42" s="94"/>
      <c r="AV42" s="95"/>
      <c r="AW42" s="94"/>
      <c r="AX42" s="95"/>
      <c r="AY42" s="81"/>
      <c r="AZ42" s="75"/>
      <c r="BA42" s="81"/>
      <c r="BB42" s="75"/>
      <c r="BC42" s="81"/>
      <c r="BD42" s="75"/>
      <c r="BE42" s="81"/>
      <c r="BF42" s="75"/>
      <c r="BG42" s="81"/>
      <c r="BH42" s="75"/>
      <c r="BI42" s="81"/>
      <c r="BJ42" s="75"/>
      <c r="BK42" s="81"/>
      <c r="BL42" s="75"/>
      <c r="BM42" s="81"/>
      <c r="BN42" s="75"/>
      <c r="BO42" s="81"/>
      <c r="BP42" s="75"/>
      <c r="BQ42" s="81"/>
      <c r="BR42" s="75"/>
      <c r="BS42" s="81"/>
      <c r="BT42" s="75"/>
      <c r="BU42" s="81"/>
      <c r="BV42" s="75"/>
      <c r="BW42" s="81"/>
      <c r="BX42" s="75"/>
      <c r="BY42" s="81"/>
      <c r="BZ42" s="75"/>
      <c r="CA42" s="81"/>
      <c r="CB42" s="75"/>
      <c r="CC42" s="81"/>
      <c r="CD42" s="75"/>
      <c r="CE42" s="81"/>
      <c r="CF42" s="75"/>
      <c r="CG42" s="81"/>
      <c r="CH42" s="75"/>
      <c r="CI42" s="81"/>
      <c r="CJ42" s="75"/>
      <c r="CK42" s="81"/>
      <c r="CL42" s="75"/>
      <c r="CM42" s="81"/>
      <c r="CN42" s="75"/>
      <c r="CO42" s="81"/>
      <c r="CP42" s="75"/>
      <c r="CQ42" s="81"/>
      <c r="CR42" s="75"/>
      <c r="CS42" s="81"/>
      <c r="CT42" s="75"/>
      <c r="CU42" s="81"/>
      <c r="CV42" s="75"/>
      <c r="CW42" s="81"/>
      <c r="CX42" s="75"/>
      <c r="CY42" s="82" t="n">
        <f aca="false">W42+Y42+AA42+AC42+AE42+AG42+AI42+AK42+AM42+AO42+AQ42+AS42+AU42+AW42+AY42+BA42+BC42+BE42+BG42+BI42+BK42+BM42+BO42+BQ42+BS42+BU42+BW42+BY42+CA42+CC42+CE42+CG42+CI42+CK42+CM42+CO42+CQ42+CS42+CU42+CW42</f>
        <v>0</v>
      </c>
      <c r="CZ42" s="83" t="n">
        <f aca="false">IF(AND(CY42=0,DC42=0),0,(DF42+DG42)/DC42)</f>
        <v>0</v>
      </c>
      <c r="DA42" s="84" t="n">
        <f aca="false">DC42*DD42</f>
        <v>0</v>
      </c>
      <c r="DB42" s="85" t="n">
        <f aca="false">V42</f>
        <v>37165</v>
      </c>
      <c r="DC42" s="84" t="n">
        <f aca="false">ABS(W42)+ABS(Y42)+ABS(AA42)+ABS(AC42)+ABS(AE42)+ABS(AG42)+ABS(AI42)+ABS(AK42)+ABS(AM42)+ABS(AO42)+ABS(AQ42)+ABS(AS42)+ABS(AU42)+ABS(AW42)+ABS(AY42)+ABS(BA42)+ABS(BC42)+ABS(BE42)+ABS(BG42)+ABS(BI42)+ABS(BK42)+ABS(BM42)+ABS(BO42)+ABS(BQ42)+ABS(BS42)+ABS(BU42)+ABS(BW42)+ABS(BY42)+ABS(CA42)+ABS(CC42)+ABS(CE42)+ABS(CG42)+ABS(CI42)+ABS(CK42)+ABS(CM42)+ABS(CO42)+ABS(CQ42)+ABS(CS42)+ABS(CU42)+ABS(CW42)</f>
        <v>0</v>
      </c>
      <c r="DD42" s="86" t="n">
        <v>16</v>
      </c>
      <c r="DE42" s="84" t="n">
        <v>1</v>
      </c>
      <c r="DF42" s="43" t="n">
        <f aca="false">(ABS(W42)*X42+ABS(Y42)*Z42+ABS(AA42)*AB42+ABS(AC42)*AD42+ABS(AE42)*AF42+ABS(AG42)*AH42+ABS(AI42)*AJ42+ABS(AK42)*AL42+ABS(AM42)*AN42+ABS(AO42)*AP42+ABS(AQ42)*AR42+ABS(AS42)*AT42+ABS(AU42)*AV42+ABS(AW42)*AX42+ABS(AY42)*AZ42+ABS(BA42)*BB42+ABS(BC42)*BD42+ABS(BE42)*BF42+ABS(BG42)*BH42+ABS(BI42)*BJ42)</f>
        <v>0</v>
      </c>
      <c r="DG42" s="43" t="n">
        <f aca="false">ABS(BK42)*BL42+ABS(BM42)*BN42+ABS(BO42)*BP42+ABS(BQ42)*BR42+ABS(BS42)*BT42+ABS(BU42)*BV42+ABS(BW42)*BX42+ABS(BY42)*BZ42+ABS(CA42)*CB42+ABS(CC42)*CD42+ABS(CE42)*CF42+ABS(CG42)*CH42+ABS(CI42)*CJ42+ABS(CK42)*CL42+ABS(CM42)*CN42+ABS(CO42)*CP42+ABS(CQ42)*CR42+ABS(CS42)*CT42+ABS(CU42)*CV42+ABS(CW42)*CX42</f>
        <v>0</v>
      </c>
      <c r="DH42" s="43" t="n">
        <f aca="false">((H42-X42)*W42+(H42-Z42)*Y42+(H42-AB42)*AA42+(H42-AD42)*AC42+(H42-AF42)*AE42+(H42-AH42)*AG42+(H42-AJ42)*AI42+(H42-AL42)*AK42+(H42-AN42)*AM42+(H42-AP42)*AO42+(H42-AR42)*AQ42+(H42-AT42)*AS42+(H42-AV42)*AU42+(H42-AX42)*AW42+(H42-AZ42)*AY42+(H42-BB42)*BA42+(H42-BD42)*BC42+(H42-BF42)*BE42+(H42-BH42)*BG42+(H42-BJ42)*BI42)*DD42*DE42</f>
        <v>0</v>
      </c>
      <c r="DI42" s="43" t="n">
        <f aca="false">(((H42-BL42)*BK42+(H42-BN42)*BM42+(H42-BP42)*BO42+(H42-BR42)*BQ42+(H42-BT42)*BS42+(H42-BV42)*BU42+(H42-BX42)*BW42+(H42-BZ42)*BY42+(H42-CB42)*CA42+(H42-CD42)*CC42+(H42-CF42)*CE42+(H42-CH42)*CG42+(H42-CJ42)*CH42+(H42-CL42)*CK42+(H42-CN42)*CM42+(H42-CP42)*CO42+(H42-CR42)*CQ42+(H42-CT42)*CS42+(H42-CV42)*CU42+(H42-CX42)*CW42)*DD42*DE42)</f>
        <v>0</v>
      </c>
      <c r="DJ42" s="21" t="n">
        <v>0</v>
      </c>
      <c r="DK42" s="85" t="n">
        <v>37165</v>
      </c>
      <c r="DL42" s="21" t="n">
        <v>-9169.0625</v>
      </c>
      <c r="DM42" s="21" t="n">
        <f aca="false">[3]NYZoneA!$L33</f>
        <v>-73105</v>
      </c>
      <c r="DN42" s="21" t="n">
        <f aca="false">IF(AND(WEEKDAY(DK42)&gt;1,WEEKDAY(DK42)&lt;7),1,0)</f>
        <v>1</v>
      </c>
      <c r="DS42" s="24"/>
      <c r="DT42" s="24"/>
    </row>
    <row r="43" customFormat="false" ht="19.5" hidden="false" customHeight="false" outlineLevel="0" collapsed="false">
      <c r="A43" s="58" t="n">
        <f aca="false">[4]NYZoneA!$D34</f>
        <v>37195</v>
      </c>
      <c r="B43" s="104" t="n">
        <f aca="false">+([3]NYZoneA!$L34+[3]NYZoneD!$L34)</f>
        <v>0</v>
      </c>
      <c r="C43" s="101" t="n">
        <f aca="false">CY43</f>
        <v>0</v>
      </c>
      <c r="D43" s="87" t="n">
        <f aca="false">(IF(MONTH(A43)=MONTH(EOMONTH(TradeDate,1)),$AN$70,0)*VLOOKUP(A43,$DK$12:$DN$43,4))</f>
        <v>0</v>
      </c>
      <c r="E43" s="105" t="n">
        <f aca="false">B43+C43+D43</f>
        <v>0</v>
      </c>
      <c r="F43" s="63" t="n">
        <f aca="false">+[3]NYZoneA!$C34</f>
        <v>34.25</v>
      </c>
      <c r="G43" s="88" t="n">
        <f aca="false">IF($Q$9,Q43,P43)</f>
        <v>0.75</v>
      </c>
      <c r="H43" s="89" t="n">
        <f aca="false">F43+G43</f>
        <v>35</v>
      </c>
      <c r="I43" s="87" t="n">
        <f aca="false">B43*G43</f>
        <v>0</v>
      </c>
      <c r="J43" s="90" t="n">
        <f aca="false">DH43+DI43</f>
        <v>0</v>
      </c>
      <c r="K43" s="90" t="n">
        <f aca="false">I43+J43</f>
        <v>0</v>
      </c>
      <c r="L43" s="106"/>
      <c r="M43" s="102" t="n">
        <f aca="false">A43</f>
        <v>37195</v>
      </c>
      <c r="N43" s="107" t="n">
        <v>35</v>
      </c>
      <c r="O43" s="107" t="n">
        <v>35</v>
      </c>
      <c r="P43" s="103" t="n">
        <f aca="false">AVERAGE(N43:O43)-F43</f>
        <v>0.75</v>
      </c>
      <c r="Q43" s="70"/>
      <c r="R43" s="91" t="n">
        <f aca="false">H43</f>
        <v>35</v>
      </c>
      <c r="S43" s="24"/>
      <c r="T43" s="24"/>
      <c r="U43" s="72"/>
      <c r="V43" s="67" t="n">
        <f aca="false">A43</f>
        <v>37195</v>
      </c>
      <c r="W43" s="108"/>
      <c r="X43" s="109"/>
      <c r="Y43" s="108"/>
      <c r="Z43" s="109"/>
      <c r="AA43" s="108"/>
      <c r="AB43" s="110"/>
      <c r="AC43" s="77"/>
      <c r="AD43" s="78"/>
      <c r="AE43" s="77"/>
      <c r="AF43" s="78"/>
      <c r="AG43" s="77"/>
      <c r="AH43" s="78"/>
      <c r="AI43" s="108"/>
      <c r="AJ43" s="110"/>
      <c r="AK43" s="108"/>
      <c r="AL43" s="110"/>
      <c r="AM43" s="77"/>
      <c r="AN43" s="78"/>
      <c r="AO43" s="77"/>
      <c r="AP43" s="78"/>
      <c r="AQ43" s="77"/>
      <c r="AR43" s="78"/>
      <c r="AS43" s="108"/>
      <c r="AT43" s="78"/>
      <c r="AU43" s="111"/>
      <c r="AV43" s="112"/>
      <c r="AW43" s="111"/>
      <c r="AX43" s="112"/>
      <c r="AY43" s="113"/>
      <c r="AZ43" s="114"/>
      <c r="BA43" s="113"/>
      <c r="BB43" s="114"/>
      <c r="BC43" s="113"/>
      <c r="BD43" s="114"/>
      <c r="BE43" s="113"/>
      <c r="BF43" s="114"/>
      <c r="BG43" s="113"/>
      <c r="BH43" s="114"/>
      <c r="BI43" s="113"/>
      <c r="BJ43" s="114"/>
      <c r="BK43" s="113"/>
      <c r="BL43" s="114"/>
      <c r="BM43" s="113"/>
      <c r="BN43" s="114"/>
      <c r="BO43" s="113"/>
      <c r="BP43" s="114"/>
      <c r="BQ43" s="113"/>
      <c r="BR43" s="114"/>
      <c r="BS43" s="113"/>
      <c r="BT43" s="114"/>
      <c r="BU43" s="113"/>
      <c r="BV43" s="114"/>
      <c r="BW43" s="113"/>
      <c r="BX43" s="114"/>
      <c r="BY43" s="113"/>
      <c r="BZ43" s="114"/>
      <c r="CA43" s="113"/>
      <c r="CB43" s="114"/>
      <c r="CC43" s="113"/>
      <c r="CD43" s="114"/>
      <c r="CE43" s="113"/>
      <c r="CF43" s="114"/>
      <c r="CG43" s="113"/>
      <c r="CH43" s="114"/>
      <c r="CI43" s="113"/>
      <c r="CJ43" s="114"/>
      <c r="CK43" s="113"/>
      <c r="CL43" s="114"/>
      <c r="CM43" s="113"/>
      <c r="CN43" s="114"/>
      <c r="CO43" s="113"/>
      <c r="CP43" s="114"/>
      <c r="CQ43" s="113"/>
      <c r="CR43" s="114"/>
      <c r="CS43" s="113"/>
      <c r="CT43" s="114"/>
      <c r="CU43" s="113"/>
      <c r="CV43" s="114"/>
      <c r="CW43" s="113"/>
      <c r="CX43" s="114"/>
      <c r="CY43" s="115" t="n">
        <f aca="false">W43+Y43+AA43+AC43+AE43+AG43+AI43+AK43+AM43+AO43+AQ43+AS43+AU43+AW43+AY43+BA43+BC43+BE43+BG43+BI43+BK43+BM43+BO43+BQ43+BS43+BU43+BW43+BY43+CA43+CC43+CE43+CG43+CI43+CK43+CM43+CO43+CQ43+CS43+CU43+CW43</f>
        <v>0</v>
      </c>
      <c r="CZ43" s="116" t="n">
        <f aca="false">IF(AND(CY43=0,DC43=0),0,(DF43+DG43)/DC43)</f>
        <v>0</v>
      </c>
      <c r="DA43" s="84" t="n">
        <f aca="false">DC43*DD43</f>
        <v>0</v>
      </c>
      <c r="DB43" s="85" t="n">
        <f aca="false">V43</f>
        <v>37195</v>
      </c>
      <c r="DC43" s="84" t="n">
        <f aca="false">ABS(W43)+ABS(Y43)+ABS(AA43)+ABS(AC43)+ABS(AE43)+ABS(AG43)+ABS(AI43)+ABS(AK43)+ABS(AM43)+ABS(AO43)+ABS(AQ43)+ABS(AS43)+ABS(AU43)+ABS(AW43)+ABS(AY43)+ABS(BA43)+ABS(BC43)+ABS(BE43)+ABS(BG43)+ABS(BI43)+ABS(BK43)+ABS(BM43)+ABS(BO43)+ABS(BQ43)+ABS(BS43)+ABS(BU43)+ABS(BW43)+ABS(BY43)+ABS(CA43)+ABS(CC43)+ABS(CE43)+ABS(CG43)+ABS(CI43)+ABS(CK43)+ABS(CM43)+ABS(CO43)+ABS(CQ43)+ABS(CS43)+ABS(CU43)+ABS(CW43)</f>
        <v>0</v>
      </c>
      <c r="DD43" s="86" t="n">
        <v>16</v>
      </c>
      <c r="DE43" s="84" t="n">
        <v>1</v>
      </c>
      <c r="DF43" s="43" t="n">
        <f aca="false">(ABS(W43)*X43+ABS(Y43)*Z43+ABS(AA43)*AB43+ABS(AC43)*AD43+ABS(AE43)*AF43+ABS(AG43)*AH43+ABS(AI43)*AJ43+ABS(AK43)*AL43+ABS(AM43)*AN43+ABS(AO43)*AP43+ABS(AQ43)*AR43+ABS(AS43)*AT43+ABS(AU43)*AV43+ABS(AW43)*AX43+ABS(AY43)*AZ43+ABS(BA43)*BB43+ABS(BC43)*BD43+ABS(BE43)*BF43+ABS(BG43)*BH43+ABS(BI43)*BJ43)</f>
        <v>0</v>
      </c>
      <c r="DG43" s="43" t="n">
        <f aca="false">ABS(BK43)*BL43+ABS(BM43)*BN43+ABS(BO43)*BP43+ABS(BQ43)*BR43+ABS(BS43)*BT43+ABS(BU43)*BV43+ABS(BW43)*BX43+ABS(BY43)*BZ43+ABS(CA43)*CB43+ABS(CC43)*CD43+ABS(CE43)*CF43+ABS(CG43)*CH43+ABS(CI43)*CJ43+ABS(CK43)*CL43+ABS(CM43)*CN43+ABS(CO43)*CP43+ABS(CQ43)*CR43+ABS(CS43)*CT43+ABS(CU43)*CV43+ABS(CW43)*CX43</f>
        <v>0</v>
      </c>
      <c r="DH43" s="43" t="n">
        <f aca="false">((H43-X43)*W43+(H43-Z43)*Y43+(H43-AB43)*AA43+(H43-AD43)*AC43+(H43-AF43)*AE43+(H43-AH43)*AG43+(H43-AJ43)*AI43+(H43-AL43)*AK43+(H43-AN43)*AM43+(H43-AP43)*AO43+(H43-AR43)*AQ43+(H43-AT43)*AS43+(H43-AV43)*AU43+(H43-AX43)*AW43+(H43-AZ43)*AY43+(H43-BB43)*BA43+(H43-BD43)*BC43+(H43-BF43)*BE43+(H43-BH43)*BG43+(H43-BJ43)*BI43)*DD43*DE43</f>
        <v>0</v>
      </c>
      <c r="DI43" s="43" t="n">
        <f aca="false">(((H43-BL43)*BK43+(H43-BN43)*BM43+(H43-BP43)*BO43+(H43-BR43)*BQ43+(H43-BT43)*BS43+(H43-BV43)*BU43+(H43-BX43)*BW43+(H43-BZ43)*BY43+(H43-CB43)*CA43+(H43-CD43)*CC43+(H43-CF43)*CE43+(H43-CH43)*CG43+(H43-CJ43)*CH43+(H43-CL43)*CK43+(H43-CN43)*CM43+(H43-CP43)*CO43+(H43-CR43)*CQ43+(H43-CT43)*CS43+(H43-CV43)*CU43+(H43-CX43)*CW43)*DD43*DE43)</f>
        <v>0</v>
      </c>
      <c r="DJ43" s="21" t="n">
        <v>0</v>
      </c>
      <c r="DK43" s="85" t="n">
        <v>37195</v>
      </c>
      <c r="DL43" s="21" t="n">
        <v>0</v>
      </c>
      <c r="DM43" s="21" t="n">
        <f aca="false">[3]NYZoneA!$L34</f>
        <v>0</v>
      </c>
      <c r="DN43" s="21" t="n">
        <v>1</v>
      </c>
      <c r="DR43" s="117" t="s">
        <v>79</v>
      </c>
      <c r="DS43" s="24"/>
      <c r="DT43" s="24"/>
    </row>
    <row r="44" customFormat="false" ht="18.75" hidden="false" customHeight="false" outlineLevel="0" collapsed="false">
      <c r="A44" s="118" t="n">
        <f aca="false">[4]NYZoneA!$D35</f>
        <v>37196</v>
      </c>
      <c r="B44" s="119" t="n">
        <f aca="false">+[3]NYZoneA!$L35/16/DR44</f>
        <v>-198.097958519345</v>
      </c>
      <c r="C44" s="120" t="n">
        <f aca="false">CY44</f>
        <v>0</v>
      </c>
      <c r="D44" s="121" t="n">
        <f aca="false">(IF(MONTH(A44)=MONTH(EOMONTH(TradeDate,1)),$AN$70,0)*VLOOKUP(A44,$DK$12:$DN$43,4))</f>
        <v>0</v>
      </c>
      <c r="E44" s="122" t="n">
        <f aca="false">B44+C44+D44</f>
        <v>-198.097958519345</v>
      </c>
      <c r="F44" s="123" t="n">
        <f aca="false">+[3]NYZoneA!$C35</f>
        <v>34.25</v>
      </c>
      <c r="G44" s="124" t="n">
        <f aca="false">IF($Q$9,Q44,P44)</f>
        <v>0.75</v>
      </c>
      <c r="H44" s="125" t="n">
        <f aca="false">F44+G44</f>
        <v>35</v>
      </c>
      <c r="I44" s="126" t="n">
        <f aca="false">B44*G44*DD44*DR44</f>
        <v>-49920.685546875</v>
      </c>
      <c r="J44" s="127" t="n">
        <f aca="false">DH44+DI44</f>
        <v>0</v>
      </c>
      <c r="K44" s="126" t="n">
        <f aca="false">I44+J44</f>
        <v>-49920.685546875</v>
      </c>
      <c r="L44" s="24"/>
      <c r="M44" s="128" t="n">
        <f aca="false">A44</f>
        <v>37196</v>
      </c>
      <c r="N44" s="92" t="n">
        <v>35</v>
      </c>
      <c r="O44" s="92" t="n">
        <v>35</v>
      </c>
      <c r="P44" s="129" t="n">
        <f aca="false">AVERAGE(N44:O44)-F44</f>
        <v>0.75</v>
      </c>
      <c r="Q44" s="130"/>
      <c r="R44" s="71" t="n">
        <f aca="false">H44</f>
        <v>35</v>
      </c>
      <c r="S44" s="24"/>
      <c r="T44" s="24"/>
      <c r="U44" s="131"/>
      <c r="V44" s="132" t="n">
        <f aca="false">A44</f>
        <v>37196</v>
      </c>
      <c r="W44" s="133"/>
      <c r="X44" s="134"/>
      <c r="Y44" s="133"/>
      <c r="Z44" s="135"/>
      <c r="AA44" s="133"/>
      <c r="AB44" s="135"/>
      <c r="AC44" s="133"/>
      <c r="AD44" s="136"/>
      <c r="AE44" s="133"/>
      <c r="AF44" s="136"/>
      <c r="AG44" s="133"/>
      <c r="AH44" s="136"/>
      <c r="AI44" s="133"/>
      <c r="AJ44" s="136"/>
      <c r="AK44" s="137"/>
      <c r="AL44" s="136"/>
      <c r="AM44" s="137"/>
      <c r="AN44" s="136"/>
      <c r="AO44" s="137"/>
      <c r="AP44" s="136"/>
      <c r="AQ44" s="137"/>
      <c r="AR44" s="136"/>
      <c r="AS44" s="137"/>
      <c r="AT44" s="138"/>
      <c r="AU44" s="139"/>
      <c r="AV44" s="140"/>
      <c r="AW44" s="141"/>
      <c r="AX44" s="142"/>
      <c r="AY44" s="143"/>
      <c r="AZ44" s="142"/>
      <c r="BA44" s="143"/>
      <c r="BB44" s="142"/>
      <c r="BC44" s="143"/>
      <c r="BD44" s="142"/>
      <c r="BE44" s="143"/>
      <c r="BF44" s="142"/>
      <c r="BG44" s="143"/>
      <c r="BH44" s="142"/>
      <c r="BI44" s="143"/>
      <c r="BJ44" s="142"/>
      <c r="BK44" s="143"/>
      <c r="BL44" s="142"/>
      <c r="BM44" s="143"/>
      <c r="BN44" s="142"/>
      <c r="BO44" s="143"/>
      <c r="BP44" s="142"/>
      <c r="BQ44" s="143"/>
      <c r="BR44" s="142"/>
      <c r="BS44" s="143"/>
      <c r="BT44" s="142"/>
      <c r="BU44" s="143"/>
      <c r="BV44" s="142"/>
      <c r="BW44" s="143"/>
      <c r="BX44" s="142"/>
      <c r="BY44" s="143"/>
      <c r="BZ44" s="142"/>
      <c r="CA44" s="143"/>
      <c r="CB44" s="142"/>
      <c r="CC44" s="143"/>
      <c r="CD44" s="142"/>
      <c r="CE44" s="143"/>
      <c r="CF44" s="142"/>
      <c r="CG44" s="143"/>
      <c r="CH44" s="142"/>
      <c r="CI44" s="143"/>
      <c r="CJ44" s="142"/>
      <c r="CK44" s="143"/>
      <c r="CL44" s="142"/>
      <c r="CM44" s="143"/>
      <c r="CN44" s="142"/>
      <c r="CO44" s="143"/>
      <c r="CP44" s="142"/>
      <c r="CQ44" s="143"/>
      <c r="CR44" s="142"/>
      <c r="CS44" s="143"/>
      <c r="CT44" s="142"/>
      <c r="CU44" s="143"/>
      <c r="CV44" s="142"/>
      <c r="CW44" s="143"/>
      <c r="CX44" s="142"/>
      <c r="CY44" s="144" t="n">
        <f aca="false">W44+Y44+AA44+AC44+AE44+AG44+AI44+AK44+AM44+AO44+AQ44+AS44+AU44+AW44+AY44+BA44+BC44+BE44+BG44+BI44+BK44+BM44+BO44+BQ44+BS44+BU44+BW44+BY44+CA44+CC44+CE44+CG44+CI44+CK44+CM44+CO44+CQ44+CS44+CU44+CW44</f>
        <v>0</v>
      </c>
      <c r="CZ44" s="145" t="n">
        <f aca="false">IF(AND(CY44=0,DC44=0),0,(DF44+DG44)/DC44)</f>
        <v>0</v>
      </c>
      <c r="DA44" s="84" t="n">
        <f aca="false">DC44*DD44</f>
        <v>0</v>
      </c>
      <c r="DB44" s="85" t="n">
        <f aca="false">V44</f>
        <v>37196</v>
      </c>
      <c r="DC44" s="84" t="n">
        <f aca="false">ABS(W44)+ABS(Y44)+ABS(AA44)+ABS(AC44)+ABS(AE44)+ABS(AG44)+ABS(AI44)+ABS(AK44)+ABS(AM44)+ABS(AO44)+ABS(AQ44)+ABS(AS44)+ABS(AU44)+ABS(AW44)+ABS(AY44)+ABS(BA44)+ABS(BC44)+ABS(BE44)+ABS(BG44)+ABS(BI44)+ABS(BK44)+ABS(BM44)+ABS(BO44)+ABS(BQ44)+ABS(BS44)+ABS(BU44)+ABS(BW44)+ABS(BY44)+ABS(CA44)+ABS(CC44)+ABS(CE44)+ABS(CG44)+ABS(CI44)+ABS(CK44)+ABS(CM44)+ABS(CO44)+ABS(CQ44)+ABS(CS44)+ABS(CU44)+ABS(CW44)</f>
        <v>0</v>
      </c>
      <c r="DD44" s="86" t="n">
        <v>16</v>
      </c>
      <c r="DE44" s="84" t="n">
        <v>1</v>
      </c>
      <c r="DF44" s="43" t="n">
        <f aca="false">(ABS(W44)*X44+ABS(Y44)*Z44+ABS(AA44)*AB44+ABS(AC44)*AD44+ABS(AE44)*AF44+ABS(AG44)*AH44+ABS(AI44)*AJ44+ABS(AK44)*AL44+ABS(AM44)*AN44+ABS(AO44)*AP44+ABS(AQ44)*AR44+ABS(AS44)*AT44+ABS(AU44)*AV44+ABS(AW44)*AX44+ABS(AY44)*AZ44+ABS(BA44)*BB44+ABS(BC44)*BD44+ABS(BE44)*BF44+ABS(BG44)*BH44+ABS(BI44)*BJ44)</f>
        <v>0</v>
      </c>
      <c r="DG44" s="43" t="n">
        <f aca="false">ABS(BK44)*BL44+ABS(BM44)*BN44+ABS(BO44)*BP44+ABS(BQ44)*BR44+ABS(BS44)*BT44+ABS(BU44)*BV44+ABS(BW44)*BX44+ABS(BY44)*BZ44+ABS(CA44)*CB44+ABS(CC44)*CD44+ABS(CE44)*CF44+ABS(CG44)*CH44+ABS(CI44)*CJ44+ABS(CK44)*CL44+ABS(CM44)*CN44+ABS(CO44)*CP44+ABS(CQ44)*CR44+ABS(CS44)*CT44+ABS(CU44)*CV44+ABS(CW44)*CX44</f>
        <v>0</v>
      </c>
      <c r="DH44" s="43" t="n">
        <f aca="false">(((H44-X44)*W44+(H44-Z44)*Y44+(H44-AB44)*AA44+(H44-AD44)*AC44+(H44-AF44)*AE44+(H44-AH44)*AG44+(H44-AJ44)*AI44+(H44-AL44)*AK44+(H44-AN44)*AM44+(H44-AP44)*AO44+(H44-AR44)*AQ44+(H44-AT44)*AS44+(H44-AV44)*AU44+(H44-AX44)*AW44+(H44-AZ44)*AY44+(H44-BB44)*BA44+(H44-BD44)*BC44+(H44-BF44)*BE44+(H44-BH44)*BG44+(H44-BJ44)*BI44)*DD44*DE44)*$DR44</f>
        <v>0</v>
      </c>
      <c r="DI44" s="43" t="n">
        <f aca="false">(((H44-BL44)*BK44+(H44-BN44)*BM44+(H44-BP44)*BO44+(H44-BR44)*BQ44+(H44-BT44)*BS44+(H44-BV44)*BU44+(H44-BX44)*BW44+(H44-BZ44)*BY44+(H44-CB44)*CA44+(H44-CD44)*CC44+(H44-CF44)*CE44+(H44-CH44)*CG44+(H44-CJ44)*CH44+(H44-CL44)*CK44+(H44-CN44)*CM44+(H44-CP44)*CO44+(H44-CR44)*CQ44+(H44-CT44)*CS44+(H44-CV44)*CU44+(H44-CX44)*CW44)*DD44*DE44)</f>
        <v>0</v>
      </c>
      <c r="DJ44" s="21" t="n">
        <v>0</v>
      </c>
      <c r="DK44" s="85" t="n">
        <v>37196</v>
      </c>
      <c r="DL44" s="21" t="n">
        <v>-398.097958519345</v>
      </c>
      <c r="DM44" s="21" t="n">
        <f aca="false">[3]NYZoneA!$L35</f>
        <v>-66560.9140625</v>
      </c>
      <c r="DN44" s="21" t="n">
        <v>1</v>
      </c>
      <c r="DR44" s="146" t="n">
        <f aca="false">+'NYISO G'!DR44</f>
        <v>21</v>
      </c>
      <c r="DS44" s="24"/>
      <c r="DT44" s="24"/>
    </row>
    <row r="45" customFormat="false" ht="18.75" hidden="false" customHeight="false" outlineLevel="0" collapsed="false">
      <c r="A45" s="147" t="n">
        <f aca="false">[4]NYZoneA!$D36</f>
        <v>37226</v>
      </c>
      <c r="B45" s="119" t="n">
        <f aca="false">+[3]NYZoneA!$L36/16/DR45</f>
        <v>-197.520043945313</v>
      </c>
      <c r="C45" s="148" t="n">
        <f aca="false">CY45</f>
        <v>-200</v>
      </c>
      <c r="D45" s="149" t="n">
        <f aca="false">(IF(MONTH(A45)=MONTH(EOMONTH(TradeDate,1)),$AN$70,0)*VLOOKUP(A45,$DK$12:$DN$43,4))</f>
        <v>0</v>
      </c>
      <c r="E45" s="150" t="n">
        <f aca="false">B45+C45+D45</f>
        <v>-397.520043945313</v>
      </c>
      <c r="F45" s="151" t="n">
        <f aca="false">+[3]NYZoneA!$C36</f>
        <v>34.25</v>
      </c>
      <c r="G45" s="152" t="n">
        <f aca="false">IF($Q$9,Q45,P45)</f>
        <v>0.75</v>
      </c>
      <c r="H45" s="153" t="n">
        <f aca="false">F45+G45</f>
        <v>35</v>
      </c>
      <c r="I45" s="154" t="n">
        <f aca="false">B45*G45*DD45*DR45</f>
        <v>-47404.810546875</v>
      </c>
      <c r="J45" s="155" t="n">
        <f aca="false">DH45+DI45</f>
        <v>8799.99999999996</v>
      </c>
      <c r="K45" s="156" t="n">
        <f aca="false">I45+J45</f>
        <v>-38604.810546875</v>
      </c>
      <c r="L45" s="24"/>
      <c r="M45" s="157" t="n">
        <f aca="false">A45</f>
        <v>37226</v>
      </c>
      <c r="N45" s="92" t="n">
        <v>35</v>
      </c>
      <c r="O45" s="92" t="n">
        <v>35</v>
      </c>
      <c r="P45" s="69" t="n">
        <f aca="false">AVERAGE(N45:O45)-F45</f>
        <v>0.75</v>
      </c>
      <c r="Q45" s="70"/>
      <c r="R45" s="91" t="n">
        <f aca="false">H45</f>
        <v>35</v>
      </c>
      <c r="S45" s="24"/>
      <c r="T45" s="24"/>
      <c r="U45" s="131"/>
      <c r="V45" s="158" t="n">
        <f aca="false">A45</f>
        <v>37226</v>
      </c>
      <c r="W45" s="159" t="n">
        <v>-150</v>
      </c>
      <c r="X45" s="134" t="n">
        <v>35.25</v>
      </c>
      <c r="Y45" s="159" t="n">
        <v>-50</v>
      </c>
      <c r="Z45" s="134" t="n">
        <v>34.8</v>
      </c>
      <c r="AA45" s="159"/>
      <c r="AB45" s="134"/>
      <c r="AC45" s="77"/>
      <c r="AD45" s="78"/>
      <c r="AE45" s="77"/>
      <c r="AF45" s="78"/>
      <c r="AG45" s="77"/>
      <c r="AH45" s="78"/>
      <c r="AI45" s="77"/>
      <c r="AJ45" s="78"/>
      <c r="AK45" s="77"/>
      <c r="AL45" s="78"/>
      <c r="AM45" s="77"/>
      <c r="AN45" s="78"/>
      <c r="AO45" s="77"/>
      <c r="AP45" s="78"/>
      <c r="AQ45" s="77"/>
      <c r="AR45" s="78"/>
      <c r="AS45" s="77"/>
      <c r="AT45" s="160"/>
      <c r="AU45" s="94"/>
      <c r="AV45" s="95"/>
      <c r="AW45" s="96"/>
      <c r="AX45" s="75"/>
      <c r="AY45" s="81"/>
      <c r="AZ45" s="75"/>
      <c r="BA45" s="81"/>
      <c r="BB45" s="75"/>
      <c r="BC45" s="81"/>
      <c r="BD45" s="75"/>
      <c r="BE45" s="81"/>
      <c r="BF45" s="75"/>
      <c r="BG45" s="81"/>
      <c r="BH45" s="75"/>
      <c r="BI45" s="81"/>
      <c r="BJ45" s="75"/>
      <c r="BK45" s="81"/>
      <c r="BL45" s="75"/>
      <c r="BM45" s="81"/>
      <c r="BN45" s="75"/>
      <c r="BO45" s="81"/>
      <c r="BP45" s="75"/>
      <c r="BQ45" s="81"/>
      <c r="BR45" s="75"/>
      <c r="BS45" s="81"/>
      <c r="BT45" s="75"/>
      <c r="BU45" s="81"/>
      <c r="BV45" s="75"/>
      <c r="BW45" s="81"/>
      <c r="BX45" s="75"/>
      <c r="BY45" s="81"/>
      <c r="BZ45" s="75"/>
      <c r="CA45" s="81"/>
      <c r="CB45" s="75"/>
      <c r="CC45" s="81"/>
      <c r="CD45" s="75"/>
      <c r="CE45" s="81"/>
      <c r="CF45" s="75"/>
      <c r="CG45" s="81"/>
      <c r="CH45" s="75"/>
      <c r="CI45" s="81"/>
      <c r="CJ45" s="75"/>
      <c r="CK45" s="81"/>
      <c r="CL45" s="75"/>
      <c r="CM45" s="81"/>
      <c r="CN45" s="75"/>
      <c r="CO45" s="81"/>
      <c r="CP45" s="75"/>
      <c r="CQ45" s="81"/>
      <c r="CR45" s="75"/>
      <c r="CS45" s="81"/>
      <c r="CT45" s="75"/>
      <c r="CU45" s="81"/>
      <c r="CV45" s="75"/>
      <c r="CW45" s="81"/>
      <c r="CX45" s="75"/>
      <c r="CY45" s="82" t="n">
        <f aca="false">W45+Y45+AA45+AC45+AE45+AG45+AI45+AK45+AM45+AO45+AQ45+AS45+AU45+AW45+AY45+BA45+BC45+BE45+BG45+BI45+BK45+BM45+BO45+BQ45+BS45+BU45+BW45+BY45+CA45+CC45+CE45+CG45+CI45+CK45+CM45+CO45+CQ45+CS45+CU45+CW45</f>
        <v>-200</v>
      </c>
      <c r="CZ45" s="83" t="n">
        <f aca="false">IF(AND(CY45=0,DC45=0),0,(DF45+DG45)/DC45)</f>
        <v>35.1375</v>
      </c>
      <c r="DB45" s="85" t="n">
        <f aca="false">V45</f>
        <v>37226</v>
      </c>
      <c r="DC45" s="84" t="n">
        <f aca="false">ABS(W45)+ABS(Y45)+ABS(AA45)+ABS(AC45)+ABS(AE45)+ABS(AG45)+ABS(AI45)+ABS(AK45)+ABS(AM45)+ABS(AO45)+ABS(AQ45)+ABS(AS45)+ABS(AU45)+ABS(AW45)+ABS(AY45)+ABS(BA45)+ABS(BC45)+ABS(BE45)+ABS(BG45)+ABS(BI45)+ABS(BK45)+ABS(BM45)+ABS(BO45)+ABS(BQ45)+ABS(BS45)+ABS(BU45)+ABS(BW45)+ABS(BY45)+ABS(CA45)+ABS(CC45)+ABS(CE45)+ABS(CG45)+ABS(CI45)+ABS(CK45)+ABS(CM45)+ABS(CO45)+ABS(CQ45)+ABS(CS45)+ABS(CU45)+ABS(CW45)</f>
        <v>200</v>
      </c>
      <c r="DD45" s="86" t="n">
        <v>16</v>
      </c>
      <c r="DE45" s="84" t="n">
        <v>1</v>
      </c>
      <c r="DF45" s="43" t="n">
        <f aca="false">(ABS(W45)*X45+ABS(Y45)*Z45+ABS(AA45)*AB45+ABS(AC45)*AD45+ABS(AE45)*AF45+ABS(AG45)*AH45+ABS(AI45)*AJ45+ABS(AK45)*AL45+ABS(AM45)*AN45+ABS(AO45)*AP45+ABS(AQ45)*AR45+ABS(AS45)*AT45+ABS(AU45)*AV45+ABS(AW45)*AX45+ABS(AY45)*AZ45+ABS(BA45)*BB45+ABS(BC45)*BD45+ABS(BE45)*BF45+ABS(BG45)*BH45+ABS(BI45)*BJ45)</f>
        <v>7027.5</v>
      </c>
      <c r="DG45" s="43" t="n">
        <f aca="false">ABS(BK45)*BL45+ABS(BM45)*BN45+ABS(BO45)*BP45+ABS(BQ45)*BR45+ABS(BS45)*BT45+ABS(BU45)*BV45+ABS(BW45)*BX45+ABS(BY45)*BZ45+ABS(CA45)*CB45+ABS(CC45)*CD45+ABS(CE45)*CF45+ABS(CG45)*CH45+ABS(CI45)*CJ45+ABS(CK45)*CL45+ABS(CM45)*CN45+ABS(CO45)*CP45+ABS(CQ45)*CR45+ABS(CS45)*CT45+ABS(CU45)*CV45+ABS(CW45)*CX45</f>
        <v>0</v>
      </c>
      <c r="DH45" s="43" t="n">
        <f aca="false">(((H45-X45)*W45+(H45-Z45)*Y45+(H45-AB45)*AA45+(H45-AD45)*AC45+(H45-AF45)*AE45+(H45-AH45)*AG45+(H45-AJ45)*AI45+(H45-AL45)*AK45+(H45-AN45)*AM45+(H45-AP45)*AO45+(H45-AR45)*AQ45+(H45-AT45)*AS45+(H45-AV45)*AU45+(H45-AX45)*AW45+(H45-AZ45)*AY45+(H45-BB45)*BA45+(H45-BD45)*BC45+(H45-BF45)*BE45+(H45-BH45)*BG45+(H45-BJ45)*BI45)*DD45*DE45)*$DR45</f>
        <v>8799.99999999996</v>
      </c>
      <c r="DI45" s="43" t="n">
        <f aca="false">(((H45-BL45)*BK45+(H45-BN45)*BM45+(H45-BP45)*BO45+(H45-BR45)*BQ45+(H45-BT45)*BS45+(H45-BV45)*BU45+(H45-BX45)*BW45+(H45-BZ45)*BY45+(H45-CB45)*CA45+(H45-CD45)*CC45+(H45-CF45)*CE45+(H45-CH45)*CG45+(H45-CJ45)*CH45+(H45-CL45)*CK45+(H45-CN45)*CM45+(H45-CP45)*CO45+(H45-CR45)*CQ45+(H45-CT45)*CS45+(H45-CV45)*CU45+(H45-CX45)*CW45)*DD45*DE45)</f>
        <v>0</v>
      </c>
      <c r="DJ45" s="21" t="n">
        <v>0</v>
      </c>
      <c r="DK45" s="85" t="n">
        <v>36861</v>
      </c>
      <c r="DL45" s="21" t="n">
        <v>492.384368896484</v>
      </c>
      <c r="DM45" s="21" t="n">
        <f aca="false">[3]NYZoneA!$L36</f>
        <v>-63206.4140625</v>
      </c>
      <c r="DN45" s="21" t="n">
        <v>1</v>
      </c>
      <c r="DR45" s="146" t="n">
        <f aca="false">+'NYISO G'!DR45</f>
        <v>20</v>
      </c>
      <c r="DS45" s="24"/>
      <c r="DT45" s="24"/>
    </row>
    <row r="46" customFormat="false" ht="18.75" hidden="false" customHeight="false" outlineLevel="0" collapsed="false">
      <c r="A46" s="147" t="n">
        <f aca="false">[4]NYZoneA!$D37</f>
        <v>37257</v>
      </c>
      <c r="B46" s="119" t="n">
        <f aca="false">+[3]NYZoneA!$L37/16/DR46</f>
        <v>147.722190163352</v>
      </c>
      <c r="C46" s="148" t="n">
        <f aca="false">CY46</f>
        <v>-50</v>
      </c>
      <c r="D46" s="149" t="n">
        <f aca="false">(IF(MONTH(A46)=MONTH(EOMONTH(TradeDate,1)),$AN$70,0)*VLOOKUP(A46,$DK$12:$DN$43,4))</f>
        <v>0</v>
      </c>
      <c r="E46" s="150" t="n">
        <f aca="false">B46+C46+D46</f>
        <v>97.7221901633523</v>
      </c>
      <c r="F46" s="151" t="n">
        <f aca="false">+[3]NYZoneA!$C37</f>
        <v>38.5</v>
      </c>
      <c r="G46" s="152" t="n">
        <f aca="false">IF($Q$9,Q46,P46)</f>
        <v>0</v>
      </c>
      <c r="H46" s="153" t="n">
        <f aca="false">F46+G46</f>
        <v>38.5</v>
      </c>
      <c r="I46" s="154" t="n">
        <f aca="false">B46*G46*DD46*DR46</f>
        <v>0</v>
      </c>
      <c r="J46" s="155" t="n">
        <f aca="false">DH46+DI46</f>
        <v>-7039.99999999997</v>
      </c>
      <c r="K46" s="156" t="n">
        <f aca="false">I46+J46</f>
        <v>-7039.99999999997</v>
      </c>
      <c r="L46" s="24"/>
      <c r="M46" s="157" t="n">
        <f aca="false">A46</f>
        <v>37257</v>
      </c>
      <c r="N46" s="92" t="n">
        <v>38.5</v>
      </c>
      <c r="O46" s="92" t="n">
        <v>38.5</v>
      </c>
      <c r="P46" s="69" t="n">
        <f aca="false">AVERAGE(N46:O46)-F46</f>
        <v>0</v>
      </c>
      <c r="Q46" s="70"/>
      <c r="R46" s="91" t="n">
        <f aca="false">H46</f>
        <v>38.5</v>
      </c>
      <c r="S46" s="24"/>
      <c r="T46" s="24"/>
      <c r="U46" s="131"/>
      <c r="V46" s="158" t="n">
        <f aca="false">A46</f>
        <v>37257</v>
      </c>
      <c r="W46" s="159" t="n">
        <v>-50</v>
      </c>
      <c r="X46" s="134" t="n">
        <v>38.1</v>
      </c>
      <c r="Y46" s="159"/>
      <c r="Z46" s="134"/>
      <c r="AA46" s="159"/>
      <c r="AB46" s="134"/>
      <c r="AC46" s="77"/>
      <c r="AD46" s="78"/>
      <c r="AE46" s="77"/>
      <c r="AF46" s="78"/>
      <c r="AG46" s="77"/>
      <c r="AH46" s="78"/>
      <c r="AI46" s="77"/>
      <c r="AJ46" s="78"/>
      <c r="AK46" s="77"/>
      <c r="AL46" s="78"/>
      <c r="AM46" s="77"/>
      <c r="AN46" s="78"/>
      <c r="AO46" s="77"/>
      <c r="AP46" s="78"/>
      <c r="AQ46" s="77"/>
      <c r="AR46" s="78"/>
      <c r="AS46" s="77"/>
      <c r="AT46" s="160"/>
      <c r="AU46" s="94"/>
      <c r="AV46" s="95"/>
      <c r="AW46" s="96"/>
      <c r="AX46" s="75"/>
      <c r="AY46" s="81"/>
      <c r="AZ46" s="75"/>
      <c r="BA46" s="81"/>
      <c r="BB46" s="75"/>
      <c r="BC46" s="81"/>
      <c r="BD46" s="75"/>
      <c r="BE46" s="81"/>
      <c r="BF46" s="75"/>
      <c r="BG46" s="81"/>
      <c r="BH46" s="75"/>
      <c r="BI46" s="81"/>
      <c r="BJ46" s="75"/>
      <c r="BK46" s="81"/>
      <c r="BL46" s="75"/>
      <c r="BM46" s="81"/>
      <c r="BN46" s="75"/>
      <c r="BO46" s="81"/>
      <c r="BP46" s="75"/>
      <c r="BQ46" s="81"/>
      <c r="BR46" s="75"/>
      <c r="BS46" s="81"/>
      <c r="BT46" s="75"/>
      <c r="BU46" s="81"/>
      <c r="BV46" s="75"/>
      <c r="BW46" s="81"/>
      <c r="BX46" s="75"/>
      <c r="BY46" s="81"/>
      <c r="BZ46" s="75"/>
      <c r="CA46" s="81"/>
      <c r="CB46" s="75"/>
      <c r="CC46" s="81"/>
      <c r="CD46" s="75"/>
      <c r="CE46" s="81"/>
      <c r="CF46" s="75"/>
      <c r="CG46" s="81"/>
      <c r="CH46" s="75"/>
      <c r="CI46" s="81"/>
      <c r="CJ46" s="75"/>
      <c r="CK46" s="81"/>
      <c r="CL46" s="75"/>
      <c r="CM46" s="81"/>
      <c r="CN46" s="75"/>
      <c r="CO46" s="81"/>
      <c r="CP46" s="75"/>
      <c r="CQ46" s="81"/>
      <c r="CR46" s="75"/>
      <c r="CS46" s="81"/>
      <c r="CT46" s="75"/>
      <c r="CU46" s="81"/>
      <c r="CV46" s="75"/>
      <c r="CW46" s="81"/>
      <c r="CX46" s="75"/>
      <c r="CY46" s="82" t="n">
        <f aca="false">W46+Y46+AA46+AC46+AE46+AG46+AI46+AK46+AM46+AO46+AQ46+AS46+AU46+AW46+AY46+BA46+BC46+BE46+BG46+BI46+BK46+BM46+BO46+BQ46+BS46+BU46+BW46+BY46+CA46+CC46+CE46+CG46+CI46+CK46+CM46+CO46+CQ46+CS46+CU46+CW46</f>
        <v>-50</v>
      </c>
      <c r="CZ46" s="83" t="n">
        <f aca="false">IF(AND(CY46=0,DC46=0),0,(DF46+DG46)/DC46)</f>
        <v>38.1</v>
      </c>
      <c r="DB46" s="85" t="n">
        <f aca="false">V46</f>
        <v>37257</v>
      </c>
      <c r="DC46" s="84" t="n">
        <f aca="false">ABS(W46)+ABS(Y46)+ABS(AA46)+ABS(AC46)+ABS(AE46)+ABS(AG46)+ABS(AI46)+ABS(AK46)+ABS(AM46)+ABS(AO46)+ABS(AQ46)+ABS(AS46)+ABS(AU46)+ABS(AW46)+ABS(AY46)+ABS(BA46)+ABS(BC46)+ABS(BE46)+ABS(BG46)+ABS(BI46)+ABS(BK46)+ABS(BM46)+ABS(BO46)+ABS(BQ46)+ABS(BS46)+ABS(BU46)+ABS(BW46)+ABS(BY46)+ABS(CA46)+ABS(CC46)+ABS(CE46)+ABS(CG46)+ABS(CI46)+ABS(CK46)+ABS(CM46)+ABS(CO46)+ABS(CQ46)+ABS(CS46)+ABS(CU46)+ABS(CW46)</f>
        <v>50</v>
      </c>
      <c r="DD46" s="86" t="n">
        <v>16</v>
      </c>
      <c r="DE46" s="84" t="n">
        <v>1</v>
      </c>
      <c r="DF46" s="43" t="n">
        <f aca="false">(ABS(W46)*X46+ABS(Y46)*Z46+ABS(AA46)*AB46+ABS(AC46)*AD46+ABS(AE46)*AF46+ABS(AG46)*AH46+ABS(AI46)*AJ46+ABS(AK46)*AL46+ABS(AM46)*AN46+ABS(AO46)*AP46+ABS(AQ46)*AR46+ABS(AS46)*AT46+ABS(AU46)*AV46+ABS(AW46)*AX46+ABS(AY46)*AZ46+ABS(BA46)*BB46+ABS(BC46)*BD46+ABS(BE46)*BF46+ABS(BG46)*BH46+ABS(BI46)*BJ46)</f>
        <v>1905</v>
      </c>
      <c r="DG46" s="43" t="n">
        <f aca="false">ABS(BK46)*BL46+ABS(BM46)*BN46+ABS(BO46)*BP46+ABS(BQ46)*BR46+ABS(BS46)*BT46+ABS(BU46)*BV46+ABS(BW46)*BX46+ABS(BY46)*BZ46+ABS(CA46)*CB46+ABS(CC46)*CD46+ABS(CE46)*CF46+ABS(CG46)*CH46+ABS(CI46)*CJ46+ABS(CK46)*CL46+ABS(CM46)*CN46+ABS(CO46)*CP46+ABS(CQ46)*CR46+ABS(CS46)*CT46+ABS(CU46)*CV46+ABS(CW46)*CX46</f>
        <v>0</v>
      </c>
      <c r="DH46" s="43" t="n">
        <f aca="false">(((H46-X46)*W46+(H46-Z46)*Y46+(H46-AB46)*AA46+(H46-AD46)*AC46+(H46-AF46)*AE46+(H46-AH46)*AG46+(H46-AJ46)*AI46+(H46-AL46)*AK46+(H46-AN46)*AM46+(H46-AP46)*AO46+(H46-AR46)*AQ46+(H46-AT46)*AS46+(H46-AV46)*AU46+(H46-AX46)*AW46+(H46-AZ46)*AY46+(H46-BB46)*BA46+(H46-BD46)*BC46+(H46-BF46)*BE46+(H46-BH46)*BG46+(H46-BJ46)*BI46)*DD46*DE46)*$DR46</f>
        <v>-7039.99999999997</v>
      </c>
      <c r="DI46" s="43" t="n">
        <f aca="false">(((H46-BL46)*BK46+(H46-BN46)*BM46+(H46-BP46)*BO46+(H46-BR46)*BQ46+(H46-BT46)*BS46+(H46-BV46)*BU46+(H46-BX46)*BW46+(H46-BZ46)*BY46+(H46-CB46)*CA46+(H46-CD46)*CC46+(H46-CF46)*CE46+(H46-CH46)*CG46+(H46-CJ46)*CH46+(H46-CL46)*CK46+(H46-CN46)*CM46+(H46-CP46)*CO46+(H46-CR46)*CQ46+(H46-CT46)*CS46+(H46-CV46)*CU46+(H46-CX46)*CW46)*DD46*DE46)</f>
        <v>0</v>
      </c>
      <c r="DJ46" s="21" t="n">
        <v>0</v>
      </c>
      <c r="DK46" s="85" t="n">
        <v>36861</v>
      </c>
      <c r="DL46" s="21" t="n">
        <v>492.384368896484</v>
      </c>
      <c r="DM46" s="21" t="n">
        <f aca="false">[3]NYZoneA!$L37</f>
        <v>51998.2109375</v>
      </c>
      <c r="DN46" s="21" t="n">
        <v>1</v>
      </c>
      <c r="DR46" s="146" t="n">
        <f aca="false">+'NYISO G'!DR46</f>
        <v>22</v>
      </c>
    </row>
    <row r="47" customFormat="false" ht="18.75" hidden="false" customHeight="false" outlineLevel="0" collapsed="false">
      <c r="A47" s="147" t="n">
        <f aca="false">[4]NYZoneA!$D38</f>
        <v>37288</v>
      </c>
      <c r="B47" s="119" t="n">
        <f aca="false">+[3]NYZoneA!$L38/16/DR47</f>
        <v>147.333996582031</v>
      </c>
      <c r="C47" s="148" t="n">
        <f aca="false">CY47</f>
        <v>-50</v>
      </c>
      <c r="D47" s="149" t="n">
        <f aca="false">(IF(MONTH(A47)=MONTH(EOMONTH(TradeDate,1)),$AN$70,0)*VLOOKUP(A47,$DK$12:$DN$43,4))</f>
        <v>0</v>
      </c>
      <c r="E47" s="150" t="n">
        <f aca="false">B47+C47+D47</f>
        <v>97.3339965820313</v>
      </c>
      <c r="F47" s="151" t="n">
        <f aca="false">+[3]NYZoneA!$C38</f>
        <v>38.5</v>
      </c>
      <c r="G47" s="152" t="n">
        <f aca="false">IF($Q$9,Q47,P47)</f>
        <v>0</v>
      </c>
      <c r="H47" s="153" t="n">
        <f aca="false">F47+G47</f>
        <v>38.5</v>
      </c>
      <c r="I47" s="154" t="n">
        <f aca="false">B47*G47*DD47*DR47</f>
        <v>0</v>
      </c>
      <c r="J47" s="155" t="n">
        <f aca="false">DH47+DI47</f>
        <v>-6399.99999999998</v>
      </c>
      <c r="K47" s="156" t="n">
        <f aca="false">I47+J47</f>
        <v>-6399.99999999998</v>
      </c>
      <c r="L47" s="24"/>
      <c r="M47" s="157" t="n">
        <f aca="false">A47</f>
        <v>37288</v>
      </c>
      <c r="N47" s="92" t="n">
        <v>38.5</v>
      </c>
      <c r="O47" s="92" t="n">
        <v>38.5</v>
      </c>
      <c r="P47" s="69" t="n">
        <f aca="false">AVERAGE(N47:O47)-F47</f>
        <v>0</v>
      </c>
      <c r="Q47" s="70"/>
      <c r="R47" s="91" t="n">
        <f aca="false">H47</f>
        <v>38.5</v>
      </c>
      <c r="S47" s="24"/>
      <c r="T47" s="24"/>
      <c r="U47" s="131"/>
      <c r="V47" s="158" t="n">
        <f aca="false">A47</f>
        <v>37288</v>
      </c>
      <c r="W47" s="159" t="n">
        <v>-50</v>
      </c>
      <c r="X47" s="134" t="n">
        <v>38.1</v>
      </c>
      <c r="Y47" s="159"/>
      <c r="Z47" s="134"/>
      <c r="AA47" s="159"/>
      <c r="AB47" s="134"/>
      <c r="AC47" s="77"/>
      <c r="AD47" s="78"/>
      <c r="AE47" s="77"/>
      <c r="AF47" s="78"/>
      <c r="AG47" s="77"/>
      <c r="AH47" s="78"/>
      <c r="AI47" s="77"/>
      <c r="AJ47" s="78"/>
      <c r="AK47" s="77"/>
      <c r="AL47" s="78"/>
      <c r="AM47" s="77"/>
      <c r="AN47" s="78"/>
      <c r="AO47" s="77"/>
      <c r="AP47" s="78"/>
      <c r="AQ47" s="77"/>
      <c r="AR47" s="78"/>
      <c r="AS47" s="77"/>
      <c r="AT47" s="160"/>
      <c r="AU47" s="94"/>
      <c r="AV47" s="95"/>
      <c r="AW47" s="96"/>
      <c r="AX47" s="75"/>
      <c r="AY47" s="81"/>
      <c r="AZ47" s="75"/>
      <c r="BA47" s="81"/>
      <c r="BB47" s="75"/>
      <c r="BC47" s="81"/>
      <c r="BD47" s="75"/>
      <c r="BE47" s="81"/>
      <c r="BF47" s="75"/>
      <c r="BG47" s="81"/>
      <c r="BH47" s="75"/>
      <c r="BI47" s="81"/>
      <c r="BJ47" s="75"/>
      <c r="BK47" s="81"/>
      <c r="BL47" s="75"/>
      <c r="BM47" s="81"/>
      <c r="BN47" s="75"/>
      <c r="BO47" s="81"/>
      <c r="BP47" s="75"/>
      <c r="BQ47" s="81"/>
      <c r="BR47" s="75"/>
      <c r="BS47" s="81"/>
      <c r="BT47" s="75"/>
      <c r="BU47" s="81"/>
      <c r="BV47" s="75"/>
      <c r="BW47" s="81"/>
      <c r="BX47" s="75"/>
      <c r="BY47" s="81"/>
      <c r="BZ47" s="75"/>
      <c r="CA47" s="81"/>
      <c r="CB47" s="75"/>
      <c r="CC47" s="81"/>
      <c r="CD47" s="75"/>
      <c r="CE47" s="81"/>
      <c r="CF47" s="75"/>
      <c r="CG47" s="81"/>
      <c r="CH47" s="75"/>
      <c r="CI47" s="81"/>
      <c r="CJ47" s="75"/>
      <c r="CK47" s="81"/>
      <c r="CL47" s="75"/>
      <c r="CM47" s="81"/>
      <c r="CN47" s="75"/>
      <c r="CO47" s="81"/>
      <c r="CP47" s="75"/>
      <c r="CQ47" s="81"/>
      <c r="CR47" s="75"/>
      <c r="CS47" s="81"/>
      <c r="CT47" s="75"/>
      <c r="CU47" s="81"/>
      <c r="CV47" s="75"/>
      <c r="CW47" s="81"/>
      <c r="CX47" s="75"/>
      <c r="CY47" s="82" t="n">
        <f aca="false">W47+Y47+AA47+AC47+AE47+AG47+AI47+AK47+AM47+AO47+AQ47+AS47+AU47+AW47+AY47+BA47+BC47+BE47+BG47+BI47+BK47+BM47+BO47+BQ47+BS47+BU47+BW47+BY47+CA47+CC47+CE47+CG47+CI47+CK47+CM47+CO47+CQ47+CS47+CU47+CW47</f>
        <v>-50</v>
      </c>
      <c r="CZ47" s="83" t="n">
        <f aca="false">IF(AND(CY47=0,DC47=0),0,(DF47+DG47)/DC47)</f>
        <v>38.1</v>
      </c>
      <c r="DB47" s="85" t="n">
        <f aca="false">V47</f>
        <v>37288</v>
      </c>
      <c r="DC47" s="84" t="n">
        <f aca="false">ABS(W47)+ABS(Y47)+ABS(AA47)+ABS(AC47)+ABS(AE47)+ABS(AG47)+ABS(AI47)+ABS(AK47)+ABS(AM47)+ABS(AO47)+ABS(AQ47)+ABS(AS47)+ABS(AU47)+ABS(AW47)+ABS(AY47)+ABS(BA47)+ABS(BC47)+ABS(BE47)+ABS(BG47)+ABS(BI47)+ABS(BK47)+ABS(BM47)+ABS(BO47)+ABS(BQ47)+ABS(BS47)+ABS(BU47)+ABS(BW47)+ABS(BY47)+ABS(CA47)+ABS(CC47)+ABS(CE47)+ABS(CG47)+ABS(CI47)+ABS(CK47)+ABS(CM47)+ABS(CO47)+ABS(CQ47)+ABS(CS47)+ABS(CU47)+ABS(CW47)</f>
        <v>50</v>
      </c>
      <c r="DD47" s="86" t="n">
        <v>16</v>
      </c>
      <c r="DE47" s="84" t="n">
        <v>1</v>
      </c>
      <c r="DF47" s="43" t="n">
        <f aca="false">(ABS(W47)*X47+ABS(Y47)*Z47+ABS(AA47)*AB47+ABS(AC47)*AD47+ABS(AE47)*AF47+ABS(AG47)*AH47+ABS(AI47)*AJ47+ABS(AK47)*AL47+ABS(AM47)*AN47+ABS(AO47)*AP47+ABS(AQ47)*AR47+ABS(AS47)*AT47+ABS(AU47)*AV47+ABS(AW47)*AX47+ABS(AY47)*AZ47+ABS(BA47)*BB47+ABS(BC47)*BD47+ABS(BE47)*BF47+ABS(BG47)*BH47+ABS(BI47)*BJ47)</f>
        <v>1905</v>
      </c>
      <c r="DG47" s="43" t="n">
        <f aca="false">ABS(BK47)*BL47+ABS(BM47)*BN47+ABS(BO47)*BP47+ABS(BQ47)*BR47+ABS(BS47)*BT47+ABS(BU47)*BV47+ABS(BW47)*BX47+ABS(BY47)*BZ47+ABS(CA47)*CB47+ABS(CC47)*CD47+ABS(CE47)*CF47+ABS(CG47)*CH47+ABS(CI47)*CJ47+ABS(CK47)*CL47+ABS(CM47)*CN47+ABS(CO47)*CP47+ABS(CQ47)*CR47+ABS(CS47)*CT47+ABS(CU47)*CV47+ABS(CW47)*CX47</f>
        <v>0</v>
      </c>
      <c r="DH47" s="43" t="n">
        <f aca="false">(((H47-X47)*W47+(H47-Z47)*Y47+(H47-AB47)*AA47+(H47-AD47)*AC47+(H47-AF47)*AE47+(H47-AH47)*AG47+(H47-AJ47)*AI47+(H47-AL47)*AK47+(H47-AN47)*AM47+(H47-AP47)*AO47+(H47-AR47)*AQ47+(H47-AT47)*AS47+(H47-AV47)*AU47+(H47-AX47)*AW47+(H47-AZ47)*AY47+(H47-BB47)*BA47+(H47-BD47)*BC47+(H47-BF47)*BE47+(H47-BH47)*BG47+(H47-BJ47)*BI47)*DD47*DE47)*$DR47</f>
        <v>-6399.99999999998</v>
      </c>
      <c r="DI47" s="43" t="n">
        <f aca="false">(((H47-BL47)*BK47+(H47-BN47)*BM47+(H47-BP47)*BO47+(H47-BR47)*BQ47+(H47-BT47)*BS47+(H47-BV47)*BU47+(H47-BX47)*BW47+(H47-BZ47)*BY47+(H47-CB47)*CA47+(H47-CD47)*CC47+(H47-CF47)*CE47+(H47-CH47)*CG47+(H47-CJ47)*CH47+(H47-CL47)*CK47+(H47-CN47)*CM47+(H47-CP47)*CO47+(H47-CR47)*CQ47+(H47-CT47)*CS47+(H47-CV47)*CU47+(H47-CX47)*CW47)*DD47*DE47)</f>
        <v>0</v>
      </c>
      <c r="DJ47" s="21" t="n">
        <v>0</v>
      </c>
      <c r="DK47" s="85" t="n">
        <v>36861</v>
      </c>
      <c r="DL47" s="21" t="n">
        <v>492.384368896484</v>
      </c>
      <c r="DM47" s="21" t="n">
        <f aca="false">[3]NYZoneA!$L38</f>
        <v>47146.87890625</v>
      </c>
      <c r="DN47" s="21" t="n">
        <v>1</v>
      </c>
      <c r="DR47" s="146" t="n">
        <f aca="false">+'NYISO G'!DR47</f>
        <v>20</v>
      </c>
    </row>
    <row r="48" customFormat="false" ht="18.75" hidden="false" customHeight="false" outlineLevel="0" collapsed="false">
      <c r="A48" s="147" t="n">
        <f aca="false">[4]NYZoneA!$D39</f>
        <v>37316</v>
      </c>
      <c r="B48" s="119" t="n">
        <f aca="false">+[3]NYZoneA!$L39/16/DR48</f>
        <v>48.9765276227679</v>
      </c>
      <c r="C48" s="148" t="n">
        <f aca="false">CY48</f>
        <v>50</v>
      </c>
      <c r="D48" s="149" t="n">
        <f aca="false">(IF(MONTH(A48)=MONTH(EOMONTH(TradeDate,1)),$AN$70,0)*VLOOKUP(A48,$DK$12:$DN$43,4))</f>
        <v>0</v>
      </c>
      <c r="E48" s="150" t="n">
        <f aca="false">B48+C48+D48</f>
        <v>98.9765276227679</v>
      </c>
      <c r="F48" s="151" t="n">
        <f aca="false">+[3]NYZoneA!$C39</f>
        <v>34.5</v>
      </c>
      <c r="G48" s="152" t="n">
        <f aca="false">IF($Q$9,Q48,P48)</f>
        <v>0.25</v>
      </c>
      <c r="H48" s="153" t="n">
        <f aca="false">F48+G48</f>
        <v>34.75</v>
      </c>
      <c r="I48" s="154" t="n">
        <f aca="false">B48*G48*DD48*DR48</f>
        <v>4114.0283203125</v>
      </c>
      <c r="J48" s="155" t="n">
        <f aca="false">DH48+DI48</f>
        <v>18480</v>
      </c>
      <c r="K48" s="156" t="n">
        <f aca="false">I48+J48</f>
        <v>22594.0283203125</v>
      </c>
      <c r="L48" s="24"/>
      <c r="M48" s="157" t="n">
        <f aca="false">A48</f>
        <v>37316</v>
      </c>
      <c r="N48" s="92" t="n">
        <v>34.75</v>
      </c>
      <c r="O48" s="92" t="n">
        <v>34.75</v>
      </c>
      <c r="P48" s="69" t="n">
        <f aca="false">AVERAGE(N48:O48)-F48</f>
        <v>0.25</v>
      </c>
      <c r="Q48" s="70"/>
      <c r="R48" s="91" t="n">
        <f aca="false">H48</f>
        <v>34.75</v>
      </c>
      <c r="S48" s="24"/>
      <c r="T48" s="24"/>
      <c r="U48" s="131"/>
      <c r="V48" s="158" t="n">
        <f aca="false">A48</f>
        <v>37316</v>
      </c>
      <c r="W48" s="159" t="n">
        <v>50</v>
      </c>
      <c r="X48" s="134" t="n">
        <v>33.65</v>
      </c>
      <c r="Y48" s="159"/>
      <c r="Z48" s="134"/>
      <c r="AA48" s="159"/>
      <c r="AB48" s="134"/>
      <c r="AC48" s="77"/>
      <c r="AD48" s="78"/>
      <c r="AE48" s="77"/>
      <c r="AF48" s="78"/>
      <c r="AG48" s="77"/>
      <c r="AH48" s="78"/>
      <c r="AI48" s="77"/>
      <c r="AJ48" s="78"/>
      <c r="AK48" s="77"/>
      <c r="AL48" s="78"/>
      <c r="AM48" s="77"/>
      <c r="AN48" s="78"/>
      <c r="AO48" s="77"/>
      <c r="AP48" s="78"/>
      <c r="AQ48" s="77"/>
      <c r="AR48" s="78"/>
      <c r="AS48" s="77"/>
      <c r="AT48" s="160"/>
      <c r="AU48" s="94"/>
      <c r="AV48" s="95"/>
      <c r="AW48" s="96"/>
      <c r="AX48" s="75"/>
      <c r="AY48" s="81"/>
      <c r="AZ48" s="75"/>
      <c r="BA48" s="81"/>
      <c r="BB48" s="75"/>
      <c r="BC48" s="81"/>
      <c r="BD48" s="75"/>
      <c r="BE48" s="81"/>
      <c r="BF48" s="75"/>
      <c r="BG48" s="81"/>
      <c r="BH48" s="75"/>
      <c r="BI48" s="81"/>
      <c r="BJ48" s="75"/>
      <c r="BK48" s="81"/>
      <c r="BL48" s="75"/>
      <c r="BM48" s="81"/>
      <c r="BN48" s="75"/>
      <c r="BO48" s="81"/>
      <c r="BP48" s="75"/>
      <c r="BQ48" s="81"/>
      <c r="BR48" s="75"/>
      <c r="BS48" s="81"/>
      <c r="BT48" s="75"/>
      <c r="BU48" s="81"/>
      <c r="BV48" s="75"/>
      <c r="BW48" s="81"/>
      <c r="BX48" s="75"/>
      <c r="BY48" s="81"/>
      <c r="BZ48" s="75"/>
      <c r="CA48" s="81"/>
      <c r="CB48" s="75"/>
      <c r="CC48" s="81"/>
      <c r="CD48" s="75"/>
      <c r="CE48" s="81"/>
      <c r="CF48" s="75"/>
      <c r="CG48" s="81"/>
      <c r="CH48" s="75"/>
      <c r="CI48" s="81"/>
      <c r="CJ48" s="75"/>
      <c r="CK48" s="81"/>
      <c r="CL48" s="75"/>
      <c r="CM48" s="81"/>
      <c r="CN48" s="75"/>
      <c r="CO48" s="81"/>
      <c r="CP48" s="75"/>
      <c r="CQ48" s="81"/>
      <c r="CR48" s="75"/>
      <c r="CS48" s="81"/>
      <c r="CT48" s="75"/>
      <c r="CU48" s="81"/>
      <c r="CV48" s="75"/>
      <c r="CW48" s="81"/>
      <c r="CX48" s="75"/>
      <c r="CY48" s="82" t="n">
        <f aca="false">W48+Y48+AA48+AC48+AE48+AG48+AI48+AK48+AM48+AO48+AQ48+AS48+AU48+AW48+AY48+BA48+BC48+BE48+BG48+BI48+BK48+BM48+BO48+BQ48+BS48+BU48+BW48+BY48+CA48+CC48+CE48+CG48+CI48+CK48+CM48+CO48+CQ48+CS48+CU48+CW48</f>
        <v>50</v>
      </c>
      <c r="CZ48" s="83" t="n">
        <f aca="false">IF(AND(CY48=0,DC48=0),0,(DF48+DG48)/DC48)</f>
        <v>33.65</v>
      </c>
      <c r="DB48" s="85" t="n">
        <f aca="false">V48</f>
        <v>37316</v>
      </c>
      <c r="DC48" s="84" t="n">
        <f aca="false">ABS(W48)+ABS(Y48)+ABS(AA48)+ABS(AC48)+ABS(AE48)+ABS(AG48)+ABS(AI48)+ABS(AK48)+ABS(AM48)+ABS(AO48)+ABS(AQ48)+ABS(AS48)+ABS(AU48)+ABS(AW48)+ABS(AY48)+ABS(BA48)+ABS(BC48)+ABS(BE48)+ABS(BG48)+ABS(BI48)+ABS(BK48)+ABS(BM48)+ABS(BO48)+ABS(BQ48)+ABS(BS48)+ABS(BU48)+ABS(BW48)+ABS(BY48)+ABS(CA48)+ABS(CC48)+ABS(CE48)+ABS(CG48)+ABS(CI48)+ABS(CK48)+ABS(CM48)+ABS(CO48)+ABS(CQ48)+ABS(CS48)+ABS(CU48)+ABS(CW48)</f>
        <v>50</v>
      </c>
      <c r="DD48" s="86" t="n">
        <v>16</v>
      </c>
      <c r="DE48" s="84" t="n">
        <v>1</v>
      </c>
      <c r="DF48" s="43" t="n">
        <f aca="false">(ABS(W48)*X48+ABS(Y48)*Z48+ABS(AA48)*AB48+ABS(AC48)*AD48+ABS(AE48)*AF48+ABS(AG48)*AH48+ABS(AI48)*AJ48+ABS(AK48)*AL48+ABS(AM48)*AN48+ABS(AO48)*AP48+ABS(AQ48)*AR48+ABS(AS48)*AT48+ABS(AU48)*AV48+ABS(AW48)*AX48+ABS(AY48)*AZ48+ABS(BA48)*BB48+ABS(BC48)*BD48+ABS(BE48)*BF48+ABS(BG48)*BH48+ABS(BI48)*BJ48)</f>
        <v>1682.5</v>
      </c>
      <c r="DG48" s="43" t="n">
        <f aca="false">ABS(BK48)*BL48+ABS(BM48)*BN48+ABS(BO48)*BP48+ABS(BQ48)*BR48+ABS(BS48)*BT48+ABS(BU48)*BV48+ABS(BW48)*BX48+ABS(BY48)*BZ48+ABS(CA48)*CB48+ABS(CC48)*CD48+ABS(CE48)*CF48+ABS(CG48)*CH48+ABS(CI48)*CJ48+ABS(CK48)*CL48+ABS(CM48)*CN48+ABS(CO48)*CP48+ABS(CQ48)*CR48+ABS(CS48)*CT48+ABS(CU48)*CV48+ABS(CW48)*CX48</f>
        <v>0</v>
      </c>
      <c r="DH48" s="43" t="n">
        <f aca="false">(((H48-X48)*W48+(H48-Z48)*Y48+(H48-AB48)*AA48+(H48-AD48)*AC48+(H48-AF48)*AE48+(H48-AH48)*AG48+(H48-AJ48)*AI48+(H48-AL48)*AK48+(H48-AN48)*AM48+(H48-AP48)*AO48+(H48-AR48)*AQ48+(H48-AT48)*AS48+(H48-AV48)*AU48+(H48-AX48)*AW48+(H48-AZ48)*AY48+(H48-BB48)*BA48+(H48-BD48)*BC48+(H48-BF48)*BE48+(H48-BH48)*BG48+(H48-BJ48)*BI48)*DD48*DE48)*$DR48</f>
        <v>18480</v>
      </c>
      <c r="DI48" s="43" t="n">
        <f aca="false">(((H48-BL48)*BK48+(H48-BN48)*BM48+(H48-BP48)*BO48+(H48-BR48)*BQ48+(H48-BT48)*BS48+(H48-BV48)*BU48+(H48-BX48)*BW48+(H48-BZ48)*BY48+(H48-CB48)*CA48+(H48-CD48)*CC48+(H48-CF48)*CE48+(H48-CH48)*CG48+(H48-CJ48)*CH48+(H48-CL48)*CK48+(H48-CN48)*CM48+(H48-CP48)*CO48+(H48-CR48)*CQ48+(H48-CT48)*CS48+(H48-CV48)*CU48+(H48-CX48)*CW48)*DD48*DE48)</f>
        <v>0</v>
      </c>
      <c r="DJ48" s="21" t="n">
        <v>0</v>
      </c>
      <c r="DK48" s="85" t="n">
        <v>36861</v>
      </c>
      <c r="DL48" s="21" t="n">
        <v>492.384368896484</v>
      </c>
      <c r="DM48" s="21" t="n">
        <f aca="false">[3]NYZoneA!$L39</f>
        <v>16456.11328125</v>
      </c>
      <c r="DN48" s="21" t="n">
        <v>1</v>
      </c>
      <c r="DR48" s="146" t="n">
        <f aca="false">+'NYISO G'!DR48</f>
        <v>21</v>
      </c>
    </row>
    <row r="49" customFormat="false" ht="18.75" hidden="false" customHeight="false" outlineLevel="0" collapsed="false">
      <c r="A49" s="147" t="n">
        <f aca="false">[4]NYZoneA!$D40</f>
        <v>37347</v>
      </c>
      <c r="B49" s="119" t="n">
        <f aca="false">+[3]NYZoneA!$L40/16/DR49</f>
        <v>48.8258833451705</v>
      </c>
      <c r="C49" s="148" t="n">
        <f aca="false">CY49</f>
        <v>50</v>
      </c>
      <c r="D49" s="149" t="n">
        <f aca="false">(IF(MONTH(A49)=MONTH(EOMONTH(TradeDate,1)),$AN$70,0)*VLOOKUP(A49,$DK$12:$DN$43,4))</f>
        <v>0</v>
      </c>
      <c r="E49" s="150" t="n">
        <f aca="false">B49+C49+D49</f>
        <v>98.8258833451705</v>
      </c>
      <c r="F49" s="151" t="n">
        <f aca="false">+[3]NYZoneA!$C40</f>
        <v>34.5</v>
      </c>
      <c r="G49" s="152" t="n">
        <f aca="false">IF($Q$9,Q49,P49)</f>
        <v>0.25</v>
      </c>
      <c r="H49" s="153" t="n">
        <f aca="false">F49+G49</f>
        <v>34.75</v>
      </c>
      <c r="I49" s="154" t="n">
        <f aca="false">B49*G49*DD49*DR49</f>
        <v>4296.677734375</v>
      </c>
      <c r="J49" s="155" t="n">
        <f aca="false">DH49+DI49</f>
        <v>19360</v>
      </c>
      <c r="K49" s="156" t="n">
        <f aca="false">I49+J49</f>
        <v>23656.677734375</v>
      </c>
      <c r="L49" s="24"/>
      <c r="M49" s="157" t="n">
        <f aca="false">A49</f>
        <v>37347</v>
      </c>
      <c r="N49" s="92" t="n">
        <v>34.75</v>
      </c>
      <c r="O49" s="92" t="n">
        <v>34.75</v>
      </c>
      <c r="P49" s="69" t="n">
        <f aca="false">AVERAGE(N49:O49)-F49</f>
        <v>0.25</v>
      </c>
      <c r="Q49" s="70"/>
      <c r="R49" s="91" t="n">
        <f aca="false">H49</f>
        <v>34.75</v>
      </c>
      <c r="S49" s="24"/>
      <c r="T49" s="24"/>
      <c r="U49" s="131"/>
      <c r="V49" s="158" t="n">
        <f aca="false">A49</f>
        <v>37347</v>
      </c>
      <c r="W49" s="159" t="n">
        <v>50</v>
      </c>
      <c r="X49" s="134" t="n">
        <v>33.65</v>
      </c>
      <c r="Y49" s="159"/>
      <c r="Z49" s="134"/>
      <c r="AA49" s="159"/>
      <c r="AB49" s="134"/>
      <c r="AC49" s="77"/>
      <c r="AD49" s="78"/>
      <c r="AE49" s="77"/>
      <c r="AF49" s="78"/>
      <c r="AG49" s="77"/>
      <c r="AH49" s="78"/>
      <c r="AI49" s="77"/>
      <c r="AJ49" s="78"/>
      <c r="AK49" s="77"/>
      <c r="AL49" s="78"/>
      <c r="AM49" s="77"/>
      <c r="AN49" s="78"/>
      <c r="AO49" s="77"/>
      <c r="AP49" s="78"/>
      <c r="AQ49" s="77"/>
      <c r="AR49" s="78"/>
      <c r="AS49" s="77"/>
      <c r="AT49" s="160"/>
      <c r="AU49" s="94"/>
      <c r="AV49" s="95"/>
      <c r="AW49" s="96"/>
      <c r="AX49" s="75"/>
      <c r="AY49" s="81"/>
      <c r="AZ49" s="75"/>
      <c r="BA49" s="81"/>
      <c r="BB49" s="75"/>
      <c r="BC49" s="81"/>
      <c r="BD49" s="75"/>
      <c r="BE49" s="81"/>
      <c r="BF49" s="75"/>
      <c r="BG49" s="81"/>
      <c r="BH49" s="75"/>
      <c r="BI49" s="81"/>
      <c r="BJ49" s="75"/>
      <c r="BK49" s="81"/>
      <c r="BL49" s="75"/>
      <c r="BM49" s="81"/>
      <c r="BN49" s="75"/>
      <c r="BO49" s="81"/>
      <c r="BP49" s="75"/>
      <c r="BQ49" s="81"/>
      <c r="BR49" s="75"/>
      <c r="BS49" s="81"/>
      <c r="BT49" s="75"/>
      <c r="BU49" s="81"/>
      <c r="BV49" s="75"/>
      <c r="BW49" s="81"/>
      <c r="BX49" s="75"/>
      <c r="BY49" s="81"/>
      <c r="BZ49" s="75"/>
      <c r="CA49" s="81"/>
      <c r="CB49" s="75"/>
      <c r="CC49" s="81"/>
      <c r="CD49" s="75"/>
      <c r="CE49" s="81"/>
      <c r="CF49" s="75"/>
      <c r="CG49" s="81"/>
      <c r="CH49" s="75"/>
      <c r="CI49" s="81"/>
      <c r="CJ49" s="75"/>
      <c r="CK49" s="81"/>
      <c r="CL49" s="75"/>
      <c r="CM49" s="81"/>
      <c r="CN49" s="75"/>
      <c r="CO49" s="81"/>
      <c r="CP49" s="75"/>
      <c r="CQ49" s="81"/>
      <c r="CR49" s="75"/>
      <c r="CS49" s="81"/>
      <c r="CT49" s="75"/>
      <c r="CU49" s="81"/>
      <c r="CV49" s="75"/>
      <c r="CW49" s="81"/>
      <c r="CX49" s="75"/>
      <c r="CY49" s="82" t="n">
        <f aca="false">W49+Y49+AA49+AC49+AE49+AG49+AI49+AK49+AM49+AO49+AQ49+AS49+AU49+AW49+AY49+BA49+BC49+BE49+BG49+BI49+BK49+BM49+BO49+BQ49+BS49+BU49+BW49+BY49+CA49+CC49+CE49+CG49+CI49+CK49+CM49+CO49+CQ49+CS49+CU49+CW49</f>
        <v>50</v>
      </c>
      <c r="CZ49" s="83" t="n">
        <f aca="false">IF(AND(CY49=0,DC49=0),0,(DF49+DG49)/DC49)</f>
        <v>33.65</v>
      </c>
      <c r="DB49" s="85" t="n">
        <f aca="false">V49</f>
        <v>37347</v>
      </c>
      <c r="DC49" s="84" t="n">
        <f aca="false">ABS(W49)+ABS(Y49)+ABS(AA49)+ABS(AC49)+ABS(AE49)+ABS(AG49)+ABS(AI49)+ABS(AK49)+ABS(AM49)+ABS(AO49)+ABS(AQ49)+ABS(AS49)+ABS(AU49)+ABS(AW49)+ABS(AY49)+ABS(BA49)+ABS(BC49)+ABS(BE49)+ABS(BG49)+ABS(BI49)+ABS(BK49)+ABS(BM49)+ABS(BO49)+ABS(BQ49)+ABS(BS49)+ABS(BU49)+ABS(BW49)+ABS(BY49)+ABS(CA49)+ABS(CC49)+ABS(CE49)+ABS(CG49)+ABS(CI49)+ABS(CK49)+ABS(CM49)+ABS(CO49)+ABS(CQ49)+ABS(CS49)+ABS(CU49)+ABS(CW49)</f>
        <v>50</v>
      </c>
      <c r="DD49" s="86" t="n">
        <v>16</v>
      </c>
      <c r="DE49" s="84" t="n">
        <v>1</v>
      </c>
      <c r="DF49" s="43" t="n">
        <f aca="false">(ABS(W49)*X49+ABS(Y49)*Z49+ABS(AA49)*AB49+ABS(AC49)*AD49+ABS(AE49)*AF49+ABS(AG49)*AH49+ABS(AI49)*AJ49+ABS(AK49)*AL49+ABS(AM49)*AN49+ABS(AO49)*AP49+ABS(AQ49)*AR49+ABS(AS49)*AT49+ABS(AU49)*AV49+ABS(AW49)*AX49+ABS(AY49)*AZ49+ABS(BA49)*BB49+ABS(BC49)*BD49+ABS(BE49)*BF49+ABS(BG49)*BH49+ABS(BI49)*BJ49)</f>
        <v>1682.5</v>
      </c>
      <c r="DG49" s="43" t="n">
        <f aca="false">ABS(BK49)*BL49+ABS(BM49)*BN49+ABS(BO49)*BP49+ABS(BQ49)*BR49+ABS(BS49)*BT49+ABS(BU49)*BV49+ABS(BW49)*BX49+ABS(BY49)*BZ49+ABS(CA49)*CB49+ABS(CC49)*CD49+ABS(CE49)*CF49+ABS(CG49)*CH49+ABS(CI49)*CJ49+ABS(CK49)*CL49+ABS(CM49)*CN49+ABS(CO49)*CP49+ABS(CQ49)*CR49+ABS(CS49)*CT49+ABS(CU49)*CV49+ABS(CW49)*CX49</f>
        <v>0</v>
      </c>
      <c r="DH49" s="43" t="n">
        <f aca="false">(((H49-X49)*W49+(H49-Z49)*Y49+(H49-AB49)*AA49+(H49-AD49)*AC49+(H49-AF49)*AE49+(H49-AH49)*AG49+(H49-AJ49)*AI49+(H49-AL49)*AK49+(H49-AN49)*AM49+(H49-AP49)*AO49+(H49-AR49)*AQ49+(H49-AT49)*AS49+(H49-AV49)*AU49+(H49-AX49)*AW49+(H49-AZ49)*AY49+(H49-BB49)*BA49+(H49-BD49)*BC49+(H49-BF49)*BE49+(H49-BH49)*BG49+(H49-BJ49)*BI49)*DD49*DE49)*$DR49</f>
        <v>19360</v>
      </c>
      <c r="DI49" s="43" t="n">
        <f aca="false">(((H49-BL49)*BK49+(H49-BN49)*BM49+(H49-BP49)*BO49+(H49-BR49)*BQ49+(H49-BT49)*BS49+(H49-BV49)*BU49+(H49-BX49)*BW49+(H49-BZ49)*BY49+(H49-CB49)*CA49+(H49-CD49)*CC49+(H49-CF49)*CE49+(H49-CH49)*CG49+(H49-CJ49)*CH49+(H49-CL49)*CK49+(H49-CN49)*CM49+(H49-CP49)*CO49+(H49-CR49)*CQ49+(H49-CT49)*CS49+(H49-CV49)*CU49+(H49-CX49)*CW49)*DD49*DE49)</f>
        <v>0</v>
      </c>
      <c r="DJ49" s="21" t="n">
        <v>0</v>
      </c>
      <c r="DK49" s="85" t="n">
        <v>36861</v>
      </c>
      <c r="DL49" s="21" t="n">
        <v>492.384368896484</v>
      </c>
      <c r="DM49" s="21" t="n">
        <f aca="false">[3]NYZoneA!$L40</f>
        <v>17186.7109375</v>
      </c>
      <c r="DN49" s="21" t="n">
        <v>1</v>
      </c>
      <c r="DR49" s="146" t="n">
        <f aca="false">+'NYISO G'!DR49</f>
        <v>22</v>
      </c>
    </row>
    <row r="50" customFormat="false" ht="18.75" hidden="false" customHeight="false" outlineLevel="0" collapsed="false">
      <c r="A50" s="147" t="n">
        <f aca="false">[4]NYZoneA!$D41</f>
        <v>37377</v>
      </c>
      <c r="B50" s="119" t="n">
        <f aca="false">+[3]NYZoneA!$L41/16/DR50</f>
        <v>-5.68181825767859E-013</v>
      </c>
      <c r="C50" s="148" t="n">
        <f aca="false">CY50</f>
        <v>0</v>
      </c>
      <c r="D50" s="149" t="n">
        <f aca="false">(IF(MONTH(A50)=MONTH(EOMONTH(TradeDate,1)),$AN$70,0)*VLOOKUP(A50,$DK$12:$DN$43,4))</f>
        <v>0</v>
      </c>
      <c r="E50" s="150" t="n">
        <f aca="false">B50+C50+D50</f>
        <v>-5.68181825767859E-013</v>
      </c>
      <c r="F50" s="151" t="n">
        <f aca="false">+[3]NYZoneA!$C41</f>
        <v>35.25</v>
      </c>
      <c r="G50" s="152" t="n">
        <f aca="false">IF($Q$9,Q50,P50)</f>
        <v>0.75</v>
      </c>
      <c r="H50" s="153" t="n">
        <f aca="false">F50+G50</f>
        <v>36</v>
      </c>
      <c r="I50" s="154" t="n">
        <f aca="false">B50*G50*DD50*DR50</f>
        <v>-1.50000002002715E-010</v>
      </c>
      <c r="J50" s="155" t="n">
        <f aca="false">DH50+DI50</f>
        <v>0</v>
      </c>
      <c r="K50" s="156" t="n">
        <f aca="false">I50+J50</f>
        <v>-1.50000002002715E-010</v>
      </c>
      <c r="L50" s="24"/>
      <c r="M50" s="157" t="n">
        <f aca="false">A50</f>
        <v>37377</v>
      </c>
      <c r="N50" s="92" t="n">
        <v>36</v>
      </c>
      <c r="O50" s="92" t="n">
        <v>36</v>
      </c>
      <c r="P50" s="69" t="n">
        <f aca="false">AVERAGE(N50:O50)-F50</f>
        <v>0.75</v>
      </c>
      <c r="Q50" s="70"/>
      <c r="R50" s="91" t="n">
        <f aca="false">H50</f>
        <v>36</v>
      </c>
      <c r="S50" s="24"/>
      <c r="T50" s="24"/>
      <c r="U50" s="131"/>
      <c r="V50" s="158" t="n">
        <f aca="false">A50</f>
        <v>37377</v>
      </c>
      <c r="W50" s="159"/>
      <c r="X50" s="134"/>
      <c r="Y50" s="159"/>
      <c r="Z50" s="134"/>
      <c r="AA50" s="159"/>
      <c r="AB50" s="134"/>
      <c r="AC50" s="77"/>
      <c r="AD50" s="78"/>
      <c r="AE50" s="77"/>
      <c r="AF50" s="78"/>
      <c r="AG50" s="77"/>
      <c r="AH50" s="78"/>
      <c r="AI50" s="77"/>
      <c r="AJ50" s="78"/>
      <c r="AK50" s="77"/>
      <c r="AL50" s="78"/>
      <c r="AM50" s="77"/>
      <c r="AN50" s="78"/>
      <c r="AO50" s="77"/>
      <c r="AP50" s="78"/>
      <c r="AQ50" s="77"/>
      <c r="AR50" s="78"/>
      <c r="AS50" s="77"/>
      <c r="AT50" s="160"/>
      <c r="AU50" s="94"/>
      <c r="AV50" s="95"/>
      <c r="AW50" s="96"/>
      <c r="AX50" s="75"/>
      <c r="AY50" s="81"/>
      <c r="AZ50" s="75"/>
      <c r="BA50" s="81"/>
      <c r="BB50" s="75"/>
      <c r="BC50" s="81"/>
      <c r="BD50" s="75"/>
      <c r="BE50" s="81"/>
      <c r="BF50" s="75"/>
      <c r="BG50" s="81"/>
      <c r="BH50" s="75"/>
      <c r="BI50" s="81"/>
      <c r="BJ50" s="75"/>
      <c r="BK50" s="81"/>
      <c r="BL50" s="75"/>
      <c r="BM50" s="81"/>
      <c r="BN50" s="75"/>
      <c r="BO50" s="81"/>
      <c r="BP50" s="75"/>
      <c r="BQ50" s="81"/>
      <c r="BR50" s="75"/>
      <c r="BS50" s="81"/>
      <c r="BT50" s="75"/>
      <c r="BU50" s="81"/>
      <c r="BV50" s="75"/>
      <c r="BW50" s="81"/>
      <c r="BX50" s="75"/>
      <c r="BY50" s="81"/>
      <c r="BZ50" s="75"/>
      <c r="CA50" s="81"/>
      <c r="CB50" s="75"/>
      <c r="CC50" s="81"/>
      <c r="CD50" s="75"/>
      <c r="CE50" s="81"/>
      <c r="CF50" s="75"/>
      <c r="CG50" s="81"/>
      <c r="CH50" s="75"/>
      <c r="CI50" s="81"/>
      <c r="CJ50" s="75"/>
      <c r="CK50" s="81"/>
      <c r="CL50" s="75"/>
      <c r="CM50" s="81"/>
      <c r="CN50" s="75"/>
      <c r="CO50" s="81"/>
      <c r="CP50" s="75"/>
      <c r="CQ50" s="81"/>
      <c r="CR50" s="75"/>
      <c r="CS50" s="81"/>
      <c r="CT50" s="75"/>
      <c r="CU50" s="81"/>
      <c r="CV50" s="75"/>
      <c r="CW50" s="81"/>
      <c r="CX50" s="75"/>
      <c r="CY50" s="82" t="n">
        <f aca="false">W50+Y50+AA50+AC50+AE50+AG50+AI50+AK50+AM50+AO50+AQ50+AS50+AU50+AW50+AY50+BA50+BC50+BE50+BG50+BI50+BK50+BM50+BO50+BQ50+BS50+BU50+BW50+BY50+CA50+CC50+CE50+CG50+CI50+CK50+CM50+CO50+CQ50+CS50+CU50+CW50</f>
        <v>0</v>
      </c>
      <c r="CZ50" s="83" t="n">
        <f aca="false">IF(AND(CY50=0,DC50=0),0,(DF50+DG50)/DC50)</f>
        <v>0</v>
      </c>
      <c r="DB50" s="85" t="n">
        <f aca="false">V50</f>
        <v>37377</v>
      </c>
      <c r="DC50" s="84" t="n">
        <f aca="false">ABS(W50)+ABS(Y50)+ABS(AA50)+ABS(AC50)+ABS(AE50)+ABS(AG50)+ABS(AI50)+ABS(AK50)+ABS(AM50)+ABS(AO50)+ABS(AQ50)+ABS(AS50)+ABS(AU50)+ABS(AW50)+ABS(AY50)+ABS(BA50)+ABS(BC50)+ABS(BE50)+ABS(BG50)+ABS(BI50)+ABS(BK50)+ABS(BM50)+ABS(BO50)+ABS(BQ50)+ABS(BS50)+ABS(BU50)+ABS(BW50)+ABS(BY50)+ABS(CA50)+ABS(CC50)+ABS(CE50)+ABS(CG50)+ABS(CI50)+ABS(CK50)+ABS(CM50)+ABS(CO50)+ABS(CQ50)+ABS(CS50)+ABS(CU50)+ABS(CW50)</f>
        <v>0</v>
      </c>
      <c r="DD50" s="86" t="n">
        <v>16</v>
      </c>
      <c r="DE50" s="84" t="n">
        <v>1</v>
      </c>
      <c r="DF50" s="43" t="n">
        <f aca="false">(ABS(W50)*X50+ABS(Y50)*Z50+ABS(AA50)*AB50+ABS(AC50)*AD50+ABS(AE50)*AF50+ABS(AG50)*AH50+ABS(AI50)*AJ50+ABS(AK50)*AL50+ABS(AM50)*AN50+ABS(AO50)*AP50+ABS(AQ50)*AR50+ABS(AS50)*AT50+ABS(AU50)*AV50+ABS(AW50)*AX50+ABS(AY50)*AZ50+ABS(BA50)*BB50+ABS(BC50)*BD50+ABS(BE50)*BF50+ABS(BG50)*BH50+ABS(BI50)*BJ50)</f>
        <v>0</v>
      </c>
      <c r="DG50" s="43" t="n">
        <f aca="false">ABS(BK50)*BL50+ABS(BM50)*BN50+ABS(BO50)*BP50+ABS(BQ50)*BR50+ABS(BS50)*BT50+ABS(BU50)*BV50+ABS(BW50)*BX50+ABS(BY50)*BZ50+ABS(CA50)*CB50+ABS(CC50)*CD50+ABS(CE50)*CF50+ABS(CG50)*CH50+ABS(CI50)*CJ50+ABS(CK50)*CL50+ABS(CM50)*CN50+ABS(CO50)*CP50+ABS(CQ50)*CR50+ABS(CS50)*CT50+ABS(CU50)*CV50+ABS(CW50)*CX50</f>
        <v>0</v>
      </c>
      <c r="DH50" s="43" t="n">
        <f aca="false">(((H50-X50)*W50+(H50-Z50)*Y50+(H50-AB50)*AA50+(H50-AD50)*AC50+(H50-AF50)*AE50+(H50-AH50)*AG50+(H50-AJ50)*AI50+(H50-AL50)*AK50+(H50-AN50)*AM50+(H50-AP50)*AO50+(H50-AR50)*AQ50+(H50-AT50)*AS50+(H50-AV50)*AU50+(H50-AX50)*AW50+(H50-AZ50)*AY50+(H50-BB50)*BA50+(H50-BD50)*BC50+(H50-BF50)*BE50+(H50-BH50)*BG50+(H50-BJ50)*BI50)*DD50*DE50)*$DR50</f>
        <v>0</v>
      </c>
      <c r="DI50" s="43" t="n">
        <f aca="false">(((H50-BL50)*BK50+(H50-BN50)*BM50+(H50-BP50)*BO50+(H50-BR50)*BQ50+(H50-BT50)*BS50+(H50-BV50)*BU50+(H50-BX50)*BW50+(H50-BZ50)*BY50+(H50-CB50)*CA50+(H50-CD50)*CC50+(H50-CF50)*CE50+(H50-CH50)*CG50+(H50-CJ50)*CH50+(H50-CL50)*CK50+(H50-CN50)*CM50+(H50-CP50)*CO50+(H50-CR50)*CQ50+(H50-CT50)*CS50+(H50-CV50)*CU50+(H50-CX50)*CW50)*DD50*DE50)</f>
        <v>0</v>
      </c>
      <c r="DJ50" s="21" t="n">
        <v>0</v>
      </c>
      <c r="DK50" s="85" t="n">
        <v>36861</v>
      </c>
      <c r="DL50" s="21" t="n">
        <v>492.384368896484</v>
      </c>
      <c r="DM50" s="21" t="n">
        <f aca="false">[3]NYZoneA!$L41</f>
        <v>-2.00000002670286E-010</v>
      </c>
      <c r="DN50" s="21" t="n">
        <v>1</v>
      </c>
      <c r="DR50" s="146" t="n">
        <f aca="false">+'NYISO G'!DR50</f>
        <v>22</v>
      </c>
    </row>
    <row r="51" customFormat="false" ht="18.75" hidden="false" customHeight="false" outlineLevel="0" collapsed="false">
      <c r="A51" s="147" t="n">
        <f aca="false">[4]NYZoneA!$D42</f>
        <v>37408</v>
      </c>
      <c r="B51" s="119" t="n">
        <f aca="false">+[3]NYZoneA!$L42/16/DR51</f>
        <v>-145.587121582031</v>
      </c>
      <c r="C51" s="148" t="n">
        <f aca="false">CY51</f>
        <v>0</v>
      </c>
      <c r="D51" s="149" t="n">
        <f aca="false">(IF(MONTH(A51)=MONTH(EOMONTH(TradeDate,1)),$AN$70,0)*VLOOKUP(A51,$DK$12:$DN$43,4))</f>
        <v>0</v>
      </c>
      <c r="E51" s="150" t="n">
        <f aca="false">B51+C51+D51</f>
        <v>-145.587121582031</v>
      </c>
      <c r="F51" s="151" t="n">
        <f aca="false">+[3]NYZoneA!$C42</f>
        <v>42.75</v>
      </c>
      <c r="G51" s="152" t="n">
        <f aca="false">IF($Q$9,Q51,P51)</f>
        <v>0.75</v>
      </c>
      <c r="H51" s="153" t="n">
        <f aca="false">F51+G51</f>
        <v>43.5</v>
      </c>
      <c r="I51" s="154" t="n">
        <f aca="false">B51*G51*DD51*DR51</f>
        <v>-34940.9091796875</v>
      </c>
      <c r="J51" s="155" t="n">
        <f aca="false">DH51+DI51</f>
        <v>0</v>
      </c>
      <c r="K51" s="156" t="n">
        <f aca="false">I51+J51</f>
        <v>-34940.9091796875</v>
      </c>
      <c r="L51" s="24"/>
      <c r="M51" s="157" t="n">
        <f aca="false">A51</f>
        <v>37408</v>
      </c>
      <c r="N51" s="92" t="n">
        <v>43.5</v>
      </c>
      <c r="O51" s="92" t="n">
        <v>43.5</v>
      </c>
      <c r="P51" s="69" t="n">
        <f aca="false">AVERAGE(N51:O51)-F51</f>
        <v>0.75</v>
      </c>
      <c r="Q51" s="70"/>
      <c r="R51" s="91" t="n">
        <f aca="false">H51</f>
        <v>43.5</v>
      </c>
      <c r="S51" s="24"/>
      <c r="T51" s="24"/>
      <c r="U51" s="131"/>
      <c r="V51" s="158" t="n">
        <f aca="false">A51</f>
        <v>37408</v>
      </c>
      <c r="W51" s="159"/>
      <c r="X51" s="134"/>
      <c r="Y51" s="159"/>
      <c r="Z51" s="134"/>
      <c r="AA51" s="159"/>
      <c r="AB51" s="134"/>
      <c r="AC51" s="77"/>
      <c r="AD51" s="78"/>
      <c r="AE51" s="77"/>
      <c r="AF51" s="78"/>
      <c r="AG51" s="77"/>
      <c r="AH51" s="78"/>
      <c r="AI51" s="77"/>
      <c r="AJ51" s="78"/>
      <c r="AK51" s="77"/>
      <c r="AL51" s="78"/>
      <c r="AM51" s="77"/>
      <c r="AN51" s="78"/>
      <c r="AO51" s="77"/>
      <c r="AP51" s="78"/>
      <c r="AQ51" s="77"/>
      <c r="AR51" s="78"/>
      <c r="AS51" s="77"/>
      <c r="AT51" s="160"/>
      <c r="AU51" s="94"/>
      <c r="AV51" s="95"/>
      <c r="AW51" s="96"/>
      <c r="AX51" s="75"/>
      <c r="AY51" s="81"/>
      <c r="AZ51" s="75"/>
      <c r="BA51" s="81"/>
      <c r="BB51" s="75"/>
      <c r="BC51" s="81"/>
      <c r="BD51" s="75"/>
      <c r="BE51" s="81"/>
      <c r="BF51" s="75"/>
      <c r="BG51" s="81"/>
      <c r="BH51" s="75"/>
      <c r="BI51" s="81"/>
      <c r="BJ51" s="75"/>
      <c r="BK51" s="81"/>
      <c r="BL51" s="75"/>
      <c r="BM51" s="81"/>
      <c r="BN51" s="75"/>
      <c r="BO51" s="81"/>
      <c r="BP51" s="75"/>
      <c r="BQ51" s="81"/>
      <c r="BR51" s="75"/>
      <c r="BS51" s="81"/>
      <c r="BT51" s="75"/>
      <c r="BU51" s="81"/>
      <c r="BV51" s="75"/>
      <c r="BW51" s="81"/>
      <c r="BX51" s="75"/>
      <c r="BY51" s="81"/>
      <c r="BZ51" s="75"/>
      <c r="CA51" s="81"/>
      <c r="CB51" s="75"/>
      <c r="CC51" s="81"/>
      <c r="CD51" s="75"/>
      <c r="CE51" s="81"/>
      <c r="CF51" s="75"/>
      <c r="CG51" s="81"/>
      <c r="CH51" s="75"/>
      <c r="CI51" s="81"/>
      <c r="CJ51" s="75"/>
      <c r="CK51" s="81"/>
      <c r="CL51" s="75"/>
      <c r="CM51" s="81"/>
      <c r="CN51" s="75"/>
      <c r="CO51" s="81"/>
      <c r="CP51" s="75"/>
      <c r="CQ51" s="81"/>
      <c r="CR51" s="75"/>
      <c r="CS51" s="81"/>
      <c r="CT51" s="75"/>
      <c r="CU51" s="81"/>
      <c r="CV51" s="75"/>
      <c r="CW51" s="81"/>
      <c r="CX51" s="75"/>
      <c r="CY51" s="82" t="n">
        <f aca="false">W51+Y51+AA51+AC51+AE51+AG51+AI51+AK51+AM51+AO51+AQ51+AS51+AU51+AW51+AY51+BA51+BC51+BE51+BG51+BI51+BK51+BM51+BO51+BQ51+BS51+BU51+BW51+BY51+CA51+CC51+CE51+CG51+CI51+CK51+CM51+CO51+CQ51+CS51+CU51+CW51</f>
        <v>0</v>
      </c>
      <c r="CZ51" s="83" t="n">
        <f aca="false">IF(AND(CY51=0,DC51=0),0,(DF51+DG51)/DC51)</f>
        <v>0</v>
      </c>
      <c r="DB51" s="85" t="n">
        <f aca="false">V51</f>
        <v>37408</v>
      </c>
      <c r="DC51" s="84" t="n">
        <f aca="false">ABS(W51)+ABS(Y51)+ABS(AA51)+ABS(AC51)+ABS(AE51)+ABS(AG51)+ABS(AI51)+ABS(AK51)+ABS(AM51)+ABS(AO51)+ABS(AQ51)+ABS(AS51)+ABS(AU51)+ABS(AW51)+ABS(AY51)+ABS(BA51)+ABS(BC51)+ABS(BE51)+ABS(BG51)+ABS(BI51)+ABS(BK51)+ABS(BM51)+ABS(BO51)+ABS(BQ51)+ABS(BS51)+ABS(BU51)+ABS(BW51)+ABS(BY51)+ABS(CA51)+ABS(CC51)+ABS(CE51)+ABS(CG51)+ABS(CI51)+ABS(CK51)+ABS(CM51)+ABS(CO51)+ABS(CQ51)+ABS(CS51)+ABS(CU51)+ABS(CW51)</f>
        <v>0</v>
      </c>
      <c r="DD51" s="86" t="n">
        <v>16</v>
      </c>
      <c r="DE51" s="84" t="n">
        <v>1</v>
      </c>
      <c r="DF51" s="43" t="n">
        <f aca="false">(ABS(W51)*X51+ABS(Y51)*Z51+ABS(AA51)*AB51+ABS(AC51)*AD51+ABS(AE51)*AF51+ABS(AG51)*AH51+ABS(AI51)*AJ51+ABS(AK51)*AL51+ABS(AM51)*AN51+ABS(AO51)*AP51+ABS(AQ51)*AR51+ABS(AS51)*AT51+ABS(AU51)*AV51+ABS(AW51)*AX51+ABS(AY51)*AZ51+ABS(BA51)*BB51+ABS(BC51)*BD51+ABS(BE51)*BF51+ABS(BG51)*BH51+ABS(BI51)*BJ51)</f>
        <v>0</v>
      </c>
      <c r="DG51" s="43" t="n">
        <f aca="false">ABS(BK51)*BL51+ABS(BM51)*BN51+ABS(BO51)*BP51+ABS(BQ51)*BR51+ABS(BS51)*BT51+ABS(BU51)*BV51+ABS(BW51)*BX51+ABS(BY51)*BZ51+ABS(CA51)*CB51+ABS(CC51)*CD51+ABS(CE51)*CF51+ABS(CG51)*CH51+ABS(CI51)*CJ51+ABS(CK51)*CL51+ABS(CM51)*CN51+ABS(CO51)*CP51+ABS(CQ51)*CR51+ABS(CS51)*CT51+ABS(CU51)*CV51+ABS(CW51)*CX51</f>
        <v>0</v>
      </c>
      <c r="DH51" s="43" t="n">
        <f aca="false">(((H51-X51)*W51+(H51-Z51)*Y51+(H51-AB51)*AA51+(H51-AD51)*AC51+(H51-AF51)*AE51+(H51-AH51)*AG51+(H51-AJ51)*AI51+(H51-AL51)*AK51+(H51-AN51)*AM51+(H51-AP51)*AO51+(H51-AR51)*AQ51+(H51-AT51)*AS51+(H51-AV51)*AU51+(H51-AX51)*AW51+(H51-AZ51)*AY51+(H51-BB51)*BA51+(H51-BD51)*BC51+(H51-BF51)*BE51+(H51-BH51)*BG51+(H51-BJ51)*BI51)*DD51*DE51)*$DR51</f>
        <v>0</v>
      </c>
      <c r="DI51" s="43" t="n">
        <f aca="false">(((H51-BL51)*BK51+(H51-BN51)*BM51+(H51-BP51)*BO51+(H51-BR51)*BQ51+(H51-BT51)*BS51+(H51-BV51)*BU51+(H51-BX51)*BW51+(H51-BZ51)*BY51+(H51-CB51)*CA51+(H51-CD51)*CC51+(H51-CF51)*CE51+(H51-CH51)*CG51+(H51-CJ51)*CH51+(H51-CL51)*CK51+(H51-CN51)*CM51+(H51-CP51)*CO51+(H51-CR51)*CQ51+(H51-CT51)*CS51+(H51-CV51)*CU51+(H51-CX51)*CW51)*DD51*DE51)</f>
        <v>0</v>
      </c>
      <c r="DJ51" s="21" t="n">
        <v>0</v>
      </c>
      <c r="DK51" s="85" t="n">
        <v>36861</v>
      </c>
      <c r="DL51" s="21" t="n">
        <v>492.384368896484</v>
      </c>
      <c r="DM51" s="21" t="n">
        <f aca="false">[3]NYZoneA!$L42</f>
        <v>-46587.87890625</v>
      </c>
      <c r="DN51" s="21" t="n">
        <v>1</v>
      </c>
      <c r="DR51" s="146" t="n">
        <f aca="false">+'NYISO G'!DR51</f>
        <v>20</v>
      </c>
    </row>
    <row r="52" customFormat="false" ht="18.75" hidden="false" customHeight="false" outlineLevel="0" collapsed="false">
      <c r="A52" s="147" t="n">
        <f aca="false">[4]NYZoneA!$D43</f>
        <v>37438</v>
      </c>
      <c r="B52" s="119" t="n">
        <v>250</v>
      </c>
      <c r="C52" s="148" t="n">
        <f aca="false">CY52</f>
        <v>0</v>
      </c>
      <c r="D52" s="149" t="n">
        <f aca="false">(IF(MONTH(A52)=MONTH(EOMONTH(TradeDate,1)),$AN$70,0)*VLOOKUP(A52,$DK$12:$DN$43,4))</f>
        <v>0</v>
      </c>
      <c r="E52" s="150" t="n">
        <f aca="false">B52+C52+D52</f>
        <v>250</v>
      </c>
      <c r="F52" s="151" t="n">
        <f aca="false">+[3]NYZoneA!$C43</f>
        <v>56.5</v>
      </c>
      <c r="G52" s="152" t="n">
        <f aca="false">IF($Q$9,Q52,P52)</f>
        <v>0.75</v>
      </c>
      <c r="H52" s="153" t="n">
        <f aca="false">F52+G52</f>
        <v>57.25</v>
      </c>
      <c r="I52" s="154" t="n">
        <f aca="false">B52*G52*DD52*DR52</f>
        <v>66000</v>
      </c>
      <c r="J52" s="155" t="n">
        <f aca="false">DH52+DI52</f>
        <v>0</v>
      </c>
      <c r="K52" s="156" t="n">
        <f aca="false">I52+J52</f>
        <v>66000</v>
      </c>
      <c r="L52" s="24"/>
      <c r="M52" s="157" t="n">
        <f aca="false">A52</f>
        <v>37438</v>
      </c>
      <c r="N52" s="92" t="n">
        <v>57.25</v>
      </c>
      <c r="O52" s="92" t="n">
        <v>57.25</v>
      </c>
      <c r="P52" s="69" t="n">
        <f aca="false">AVERAGE(N52:O52)-F52</f>
        <v>0.75</v>
      </c>
      <c r="Q52" s="70"/>
      <c r="R52" s="91" t="n">
        <f aca="false">H52</f>
        <v>57.25</v>
      </c>
      <c r="S52" s="24"/>
      <c r="T52" s="24"/>
      <c r="U52" s="131"/>
      <c r="V52" s="158" t="n">
        <f aca="false">A52</f>
        <v>37438</v>
      </c>
      <c r="W52" s="159"/>
      <c r="X52" s="134"/>
      <c r="Y52" s="159"/>
      <c r="Z52" s="134"/>
      <c r="AA52" s="159"/>
      <c r="AB52" s="134"/>
      <c r="AC52" s="77"/>
      <c r="AD52" s="78"/>
      <c r="AE52" s="77"/>
      <c r="AF52" s="78"/>
      <c r="AG52" s="77"/>
      <c r="AH52" s="78"/>
      <c r="AI52" s="77"/>
      <c r="AJ52" s="78"/>
      <c r="AK52" s="77"/>
      <c r="AL52" s="78"/>
      <c r="AM52" s="77"/>
      <c r="AN52" s="78"/>
      <c r="AO52" s="77"/>
      <c r="AP52" s="78"/>
      <c r="AQ52" s="77"/>
      <c r="AR52" s="78"/>
      <c r="AS52" s="77"/>
      <c r="AT52" s="160"/>
      <c r="AU52" s="94"/>
      <c r="AV52" s="95"/>
      <c r="AW52" s="96"/>
      <c r="AX52" s="75"/>
      <c r="AY52" s="81"/>
      <c r="AZ52" s="75"/>
      <c r="BA52" s="81"/>
      <c r="BB52" s="75"/>
      <c r="BC52" s="81"/>
      <c r="BD52" s="75"/>
      <c r="BE52" s="81"/>
      <c r="BF52" s="75"/>
      <c r="BG52" s="81"/>
      <c r="BH52" s="75"/>
      <c r="BI52" s="81"/>
      <c r="BJ52" s="75"/>
      <c r="BK52" s="81"/>
      <c r="BL52" s="75"/>
      <c r="BM52" s="81"/>
      <c r="BN52" s="75"/>
      <c r="BO52" s="81"/>
      <c r="BP52" s="75"/>
      <c r="BQ52" s="81"/>
      <c r="BR52" s="75"/>
      <c r="BS52" s="81"/>
      <c r="BT52" s="75"/>
      <c r="BU52" s="81"/>
      <c r="BV52" s="75"/>
      <c r="BW52" s="81"/>
      <c r="BX52" s="75"/>
      <c r="BY52" s="81"/>
      <c r="BZ52" s="75"/>
      <c r="CA52" s="81"/>
      <c r="CB52" s="75"/>
      <c r="CC52" s="81"/>
      <c r="CD52" s="75"/>
      <c r="CE52" s="81"/>
      <c r="CF52" s="75"/>
      <c r="CG52" s="81"/>
      <c r="CH52" s="75"/>
      <c r="CI52" s="81"/>
      <c r="CJ52" s="75"/>
      <c r="CK52" s="81"/>
      <c r="CL52" s="75"/>
      <c r="CM52" s="81"/>
      <c r="CN52" s="75"/>
      <c r="CO52" s="81"/>
      <c r="CP52" s="75"/>
      <c r="CQ52" s="81"/>
      <c r="CR52" s="75"/>
      <c r="CS52" s="81"/>
      <c r="CT52" s="75"/>
      <c r="CU52" s="81"/>
      <c r="CV52" s="75"/>
      <c r="CW52" s="81"/>
      <c r="CX52" s="75"/>
      <c r="CY52" s="82" t="n">
        <f aca="false">W52+Y52+AA52+AC52+AE52+AG52+AI52+AK52+AM52+AO52+AQ52+AS52+AU52+AW52+AY52+BA52+BC52+BE52+BG52+BI52+BK52+BM52+BO52+BQ52+BS52+BU52+BW52+BY52+CA52+CC52+CE52+CG52+CI52+CK52+CM52+CO52+CQ52+CS52+CU52+CW52</f>
        <v>0</v>
      </c>
      <c r="CZ52" s="83" t="n">
        <f aca="false">IF(AND(CY52=0,DC52=0),0,(DF52+DG52)/DC52)</f>
        <v>0</v>
      </c>
      <c r="DB52" s="85" t="n">
        <f aca="false">V52</f>
        <v>37438</v>
      </c>
      <c r="DC52" s="84" t="n">
        <f aca="false">ABS(W52)+ABS(Y52)+ABS(AA52)+ABS(AC52)+ABS(AE52)+ABS(AG52)+ABS(AI52)+ABS(AK52)+ABS(AM52)+ABS(AO52)+ABS(AQ52)+ABS(AS52)+ABS(AU52)+ABS(AW52)+ABS(AY52)+ABS(BA52)+ABS(BC52)+ABS(BE52)+ABS(BG52)+ABS(BI52)+ABS(BK52)+ABS(BM52)+ABS(BO52)+ABS(BQ52)+ABS(BS52)+ABS(BU52)+ABS(BW52)+ABS(BY52)+ABS(CA52)+ABS(CC52)+ABS(CE52)+ABS(CG52)+ABS(CI52)+ABS(CK52)+ABS(CM52)+ABS(CO52)+ABS(CQ52)+ABS(CS52)+ABS(CU52)+ABS(CW52)</f>
        <v>0</v>
      </c>
      <c r="DD52" s="86" t="n">
        <v>16</v>
      </c>
      <c r="DE52" s="84" t="n">
        <v>1</v>
      </c>
      <c r="DF52" s="43" t="n">
        <f aca="false">(ABS(W52)*X52+ABS(Y52)*Z52+ABS(AA52)*AB52+ABS(AC52)*AD52+ABS(AE52)*AF52+ABS(AG52)*AH52+ABS(AI52)*AJ52+ABS(AK52)*AL52+ABS(AM52)*AN52+ABS(AO52)*AP52+ABS(AQ52)*AR52+ABS(AS52)*AT52+ABS(AU52)*AV52+ABS(AW52)*AX52+ABS(AY52)*AZ52+ABS(BA52)*BB52+ABS(BC52)*BD52+ABS(BE52)*BF52+ABS(BG52)*BH52+ABS(BI52)*BJ52)</f>
        <v>0</v>
      </c>
      <c r="DG52" s="43" t="n">
        <f aca="false">ABS(BK52)*BL52+ABS(BM52)*BN52+ABS(BO52)*BP52+ABS(BQ52)*BR52+ABS(BS52)*BT52+ABS(BU52)*BV52+ABS(BW52)*BX52+ABS(BY52)*BZ52+ABS(CA52)*CB52+ABS(CC52)*CD52+ABS(CE52)*CF52+ABS(CG52)*CH52+ABS(CI52)*CJ52+ABS(CK52)*CL52+ABS(CM52)*CN52+ABS(CO52)*CP52+ABS(CQ52)*CR52+ABS(CS52)*CT52+ABS(CU52)*CV52+ABS(CW52)*CX52</f>
        <v>0</v>
      </c>
      <c r="DH52" s="43" t="n">
        <f aca="false">(((H52-X52)*W52+(H52-Z52)*Y52+(H52-AB52)*AA52+(H52-AD52)*AC52+(H52-AF52)*AE52+(H52-AH52)*AG52+(H52-AJ52)*AI52+(H52-AL52)*AK52+(H52-AN52)*AM52+(H52-AP52)*AO52+(H52-AR52)*AQ52+(H52-AT52)*AS52+(H52-AV52)*AU52+(H52-AX52)*AW52+(H52-AZ52)*AY52+(H52-BB52)*BA52+(H52-BD52)*BC52+(H52-BF52)*BE52+(H52-BH52)*BG52+(H52-BJ52)*BI52)*DD52*DE52)*$DR52</f>
        <v>0</v>
      </c>
      <c r="DI52" s="43" t="n">
        <f aca="false">(((H52-BL52)*BK52+(H52-BN52)*BM52+(H52-BP52)*BO52+(H52-BR52)*BQ52+(H52-BT52)*BS52+(H52-BV52)*BU52+(H52-BX52)*BW52+(H52-BZ52)*BY52+(H52-CB52)*CA52+(H52-CD52)*CC52+(H52-CF52)*CE52+(H52-CH52)*CG52+(H52-CJ52)*CH52+(H52-CL52)*CK52+(H52-CN52)*CM52+(H52-CP52)*CO52+(H52-CR52)*CQ52+(H52-CT52)*CS52+(H52-CV52)*CU52+(H52-CX52)*CW52)*DD52*DE52)</f>
        <v>0</v>
      </c>
      <c r="DJ52" s="21" t="n">
        <v>0</v>
      </c>
      <c r="DK52" s="85" t="n">
        <v>36861</v>
      </c>
      <c r="DL52" s="21" t="n">
        <v>492.384368896484</v>
      </c>
      <c r="DM52" s="21" t="n">
        <f aca="false">[3]NYZoneA!$L43</f>
        <v>17029.357421875</v>
      </c>
      <c r="DN52" s="21" t="n">
        <v>1</v>
      </c>
      <c r="DR52" s="146" t="n">
        <f aca="false">+'NYISO G'!DR52</f>
        <v>22</v>
      </c>
    </row>
    <row r="53" customFormat="false" ht="18.75" hidden="false" customHeight="false" outlineLevel="0" collapsed="false">
      <c r="A53" s="147" t="n">
        <f aca="false">[4]NYZoneA!$D44</f>
        <v>37469</v>
      </c>
      <c r="B53" s="119" t="n">
        <v>250</v>
      </c>
      <c r="C53" s="148" t="n">
        <f aca="false">CY53</f>
        <v>0</v>
      </c>
      <c r="D53" s="149" t="n">
        <f aca="false">(IF(MONTH(A53)=MONTH(EOMONTH(TradeDate,1)),$AN$70,0)*VLOOKUP(A53,$DK$12:$DN$43,4))</f>
        <v>0</v>
      </c>
      <c r="E53" s="150" t="n">
        <f aca="false">B53+C53+D53</f>
        <v>250</v>
      </c>
      <c r="F53" s="151" t="n">
        <f aca="false">+[3]NYZoneA!$C44</f>
        <v>56.5</v>
      </c>
      <c r="G53" s="152" t="n">
        <f aca="false">IF($Q$9,Q53,P53)</f>
        <v>0.75</v>
      </c>
      <c r="H53" s="153" t="n">
        <f aca="false">F53+G53</f>
        <v>57.25</v>
      </c>
      <c r="I53" s="154" t="n">
        <f aca="false">B53*G53*DD53*DR53</f>
        <v>66000</v>
      </c>
      <c r="J53" s="155" t="n">
        <f aca="false">DH53+DI53</f>
        <v>0</v>
      </c>
      <c r="K53" s="156" t="n">
        <f aca="false">I53+J53</f>
        <v>66000</v>
      </c>
      <c r="L53" s="24"/>
      <c r="M53" s="157" t="n">
        <f aca="false">A53</f>
        <v>37469</v>
      </c>
      <c r="N53" s="92" t="n">
        <v>57.25</v>
      </c>
      <c r="O53" s="92" t="n">
        <v>57.25</v>
      </c>
      <c r="P53" s="69" t="n">
        <f aca="false">AVERAGE(N53:O53)-F53</f>
        <v>0.75</v>
      </c>
      <c r="Q53" s="70"/>
      <c r="R53" s="91" t="n">
        <f aca="false">H53</f>
        <v>57.25</v>
      </c>
      <c r="S53" s="24"/>
      <c r="T53" s="24"/>
      <c r="U53" s="131"/>
      <c r="V53" s="158" t="n">
        <f aca="false">A53</f>
        <v>37469</v>
      </c>
      <c r="W53" s="159"/>
      <c r="X53" s="134"/>
      <c r="Y53" s="159"/>
      <c r="Z53" s="134"/>
      <c r="AA53" s="159"/>
      <c r="AB53" s="134"/>
      <c r="AC53" s="77"/>
      <c r="AD53" s="78"/>
      <c r="AE53" s="77"/>
      <c r="AF53" s="78"/>
      <c r="AG53" s="77"/>
      <c r="AH53" s="78"/>
      <c r="AI53" s="77"/>
      <c r="AJ53" s="78"/>
      <c r="AK53" s="77"/>
      <c r="AL53" s="78"/>
      <c r="AM53" s="77"/>
      <c r="AN53" s="78"/>
      <c r="AO53" s="77"/>
      <c r="AP53" s="78"/>
      <c r="AQ53" s="77"/>
      <c r="AR53" s="78"/>
      <c r="AS53" s="77"/>
      <c r="AT53" s="160"/>
      <c r="AU53" s="94"/>
      <c r="AV53" s="95"/>
      <c r="AW53" s="96"/>
      <c r="AX53" s="75"/>
      <c r="AY53" s="81"/>
      <c r="AZ53" s="75"/>
      <c r="BA53" s="81"/>
      <c r="BB53" s="75"/>
      <c r="BC53" s="81"/>
      <c r="BD53" s="75"/>
      <c r="BE53" s="81"/>
      <c r="BF53" s="75"/>
      <c r="BG53" s="81"/>
      <c r="BH53" s="75"/>
      <c r="BI53" s="81"/>
      <c r="BJ53" s="75"/>
      <c r="BK53" s="81"/>
      <c r="BL53" s="75"/>
      <c r="BM53" s="81"/>
      <c r="BN53" s="75"/>
      <c r="BO53" s="81"/>
      <c r="BP53" s="75"/>
      <c r="BQ53" s="81"/>
      <c r="BR53" s="75"/>
      <c r="BS53" s="81"/>
      <c r="BT53" s="75"/>
      <c r="BU53" s="81"/>
      <c r="BV53" s="75"/>
      <c r="BW53" s="81"/>
      <c r="BX53" s="75"/>
      <c r="BY53" s="81"/>
      <c r="BZ53" s="75"/>
      <c r="CA53" s="81"/>
      <c r="CB53" s="75"/>
      <c r="CC53" s="81"/>
      <c r="CD53" s="75"/>
      <c r="CE53" s="81"/>
      <c r="CF53" s="75"/>
      <c r="CG53" s="81"/>
      <c r="CH53" s="75"/>
      <c r="CI53" s="81"/>
      <c r="CJ53" s="75"/>
      <c r="CK53" s="81"/>
      <c r="CL53" s="75"/>
      <c r="CM53" s="81"/>
      <c r="CN53" s="75"/>
      <c r="CO53" s="81"/>
      <c r="CP53" s="75"/>
      <c r="CQ53" s="81"/>
      <c r="CR53" s="75"/>
      <c r="CS53" s="81"/>
      <c r="CT53" s="75"/>
      <c r="CU53" s="81"/>
      <c r="CV53" s="75"/>
      <c r="CW53" s="81"/>
      <c r="CX53" s="75"/>
      <c r="CY53" s="82" t="n">
        <f aca="false">W53+Y53+AA53+AC53+AE53+AG53+AI53+AK53+AM53+AO53+AQ53+AS53+AU53+AW53+AY53+BA53+BC53+BE53+BG53+BI53+BK53+BM53+BO53+BQ53+BS53+BU53+BW53+BY53+CA53+CC53+CE53+CG53+CI53+CK53+CM53+CO53+CQ53+CS53+CU53+CW53</f>
        <v>0</v>
      </c>
      <c r="CZ53" s="83" t="n">
        <f aca="false">IF(AND(CY53=0,DC53=0),0,(DF53+DG53)/DC53)</f>
        <v>0</v>
      </c>
      <c r="DB53" s="85" t="n">
        <f aca="false">V53</f>
        <v>37469</v>
      </c>
      <c r="DC53" s="84" t="n">
        <f aca="false">ABS(W53)+ABS(Y53)+ABS(AA53)+ABS(AC53)+ABS(AE53)+ABS(AG53)+ABS(AI53)+ABS(AK53)+ABS(AM53)+ABS(AO53)+ABS(AQ53)+ABS(AS53)+ABS(AU53)+ABS(AW53)+ABS(AY53)+ABS(BA53)+ABS(BC53)+ABS(BE53)+ABS(BG53)+ABS(BI53)+ABS(BK53)+ABS(BM53)+ABS(BO53)+ABS(BQ53)+ABS(BS53)+ABS(BU53)+ABS(BW53)+ABS(BY53)+ABS(CA53)+ABS(CC53)+ABS(CE53)+ABS(CG53)+ABS(CI53)+ABS(CK53)+ABS(CM53)+ABS(CO53)+ABS(CQ53)+ABS(CS53)+ABS(CU53)+ABS(CW53)</f>
        <v>0</v>
      </c>
      <c r="DD53" s="86" t="n">
        <v>16</v>
      </c>
      <c r="DE53" s="84" t="n">
        <v>1</v>
      </c>
      <c r="DF53" s="43" t="n">
        <f aca="false">(ABS(W53)*X53+ABS(Y53)*Z53+ABS(AA53)*AB53+ABS(AC53)*AD53+ABS(AE53)*AF53+ABS(AG53)*AH53+ABS(AI53)*AJ53+ABS(AK53)*AL53+ABS(AM53)*AN53+ABS(AO53)*AP53+ABS(AQ53)*AR53+ABS(AS53)*AT53+ABS(AU53)*AV53+ABS(AW53)*AX53+ABS(AY53)*AZ53+ABS(BA53)*BB53+ABS(BC53)*BD53+ABS(BE53)*BF53+ABS(BG53)*BH53+ABS(BI53)*BJ53)</f>
        <v>0</v>
      </c>
      <c r="DG53" s="43" t="n">
        <f aca="false">ABS(BK53)*BL53+ABS(BM53)*BN53+ABS(BO53)*BP53+ABS(BQ53)*BR53+ABS(BS53)*BT53+ABS(BU53)*BV53+ABS(BW53)*BX53+ABS(BY53)*BZ53+ABS(CA53)*CB53+ABS(CC53)*CD53+ABS(CE53)*CF53+ABS(CG53)*CH53+ABS(CI53)*CJ53+ABS(CK53)*CL53+ABS(CM53)*CN53+ABS(CO53)*CP53+ABS(CQ53)*CR53+ABS(CS53)*CT53+ABS(CU53)*CV53+ABS(CW53)*CX53</f>
        <v>0</v>
      </c>
      <c r="DH53" s="43" t="n">
        <f aca="false">(((H53-X53)*W53+(H53-Z53)*Y53+(H53-AB53)*AA53+(H53-AD53)*AC53+(H53-AF53)*AE53+(H53-AH53)*AG53+(H53-AJ53)*AI53+(H53-AL53)*AK53+(H53-AN53)*AM53+(H53-AP53)*AO53+(H53-AR53)*AQ53+(H53-AT53)*AS53+(H53-AV53)*AU53+(H53-AX53)*AW53+(H53-AZ53)*AY53+(H53-BB53)*BA53+(H53-BD53)*BC53+(H53-BF53)*BE53+(H53-BH53)*BG53+(H53-BJ53)*BI53)*DD53*DE53)*$DR53</f>
        <v>0</v>
      </c>
      <c r="DI53" s="43" t="n">
        <f aca="false">(((H53-BL53)*BK53+(H53-BN53)*BM53+(H53-BP53)*BO53+(H53-BR53)*BQ53+(H53-BT53)*BS53+(H53-BV53)*BU53+(H53-BX53)*BW53+(H53-BZ53)*BY53+(H53-CB53)*CA53+(H53-CD53)*CC53+(H53-CF53)*CE53+(H53-CH53)*CG53+(H53-CJ53)*CH53+(H53-CL53)*CK53+(H53-CN53)*CM53+(H53-CP53)*CO53+(H53-CR53)*CQ53+(H53-CT53)*CS53+(H53-CV53)*CU53+(H53-CX53)*CW53)*DD53*DE53)</f>
        <v>0</v>
      </c>
      <c r="DJ53" s="21" t="n">
        <v>0</v>
      </c>
      <c r="DK53" s="85" t="n">
        <v>36861</v>
      </c>
      <c r="DL53" s="21" t="n">
        <v>492.384368896484</v>
      </c>
      <c r="DM53" s="21" t="n">
        <f aca="false">[3]NYZoneA!$L44</f>
        <v>16970.353515625</v>
      </c>
      <c r="DN53" s="21" t="n">
        <v>1</v>
      </c>
      <c r="DR53" s="146" t="n">
        <f aca="false">+'NYISO G'!DR53</f>
        <v>22</v>
      </c>
    </row>
    <row r="54" customFormat="false" ht="18.75" hidden="false" customHeight="false" outlineLevel="0" collapsed="false">
      <c r="A54" s="147" t="n">
        <f aca="false">[4]NYZoneA!$D45</f>
        <v>37500</v>
      </c>
      <c r="B54" s="119" t="n">
        <f aca="false">+[3]NYZoneA!$L45/16/DR54</f>
        <v>48.0646331787109</v>
      </c>
      <c r="C54" s="148" t="n">
        <f aca="false">CY54</f>
        <v>0</v>
      </c>
      <c r="D54" s="149" t="n">
        <f aca="false">(IF(MONTH(A54)=MONTH(EOMONTH(TradeDate,1)),$AN$70,0)*VLOOKUP(A54,$DK$12:$DN$43,4))</f>
        <v>0</v>
      </c>
      <c r="E54" s="150" t="n">
        <f aca="false">B54+C54+D54</f>
        <v>48.0646331787109</v>
      </c>
      <c r="F54" s="151" t="n">
        <f aca="false">+[3]NYZoneA!$C45</f>
        <v>34.25</v>
      </c>
      <c r="G54" s="152" t="n">
        <f aca="false">IF($Q$9,Q54,P54)</f>
        <v>0.75</v>
      </c>
      <c r="H54" s="153" t="n">
        <f aca="false">F54+G54</f>
        <v>35</v>
      </c>
      <c r="I54" s="154" t="n">
        <f aca="false">B54*G54*DD54*DR54</f>
        <v>11535.5119628906</v>
      </c>
      <c r="J54" s="155" t="n">
        <f aca="false">DH54+DI54</f>
        <v>0</v>
      </c>
      <c r="K54" s="156" t="n">
        <f aca="false">I54+J54</f>
        <v>11535.5119628906</v>
      </c>
      <c r="L54" s="24"/>
      <c r="M54" s="157" t="n">
        <f aca="false">A54</f>
        <v>37500</v>
      </c>
      <c r="N54" s="92" t="n">
        <v>35</v>
      </c>
      <c r="O54" s="92" t="n">
        <v>35</v>
      </c>
      <c r="P54" s="69" t="n">
        <f aca="false">AVERAGE(N54:O54)-F54</f>
        <v>0.75</v>
      </c>
      <c r="Q54" s="70"/>
      <c r="R54" s="91" t="n">
        <f aca="false">H54</f>
        <v>35</v>
      </c>
      <c r="S54" s="24"/>
      <c r="T54" s="24"/>
      <c r="U54" s="131"/>
      <c r="V54" s="158" t="n">
        <f aca="false">A54</f>
        <v>37500</v>
      </c>
      <c r="W54" s="159"/>
      <c r="X54" s="134"/>
      <c r="Y54" s="159"/>
      <c r="Z54" s="134"/>
      <c r="AA54" s="159"/>
      <c r="AB54" s="134"/>
      <c r="AC54" s="77"/>
      <c r="AD54" s="78"/>
      <c r="AE54" s="77"/>
      <c r="AF54" s="78"/>
      <c r="AG54" s="77"/>
      <c r="AH54" s="78"/>
      <c r="AI54" s="77"/>
      <c r="AJ54" s="78"/>
      <c r="AK54" s="77"/>
      <c r="AL54" s="78"/>
      <c r="AM54" s="77"/>
      <c r="AN54" s="78"/>
      <c r="AO54" s="77"/>
      <c r="AP54" s="78"/>
      <c r="AQ54" s="77"/>
      <c r="AR54" s="78"/>
      <c r="AS54" s="77"/>
      <c r="AT54" s="160"/>
      <c r="AU54" s="94"/>
      <c r="AV54" s="95"/>
      <c r="AW54" s="96"/>
      <c r="AX54" s="75"/>
      <c r="AY54" s="81"/>
      <c r="AZ54" s="75"/>
      <c r="BA54" s="81"/>
      <c r="BB54" s="75"/>
      <c r="BC54" s="81"/>
      <c r="BD54" s="75"/>
      <c r="BE54" s="81"/>
      <c r="BF54" s="75"/>
      <c r="BG54" s="81"/>
      <c r="BH54" s="75"/>
      <c r="BI54" s="81"/>
      <c r="BJ54" s="75"/>
      <c r="BK54" s="81"/>
      <c r="BL54" s="75"/>
      <c r="BM54" s="81"/>
      <c r="BN54" s="75"/>
      <c r="BO54" s="81"/>
      <c r="BP54" s="75"/>
      <c r="BQ54" s="81"/>
      <c r="BR54" s="75"/>
      <c r="BS54" s="81"/>
      <c r="BT54" s="75"/>
      <c r="BU54" s="81"/>
      <c r="BV54" s="75"/>
      <c r="BW54" s="81"/>
      <c r="BX54" s="75"/>
      <c r="BY54" s="81"/>
      <c r="BZ54" s="75"/>
      <c r="CA54" s="81"/>
      <c r="CB54" s="75"/>
      <c r="CC54" s="81"/>
      <c r="CD54" s="75"/>
      <c r="CE54" s="81"/>
      <c r="CF54" s="75"/>
      <c r="CG54" s="81"/>
      <c r="CH54" s="75"/>
      <c r="CI54" s="81"/>
      <c r="CJ54" s="75"/>
      <c r="CK54" s="81"/>
      <c r="CL54" s="75"/>
      <c r="CM54" s="81"/>
      <c r="CN54" s="75"/>
      <c r="CO54" s="81"/>
      <c r="CP54" s="75"/>
      <c r="CQ54" s="81"/>
      <c r="CR54" s="75"/>
      <c r="CS54" s="81"/>
      <c r="CT54" s="75"/>
      <c r="CU54" s="81"/>
      <c r="CV54" s="75"/>
      <c r="CW54" s="81"/>
      <c r="CX54" s="75"/>
      <c r="CY54" s="82" t="n">
        <f aca="false">W54+Y54+AA54+AC54+AE54+AG54+AI54+AK54+AM54+AO54+AQ54+AS54+AU54+AW54+AY54+BA54+BC54+BE54+BG54+BI54+BK54+BM54+BO54+BQ54+BS54+BU54+BW54+BY54+CA54+CC54+CE54+CG54+CI54+CK54+CM54+CO54+CQ54+CS54+CU54+CW54</f>
        <v>0</v>
      </c>
      <c r="CZ54" s="83" t="n">
        <f aca="false">IF(AND(CY54=0,DC54=0),0,(DF54+DG54)/DC54)</f>
        <v>0</v>
      </c>
      <c r="DB54" s="85" t="n">
        <f aca="false">V54</f>
        <v>37500</v>
      </c>
      <c r="DC54" s="84" t="n">
        <f aca="false">ABS(W54)+ABS(Y54)+ABS(AA54)+ABS(AC54)+ABS(AE54)+ABS(AG54)+ABS(AI54)+ABS(AK54)+ABS(AM54)+ABS(AO54)+ABS(AQ54)+ABS(AS54)+ABS(AU54)+ABS(AW54)+ABS(AY54)+ABS(BA54)+ABS(BC54)+ABS(BE54)+ABS(BG54)+ABS(BI54)+ABS(BK54)+ABS(BM54)+ABS(BO54)+ABS(BQ54)+ABS(BS54)+ABS(BU54)+ABS(BW54)+ABS(BY54)+ABS(CA54)+ABS(CC54)+ABS(CE54)+ABS(CG54)+ABS(CI54)+ABS(CK54)+ABS(CM54)+ABS(CO54)+ABS(CQ54)+ABS(CS54)+ABS(CU54)+ABS(CW54)</f>
        <v>0</v>
      </c>
      <c r="DD54" s="86" t="n">
        <v>16</v>
      </c>
      <c r="DE54" s="84" t="n">
        <v>1</v>
      </c>
      <c r="DF54" s="43" t="n">
        <f aca="false">(ABS(W54)*X54+ABS(Y54)*Z54+ABS(AA54)*AB54+ABS(AC54)*AD54+ABS(AE54)*AF54+ABS(AG54)*AH54+ABS(AI54)*AJ54+ABS(AK54)*AL54+ABS(AM54)*AN54+ABS(AO54)*AP54+ABS(AQ54)*AR54+ABS(AS54)*AT54+ABS(AU54)*AV54+ABS(AW54)*AX54+ABS(AY54)*AZ54+ABS(BA54)*BB54+ABS(BC54)*BD54+ABS(BE54)*BF54+ABS(BG54)*BH54+ABS(BI54)*BJ54)</f>
        <v>0</v>
      </c>
      <c r="DG54" s="43" t="n">
        <f aca="false">ABS(BK54)*BL54+ABS(BM54)*BN54+ABS(BO54)*BP54+ABS(BQ54)*BR54+ABS(BS54)*BT54+ABS(BU54)*BV54+ABS(BW54)*BX54+ABS(BY54)*BZ54+ABS(CA54)*CB54+ABS(CC54)*CD54+ABS(CE54)*CF54+ABS(CG54)*CH54+ABS(CI54)*CJ54+ABS(CK54)*CL54+ABS(CM54)*CN54+ABS(CO54)*CP54+ABS(CQ54)*CR54+ABS(CS54)*CT54+ABS(CU54)*CV54+ABS(CW54)*CX54</f>
        <v>0</v>
      </c>
      <c r="DH54" s="43" t="n">
        <f aca="false">(((H54-X54)*W54+(H54-Z54)*Y54+(H54-AB54)*AA54+(H54-AD54)*AC54+(H54-AF54)*AE54+(H54-AH54)*AG54+(H54-AJ54)*AI54+(H54-AL54)*AK54+(H54-AN54)*AM54+(H54-AP54)*AO54+(H54-AR54)*AQ54+(H54-AT54)*AS54+(H54-AV54)*AU54+(H54-AX54)*AW54+(H54-AZ54)*AY54+(H54-BB54)*BA54+(H54-BD54)*BC54+(H54-BF54)*BE54+(H54-BH54)*BG54+(H54-BJ54)*BI54)*DD54*DE54)*$DR54</f>
        <v>0</v>
      </c>
      <c r="DI54" s="43" t="n">
        <f aca="false">(((H54-BL54)*BK54+(H54-BN54)*BM54+(H54-BP54)*BO54+(H54-BR54)*BQ54+(H54-BT54)*BS54+(H54-BV54)*BU54+(H54-BX54)*BW54+(H54-BZ54)*BY54+(H54-CB54)*CA54+(H54-CD54)*CC54+(H54-CF54)*CE54+(H54-CH54)*CG54+(H54-CJ54)*CH54+(H54-CL54)*CK54+(H54-CN54)*CM54+(H54-CP54)*CO54+(H54-CR54)*CQ54+(H54-CT54)*CS54+(H54-CV54)*CU54+(H54-CX54)*CW54)*DD54*DE54)</f>
        <v>0</v>
      </c>
      <c r="DJ54" s="21" t="n">
        <v>0</v>
      </c>
      <c r="DK54" s="85" t="n">
        <v>36861</v>
      </c>
      <c r="DL54" s="21" t="n">
        <v>492.384368896484</v>
      </c>
      <c r="DM54" s="21" t="n">
        <f aca="false">[3]NYZoneA!$L45</f>
        <v>15380.6826171875</v>
      </c>
      <c r="DN54" s="21" t="n">
        <v>1</v>
      </c>
      <c r="DR54" s="146" t="n">
        <f aca="false">+'NYISO G'!DR54</f>
        <v>20</v>
      </c>
    </row>
    <row r="55" customFormat="false" ht="18.75" hidden="false" customHeight="false" outlineLevel="0" collapsed="false">
      <c r="A55" s="147" t="n">
        <f aca="false">[4]NYZoneA!$D46</f>
        <v>37530</v>
      </c>
      <c r="B55" s="119" t="n">
        <f aca="false">+[3]NYZoneA!$L46/16/DR55</f>
        <v>143.690365998641</v>
      </c>
      <c r="C55" s="148" t="n">
        <f aca="false">CY55</f>
        <v>-200</v>
      </c>
      <c r="D55" s="149" t="n">
        <f aca="false">(IF(MONTH(A55)=MONTH(EOMONTH(TradeDate,1)),$AN$70,0)*VLOOKUP(A55,$DK$12:$DN$43,4))</f>
        <v>0</v>
      </c>
      <c r="E55" s="150" t="n">
        <f aca="false">B55+C55+D55</f>
        <v>-56.3096340013587</v>
      </c>
      <c r="F55" s="151" t="n">
        <f aca="false">+[3]NYZoneA!$C46</f>
        <v>33.8999977111816</v>
      </c>
      <c r="G55" s="152" t="n">
        <f aca="false">IF($Q$9,Q55,P55)</f>
        <v>1.10000228881836</v>
      </c>
      <c r="H55" s="153" t="n">
        <f aca="false">F55+G55</f>
        <v>35</v>
      </c>
      <c r="I55" s="154" t="n">
        <f aca="false">B55*G55*DD55*DR55</f>
        <v>58165.9811845124</v>
      </c>
      <c r="J55" s="155" t="n">
        <f aca="false">DH55+DI55</f>
        <v>-22080.0000000001</v>
      </c>
      <c r="K55" s="156" t="n">
        <f aca="false">I55+J55</f>
        <v>36085.9811845123</v>
      </c>
      <c r="L55" s="24"/>
      <c r="M55" s="161" t="n">
        <f aca="false">A55</f>
        <v>37530</v>
      </c>
      <c r="N55" s="92" t="n">
        <v>35</v>
      </c>
      <c r="O55" s="92" t="n">
        <v>35</v>
      </c>
      <c r="P55" s="103" t="n">
        <f aca="false">AVERAGE(N55:O55)-F55</f>
        <v>1.10000228881836</v>
      </c>
      <c r="Q55" s="70"/>
      <c r="R55" s="91" t="n">
        <f aca="false">H55</f>
        <v>35</v>
      </c>
      <c r="S55" s="24"/>
      <c r="T55" s="24"/>
      <c r="U55" s="131"/>
      <c r="V55" s="158" t="n">
        <f aca="false">A55</f>
        <v>37530</v>
      </c>
      <c r="W55" s="159" t="n">
        <v>-100</v>
      </c>
      <c r="X55" s="134" t="n">
        <v>34</v>
      </c>
      <c r="Y55" s="159" t="n">
        <v>-50</v>
      </c>
      <c r="Z55" s="134" t="n">
        <v>35.15</v>
      </c>
      <c r="AA55" s="159" t="n">
        <v>-50</v>
      </c>
      <c r="AB55" s="134" t="n">
        <v>35.65</v>
      </c>
      <c r="AC55" s="77"/>
      <c r="AD55" s="78"/>
      <c r="AE55" s="77"/>
      <c r="AF55" s="78"/>
      <c r="AG55" s="77"/>
      <c r="AH55" s="78"/>
      <c r="AI55" s="77"/>
      <c r="AJ55" s="78"/>
      <c r="AK55" s="77"/>
      <c r="AL55" s="78"/>
      <c r="AM55" s="77"/>
      <c r="AN55" s="78"/>
      <c r="AO55" s="77"/>
      <c r="AP55" s="78"/>
      <c r="AQ55" s="77"/>
      <c r="AR55" s="78"/>
      <c r="AS55" s="77"/>
      <c r="AT55" s="160"/>
      <c r="AU55" s="94"/>
      <c r="AV55" s="95"/>
      <c r="AW55" s="96"/>
      <c r="AX55" s="75"/>
      <c r="AY55" s="81"/>
      <c r="AZ55" s="75"/>
      <c r="BA55" s="81"/>
      <c r="BB55" s="75"/>
      <c r="BC55" s="81"/>
      <c r="BD55" s="75"/>
      <c r="BE55" s="81"/>
      <c r="BF55" s="75"/>
      <c r="BG55" s="81"/>
      <c r="BH55" s="75"/>
      <c r="BI55" s="81"/>
      <c r="BJ55" s="75"/>
      <c r="BK55" s="81"/>
      <c r="BL55" s="75"/>
      <c r="BM55" s="81"/>
      <c r="BN55" s="75"/>
      <c r="BO55" s="81"/>
      <c r="BP55" s="75"/>
      <c r="BQ55" s="81"/>
      <c r="BR55" s="75"/>
      <c r="BS55" s="81"/>
      <c r="BT55" s="75"/>
      <c r="BU55" s="81"/>
      <c r="BV55" s="75"/>
      <c r="BW55" s="81"/>
      <c r="BX55" s="75"/>
      <c r="BY55" s="81"/>
      <c r="BZ55" s="75"/>
      <c r="CA55" s="81"/>
      <c r="CB55" s="75"/>
      <c r="CC55" s="81"/>
      <c r="CD55" s="75"/>
      <c r="CE55" s="81"/>
      <c r="CF55" s="75"/>
      <c r="CG55" s="81"/>
      <c r="CH55" s="75"/>
      <c r="CI55" s="81"/>
      <c r="CJ55" s="75"/>
      <c r="CK55" s="81"/>
      <c r="CL55" s="75"/>
      <c r="CM55" s="81"/>
      <c r="CN55" s="75"/>
      <c r="CO55" s="81"/>
      <c r="CP55" s="75"/>
      <c r="CQ55" s="81"/>
      <c r="CR55" s="75"/>
      <c r="CS55" s="81"/>
      <c r="CT55" s="75"/>
      <c r="CU55" s="81"/>
      <c r="CV55" s="75"/>
      <c r="CW55" s="81"/>
      <c r="CX55" s="75"/>
      <c r="CY55" s="82" t="n">
        <f aca="false">W55+Y55+AA55+AC55+AE55+AG55+AI55+AK55+AM55+AO55+AQ55+AS55+AU55+AW55+AY55+BA55+BC55+BE55+BG55+BI55+BK55+BM55+BO55+BQ55+BS55+BU55+BW55+BY55+CA55+CC55+CE55+CG55+CI55+CK55+CM55+CO55+CQ55+CS55+CU55+CW55</f>
        <v>-200</v>
      </c>
      <c r="CZ55" s="83" t="n">
        <f aca="false">IF(AND(CY55=0,DC55=0),0,(DF55+DG55)/DC55)</f>
        <v>34.7</v>
      </c>
      <c r="DB55" s="85" t="n">
        <f aca="false">V55</f>
        <v>37530</v>
      </c>
      <c r="DC55" s="84" t="n">
        <f aca="false">ABS(W55)+ABS(Y55)+ABS(AA55)+ABS(AC55)+ABS(AE55)+ABS(AG55)+ABS(AI55)+ABS(AK55)+ABS(AM55)+ABS(AO55)+ABS(AQ55)+ABS(AS55)+ABS(AU55)+ABS(AW55)+ABS(AY55)+ABS(BA55)+ABS(BC55)+ABS(BE55)+ABS(BG55)+ABS(BI55)+ABS(BK55)+ABS(BM55)+ABS(BO55)+ABS(BQ55)+ABS(BS55)+ABS(BU55)+ABS(BW55)+ABS(BY55)+ABS(CA55)+ABS(CC55)+ABS(CE55)+ABS(CG55)+ABS(CI55)+ABS(CK55)+ABS(CM55)+ABS(CO55)+ABS(CQ55)+ABS(CS55)+ABS(CU55)+ABS(CW55)</f>
        <v>200</v>
      </c>
      <c r="DD55" s="86" t="n">
        <v>16</v>
      </c>
      <c r="DE55" s="84" t="n">
        <v>1</v>
      </c>
      <c r="DF55" s="43" t="n">
        <f aca="false">(ABS(W55)*X55+ABS(Y55)*Z55+ABS(AA55)*AB55+ABS(AC55)*AD55+ABS(AE55)*AF55+ABS(AG55)*AH55+ABS(AI55)*AJ55+ABS(AK55)*AL55+ABS(AM55)*AN55+ABS(AO55)*AP55+ABS(AQ55)*AR55+ABS(AS55)*AT55+ABS(AU55)*AV55+ABS(AW55)*AX55+ABS(AY55)*AZ55+ABS(BA55)*BB55+ABS(BC55)*BD55+ABS(BE55)*BF55+ABS(BG55)*BH55+ABS(BI55)*BJ55)</f>
        <v>6940</v>
      </c>
      <c r="DG55" s="43" t="n">
        <f aca="false">ABS(BK55)*BL55+ABS(BM55)*BN55+ABS(BO55)*BP55+ABS(BQ55)*BR55+ABS(BS55)*BT55+ABS(BU55)*BV55+ABS(BW55)*BX55+ABS(BY55)*BZ55+ABS(CA55)*CB55+ABS(CC55)*CD55+ABS(CE55)*CF55+ABS(CG55)*CH55+ABS(CI55)*CJ55+ABS(CK55)*CL55+ABS(CM55)*CN55+ABS(CO55)*CP55+ABS(CQ55)*CR55+ABS(CS55)*CT55+ABS(CU55)*CV55+ABS(CW55)*CX55</f>
        <v>0</v>
      </c>
      <c r="DH55" s="43" t="n">
        <f aca="false">(((H55-X55)*W55+(H55-Z55)*Y55+(H55-AB55)*AA55+(H55-AD55)*AC55+(H55-AF55)*AE55+(H55-AH55)*AG55+(H55-AJ55)*AI55+(H55-AL55)*AK55+(H55-AN55)*AM55+(H55-AP55)*AO55+(H55-AR55)*AQ55+(H55-AT55)*AS55+(H55-AV55)*AU55+(H55-AX55)*AW55+(H55-AZ55)*AY55+(H55-BB55)*BA55+(H55-BD55)*BC55+(H55-BF55)*BE55+(H55-BH55)*BG55+(H55-BJ55)*BI55)*DD55*DE55)*$DR55</f>
        <v>-22080.0000000001</v>
      </c>
      <c r="DI55" s="43" t="n">
        <f aca="false">(((H55-BL55)*BK55+(H55-BN55)*BM55+(H55-BP55)*BO55+(H55-BR55)*BQ55+(H55-BT55)*BS55+(H55-BV55)*BU55+(H55-BX55)*BW55+(H55-BZ55)*BY55+(H55-CB55)*CA55+(H55-CD55)*CC55+(H55-CF55)*CE55+(H55-CH55)*CG55+(H55-CJ55)*CH55+(H55-CL55)*CK55+(H55-CN55)*CM55+(H55-CP55)*CO55+(H55-CR55)*CQ55+(H55-CT55)*CS55+(H55-CV55)*CU55+(H55-CX55)*CW55)*DD55*DE55)</f>
        <v>0</v>
      </c>
      <c r="DJ55" s="21" t="n">
        <v>0</v>
      </c>
      <c r="DK55" s="85" t="n">
        <v>36861</v>
      </c>
      <c r="DL55" s="21" t="n">
        <v>492.384368896484</v>
      </c>
      <c r="DM55" s="21" t="n">
        <f aca="false">[3]NYZoneA!$L46</f>
        <v>52878.0546875</v>
      </c>
      <c r="DN55" s="21" t="n">
        <v>1</v>
      </c>
      <c r="DR55" s="146" t="n">
        <f aca="false">+'NYISO G'!DR55</f>
        <v>23</v>
      </c>
    </row>
    <row r="56" customFormat="false" ht="18.75" hidden="false" customHeight="false" outlineLevel="0" collapsed="false">
      <c r="A56" s="147" t="n">
        <f aca="false">[4]NYZoneA!$D47</f>
        <v>37561</v>
      </c>
      <c r="B56" s="119" t="n">
        <f aca="false">+[3]NYZoneA!$L47/16/DR56</f>
        <v>143.211096191406</v>
      </c>
      <c r="C56" s="148" t="n">
        <f aca="false">CY56</f>
        <v>-200</v>
      </c>
      <c r="D56" s="149" t="n">
        <f aca="false">(IF(MONTH(A56)=MONTH(EOMONTH(TradeDate,1)),$AN$70,0)*VLOOKUP(A56,$DK$12:$DN$43,4))</f>
        <v>0</v>
      </c>
      <c r="E56" s="150" t="n">
        <f aca="false">B56+C56+D56</f>
        <v>-56.7889038085937</v>
      </c>
      <c r="F56" s="151" t="n">
        <f aca="false">+[3]NYZoneA!$C47</f>
        <v>33.8999977111816</v>
      </c>
      <c r="G56" s="152" t="n">
        <f aca="false">IF($Q$9,Q56,P56)</f>
        <v>1.10000228881836</v>
      </c>
      <c r="H56" s="153" t="n">
        <f aca="false">F56+G56</f>
        <v>35</v>
      </c>
      <c r="I56" s="154" t="n">
        <f aca="false">B56*G56*DD56*DR56</f>
        <v>50410.4107503146</v>
      </c>
      <c r="J56" s="155" t="n">
        <f aca="false">DH56+DI56</f>
        <v>-19200</v>
      </c>
      <c r="K56" s="156" t="n">
        <f aca="false">I56+J56</f>
        <v>31210.4107503146</v>
      </c>
      <c r="L56" s="24"/>
      <c r="M56" s="157" t="n">
        <f aca="false">A56</f>
        <v>37561</v>
      </c>
      <c r="N56" s="92" t="n">
        <v>35</v>
      </c>
      <c r="O56" s="92" t="n">
        <v>35</v>
      </c>
      <c r="P56" s="69" t="n">
        <f aca="false">AVERAGE(N56:O56)-F56</f>
        <v>1.10000228881836</v>
      </c>
      <c r="Q56" s="70"/>
      <c r="R56" s="91" t="n">
        <f aca="false">H56</f>
        <v>35</v>
      </c>
      <c r="S56" s="24"/>
      <c r="T56" s="24"/>
      <c r="V56" s="162" t="n">
        <f aca="false">A56</f>
        <v>37561</v>
      </c>
      <c r="W56" s="163" t="n">
        <v>-100</v>
      </c>
      <c r="X56" s="164" t="n">
        <v>34</v>
      </c>
      <c r="Y56" s="163" t="n">
        <v>-50</v>
      </c>
      <c r="Z56" s="164" t="n">
        <v>35.15</v>
      </c>
      <c r="AA56" s="163" t="n">
        <v>-50</v>
      </c>
      <c r="AB56" s="164" t="n">
        <v>35.65</v>
      </c>
      <c r="AC56" s="165"/>
      <c r="AD56" s="166"/>
      <c r="AE56" s="165"/>
      <c r="AF56" s="166"/>
      <c r="AG56" s="165"/>
      <c r="AH56" s="166"/>
      <c r="AI56" s="165"/>
      <c r="AJ56" s="166"/>
      <c r="AK56" s="165"/>
      <c r="AL56" s="166"/>
      <c r="AM56" s="165"/>
      <c r="AN56" s="166"/>
      <c r="AO56" s="165"/>
      <c r="AP56" s="166"/>
      <c r="AQ56" s="165"/>
      <c r="AR56" s="166"/>
      <c r="AS56" s="165"/>
      <c r="AT56" s="167"/>
      <c r="AU56" s="111"/>
      <c r="AV56" s="112"/>
      <c r="AW56" s="168"/>
      <c r="AX56" s="169"/>
      <c r="AY56" s="170"/>
      <c r="AZ56" s="169"/>
      <c r="BA56" s="170"/>
      <c r="BB56" s="169"/>
      <c r="BC56" s="170"/>
      <c r="BD56" s="169"/>
      <c r="BE56" s="170"/>
      <c r="BF56" s="169"/>
      <c r="BG56" s="170"/>
      <c r="BH56" s="169"/>
      <c r="BI56" s="170"/>
      <c r="BJ56" s="169"/>
      <c r="BK56" s="170"/>
      <c r="BL56" s="169"/>
      <c r="BM56" s="170"/>
      <c r="BN56" s="169"/>
      <c r="BO56" s="170"/>
      <c r="BP56" s="169"/>
      <c r="BQ56" s="170"/>
      <c r="BR56" s="169"/>
      <c r="BS56" s="170"/>
      <c r="BT56" s="169"/>
      <c r="BU56" s="170"/>
      <c r="BV56" s="169"/>
      <c r="BW56" s="170"/>
      <c r="BX56" s="169"/>
      <c r="BY56" s="170"/>
      <c r="BZ56" s="169"/>
      <c r="CA56" s="170"/>
      <c r="CB56" s="169"/>
      <c r="CC56" s="170"/>
      <c r="CD56" s="169"/>
      <c r="CE56" s="170"/>
      <c r="CF56" s="169"/>
      <c r="CG56" s="170"/>
      <c r="CH56" s="169"/>
      <c r="CI56" s="170"/>
      <c r="CJ56" s="169"/>
      <c r="CK56" s="170"/>
      <c r="CL56" s="169"/>
      <c r="CM56" s="170"/>
      <c r="CN56" s="169"/>
      <c r="CO56" s="170"/>
      <c r="CP56" s="169"/>
      <c r="CQ56" s="170"/>
      <c r="CR56" s="169"/>
      <c r="CS56" s="170"/>
      <c r="CT56" s="169"/>
      <c r="CU56" s="170"/>
      <c r="CV56" s="169"/>
      <c r="CW56" s="170"/>
      <c r="CX56" s="169"/>
      <c r="CY56" s="171" t="n">
        <f aca="false">W56+Y56+AA56+AC56+AE56+AG56+AI56+AK56+AM56+AO56+AQ56+AS56+AU56+AW56+AY56+BA56+BC56+BE56+BG56+BI56+BK56+BM56+BO56+BQ56+BS56+BU56+BW56+BY56+CA56+CC56+CE56+CG56+CI56+CK56+CM56+CO56+CQ56+CS56+CU56+CW56</f>
        <v>-200</v>
      </c>
      <c r="CZ56" s="172" t="n">
        <f aca="false">IF(AND(CY56=0,DC56=0),0,(DF56+DG56)/DC56)</f>
        <v>34.7</v>
      </c>
      <c r="DA56" s="173"/>
      <c r="DB56" s="174" t="n">
        <f aca="false">V56</f>
        <v>37561</v>
      </c>
      <c r="DC56" s="175" t="n">
        <f aca="false">ABS(W56)+ABS(Y56)+ABS(AA56)+ABS(AC56)+ABS(AE56)+ABS(AG56)+ABS(AI56)+ABS(AK56)+ABS(AM56)+ABS(AO56)+ABS(AQ56)+ABS(AS56)+ABS(AU56)+ABS(AW56)+ABS(AY56)+ABS(BA56)+ABS(BC56)+ABS(BE56)+ABS(BG56)+ABS(BI56)+ABS(BK56)+ABS(BM56)+ABS(BO56)+ABS(BQ56)+ABS(BS56)+ABS(BU56)+ABS(BW56)+ABS(BY56)+ABS(CA56)+ABS(CC56)+ABS(CE56)+ABS(CG56)+ABS(CI56)+ABS(CK56)+ABS(CM56)+ABS(CO56)+ABS(CQ56)+ABS(CS56)+ABS(CU56)+ABS(CW56)</f>
        <v>200</v>
      </c>
      <c r="DD56" s="86" t="n">
        <v>16</v>
      </c>
      <c r="DE56" s="175" t="n">
        <v>1</v>
      </c>
      <c r="DF56" s="46" t="n">
        <f aca="false">(ABS(W56)*X56+ABS(Y56)*Z56+ABS(AA56)*AB56+ABS(AC56)*AD56+ABS(AE56)*AF56+ABS(AG56)*AH56+ABS(AI56)*AJ56+ABS(AK56)*AL56+ABS(AM56)*AN56+ABS(AO56)*AP56+ABS(AQ56)*AR56+ABS(AS56)*AT56+ABS(AU56)*AV56+ABS(AW56)*AX56+ABS(AY56)*AZ56+ABS(BA56)*BB56+ABS(BC56)*BD56+ABS(BE56)*BF56+ABS(BG56)*BH56+ABS(BI56)*BJ56)</f>
        <v>6940</v>
      </c>
      <c r="DG56" s="46" t="n">
        <f aca="false">ABS(BK56)*BL56+ABS(BM56)*BN56+ABS(BO56)*BP56+ABS(BQ56)*BR56+ABS(BS56)*BT56+ABS(BU56)*BV56+ABS(BW56)*BX56+ABS(BY56)*BZ56+ABS(CA56)*CB56+ABS(CC56)*CD56+ABS(CE56)*CF56+ABS(CG56)*CH56+ABS(CI56)*CJ56+ABS(CK56)*CL56+ABS(CM56)*CN56+ABS(CO56)*CP56+ABS(CQ56)*CR56+ABS(CS56)*CT56+ABS(CU56)*CV56+ABS(CW56)*CX56</f>
        <v>0</v>
      </c>
      <c r="DH56" s="46" t="n">
        <f aca="false">(((H56-X56)*W56+(H56-Z56)*Y56+(H56-AB56)*AA56+(H56-AD56)*AC56+(H56-AF56)*AE56+(H56-AH56)*AG56+(H56-AJ56)*AI56+(H56-AL56)*AK56+(H56-AN56)*AM56+(H56-AP56)*AO56+(H56-AR56)*AQ56+(H56-AT56)*AS56+(H56-AV56)*AU56+(H56-AX56)*AW56+(H56-AZ56)*AY56+(H56-BB56)*BA56+(H56-BD56)*BC56+(H56-BF56)*BE56+(H56-BH56)*BG56+(H56-BJ56)*BI56)*DD56*DE56)*$DR56</f>
        <v>-19200</v>
      </c>
      <c r="DI56" s="46" t="n">
        <f aca="false">(((H56-BL56)*BK56+(H56-BN56)*BM56+(H56-BP56)*BO56+(H56-BR56)*BQ56+(H56-BT56)*BS56+(H56-BV56)*BU56+(H56-BX56)*BW56+(H56-BZ56)*BY56+(H56-CB56)*CA56+(H56-CD56)*CC56+(H56-CF56)*CE56+(H56-CH56)*CG56+(H56-CJ56)*CH56+(H56-CL56)*CK56+(H56-CN56)*CM56+(H56-CP56)*CO56+(H56-CR56)*CQ56+(H56-CT56)*CS56+(H56-CV56)*CU56+(H56-CX56)*CW56)*DD56*DE56)</f>
        <v>0</v>
      </c>
      <c r="DJ56" s="173" t="n">
        <v>0</v>
      </c>
      <c r="DK56" s="174" t="n">
        <v>36861</v>
      </c>
      <c r="DL56" s="173" t="n">
        <v>492.384368896484</v>
      </c>
      <c r="DM56" s="173" t="n">
        <f aca="false">[3]NYZoneA!$L47</f>
        <v>45827.55078125</v>
      </c>
      <c r="DN56" s="173" t="n">
        <v>1</v>
      </c>
      <c r="DO56" s="173"/>
      <c r="DP56" s="173"/>
      <c r="DQ56" s="173"/>
      <c r="DR56" s="146" t="n">
        <f aca="false">+'NYISO G'!DR56</f>
        <v>20</v>
      </c>
    </row>
    <row r="57" customFormat="false" ht="18.75" hidden="false" customHeight="false" outlineLevel="0" collapsed="false">
      <c r="A57" s="147" t="n">
        <f aca="false">[4]NYZoneA!$D48</f>
        <v>37591</v>
      </c>
      <c r="B57" s="119" t="n">
        <v>142</v>
      </c>
      <c r="C57" s="148" t="n">
        <f aca="false">CY57</f>
        <v>-200</v>
      </c>
      <c r="D57" s="149" t="n">
        <f aca="false">(IF(MONTH(A57)=MONTH(EOMONTH(TradeDate,1)),$AN$70,0)*VLOOKUP(A57,$DK$12:$DN$43,4))</f>
        <v>0</v>
      </c>
      <c r="E57" s="150" t="n">
        <f aca="false">B57+C57+D57</f>
        <v>-58</v>
      </c>
      <c r="F57" s="151" t="n">
        <f aca="false">+[3]NYZoneA!$C48</f>
        <v>33.8999977111816</v>
      </c>
      <c r="G57" s="152" t="n">
        <f aca="false">IF($Q$9,Q57,P57)</f>
        <v>1.10000228881836</v>
      </c>
      <c r="H57" s="153" t="n">
        <f aca="false">F57+G57</f>
        <v>35</v>
      </c>
      <c r="I57" s="154" t="n">
        <f aca="false">B57*G57*DD57*DR57</f>
        <v>52483.3092041016</v>
      </c>
      <c r="J57" s="155" t="n">
        <f aca="false">DH57+DI57</f>
        <v>-20160</v>
      </c>
      <c r="K57" s="156" t="n">
        <f aca="false">I57+J57</f>
        <v>32323.3092041015</v>
      </c>
      <c r="L57" s="24"/>
      <c r="M57" s="157" t="n">
        <f aca="false">A57</f>
        <v>37591</v>
      </c>
      <c r="N57" s="92" t="n">
        <v>35</v>
      </c>
      <c r="O57" s="92" t="n">
        <v>35</v>
      </c>
      <c r="P57" s="69" t="n">
        <f aca="false">AVERAGE(N57:O57)-F57</f>
        <v>1.10000228881836</v>
      </c>
      <c r="Q57" s="70"/>
      <c r="R57" s="91" t="n">
        <f aca="false">H57</f>
        <v>35</v>
      </c>
      <c r="S57" s="24"/>
      <c r="T57" s="24"/>
      <c r="V57" s="162" t="n">
        <f aca="false">A57</f>
        <v>37591</v>
      </c>
      <c r="W57" s="163" t="n">
        <v>-100</v>
      </c>
      <c r="X57" s="164" t="n">
        <v>34</v>
      </c>
      <c r="Y57" s="163" t="n">
        <v>-50</v>
      </c>
      <c r="Z57" s="164" t="n">
        <v>35.15</v>
      </c>
      <c r="AA57" s="163" t="n">
        <v>-50</v>
      </c>
      <c r="AB57" s="164" t="n">
        <v>35.65</v>
      </c>
      <c r="AC57" s="165"/>
      <c r="AD57" s="166"/>
      <c r="AE57" s="165"/>
      <c r="AF57" s="166"/>
      <c r="AG57" s="165"/>
      <c r="AH57" s="166"/>
      <c r="AI57" s="165"/>
      <c r="AJ57" s="166"/>
      <c r="AK57" s="165"/>
      <c r="AL57" s="166"/>
      <c r="AM57" s="165"/>
      <c r="AN57" s="166"/>
      <c r="AO57" s="165"/>
      <c r="AP57" s="166"/>
      <c r="AQ57" s="165"/>
      <c r="AR57" s="166"/>
      <c r="AS57" s="165"/>
      <c r="AT57" s="167"/>
      <c r="AU57" s="111"/>
      <c r="AV57" s="112"/>
      <c r="AW57" s="168"/>
      <c r="AX57" s="169"/>
      <c r="AY57" s="170"/>
      <c r="AZ57" s="169"/>
      <c r="BA57" s="170"/>
      <c r="BB57" s="169"/>
      <c r="BC57" s="170"/>
      <c r="BD57" s="169"/>
      <c r="BE57" s="170"/>
      <c r="BF57" s="169"/>
      <c r="BG57" s="170"/>
      <c r="BH57" s="169"/>
      <c r="BI57" s="170"/>
      <c r="BJ57" s="169"/>
      <c r="BK57" s="170"/>
      <c r="BL57" s="169"/>
      <c r="BM57" s="170"/>
      <c r="BN57" s="169"/>
      <c r="BO57" s="170"/>
      <c r="BP57" s="169"/>
      <c r="BQ57" s="170"/>
      <c r="BR57" s="169"/>
      <c r="BS57" s="170"/>
      <c r="BT57" s="169"/>
      <c r="BU57" s="170"/>
      <c r="BV57" s="169"/>
      <c r="BW57" s="170"/>
      <c r="BX57" s="169"/>
      <c r="BY57" s="170"/>
      <c r="BZ57" s="169"/>
      <c r="CA57" s="170"/>
      <c r="CB57" s="169"/>
      <c r="CC57" s="170"/>
      <c r="CD57" s="169"/>
      <c r="CE57" s="170"/>
      <c r="CF57" s="169"/>
      <c r="CG57" s="170"/>
      <c r="CH57" s="169"/>
      <c r="CI57" s="170"/>
      <c r="CJ57" s="169"/>
      <c r="CK57" s="170"/>
      <c r="CL57" s="169"/>
      <c r="CM57" s="170"/>
      <c r="CN57" s="169"/>
      <c r="CO57" s="170"/>
      <c r="CP57" s="169"/>
      <c r="CQ57" s="170"/>
      <c r="CR57" s="169"/>
      <c r="CS57" s="170"/>
      <c r="CT57" s="169"/>
      <c r="CU57" s="170"/>
      <c r="CV57" s="169"/>
      <c r="CW57" s="170"/>
      <c r="CX57" s="169"/>
      <c r="CY57" s="171" t="n">
        <f aca="false">W57+Y57+AA57+AC57+AE57+AG57+AI57+AK57+AM57+AO57+AQ57+AS57+AU57+AW57+AY57+BA57+BC57+BE57+BG57+BI57+BK57+BM57+BO57+BQ57+BS57+BU57+BW57+BY57+CA57+CC57+CE57+CG57+CI57+CK57+CM57+CO57+CQ57+CS57+CU57+CW57</f>
        <v>-200</v>
      </c>
      <c r="CZ57" s="172" t="n">
        <f aca="false">IF(AND(CY57=0,DC57=0),0,(DF57+DG57)/DC57)</f>
        <v>34.7</v>
      </c>
      <c r="DA57" s="173"/>
      <c r="DB57" s="174" t="n">
        <f aca="false">V57</f>
        <v>37591</v>
      </c>
      <c r="DC57" s="175" t="n">
        <f aca="false">ABS(W57)+ABS(Y57)+ABS(AA57)+ABS(AC57)+ABS(AE57)+ABS(AG57)+ABS(AI57)+ABS(AK57)+ABS(AM57)+ABS(AO57)+ABS(AQ57)+ABS(AS57)+ABS(AU57)+ABS(AW57)+ABS(AY57)+ABS(BA57)+ABS(BC57)+ABS(BE57)+ABS(BG57)+ABS(BI57)+ABS(BK57)+ABS(BM57)+ABS(BO57)+ABS(BQ57)+ABS(BS57)+ABS(BU57)+ABS(BW57)+ABS(BY57)+ABS(CA57)+ABS(CC57)+ABS(CE57)+ABS(CG57)+ABS(CI57)+ABS(CK57)+ABS(CM57)+ABS(CO57)+ABS(CQ57)+ABS(CS57)+ABS(CU57)+ABS(CW57)</f>
        <v>200</v>
      </c>
      <c r="DD57" s="86" t="n">
        <v>16</v>
      </c>
      <c r="DE57" s="175" t="n">
        <v>1</v>
      </c>
      <c r="DF57" s="46" t="n">
        <f aca="false">(ABS(W57)*X57+ABS(Y57)*Z57+ABS(AA57)*AB57+ABS(AC57)*AD57+ABS(AE57)*AF57+ABS(AG57)*AH57+ABS(AI57)*AJ57+ABS(AK57)*AL57+ABS(AM57)*AN57+ABS(AO57)*AP57+ABS(AQ57)*AR57+ABS(AS57)*AT57+ABS(AU57)*AV57+ABS(AW57)*AX57+ABS(AY57)*AZ57+ABS(BA57)*BB57+ABS(BC57)*BD57+ABS(BE57)*BF57+ABS(BG57)*BH57+ABS(BI57)*BJ57)</f>
        <v>6940</v>
      </c>
      <c r="DG57" s="46" t="n">
        <f aca="false">ABS(BK57)*BL57+ABS(BM57)*BN57+ABS(BO57)*BP57+ABS(BQ57)*BR57+ABS(BS57)*BT57+ABS(BU57)*BV57+ABS(BW57)*BX57+ABS(BY57)*BZ57+ABS(CA57)*CB57+ABS(CC57)*CD57+ABS(CE57)*CF57+ABS(CG57)*CH57+ABS(CI57)*CJ57+ABS(CK57)*CL57+ABS(CM57)*CN57+ABS(CO57)*CP57+ABS(CQ57)*CR57+ABS(CS57)*CT57+ABS(CU57)*CV57+ABS(CW57)*CX57</f>
        <v>0</v>
      </c>
      <c r="DH57" s="46" t="n">
        <f aca="false">(((H57-X57)*W57+(H57-Z57)*Y57+(H57-AB57)*AA57+(H57-AD57)*AC57+(H57-AF57)*AE57+(H57-AH57)*AG57+(H57-AJ57)*AI57+(H57-AL57)*AK57+(H57-AN57)*AM57+(H57-AP57)*AO57+(H57-AR57)*AQ57+(H57-AT57)*AS57+(H57-AV57)*AU57+(H57-AX57)*AW57+(H57-AZ57)*AY57+(H57-BB57)*BA57+(H57-BD57)*BC57+(H57-BF57)*BE57+(H57-BH57)*BG57+(H57-BJ57)*BI57)*DD57*DE57)*$DR57</f>
        <v>-20160</v>
      </c>
      <c r="DI57" s="46" t="n">
        <f aca="false">(((H57-BL57)*BK57+(H57-BN57)*BM57+(H57-BP57)*BO57+(H57-BR57)*BQ57+(H57-BT57)*BS57+(H57-BV57)*BU57+(H57-BX57)*BW57+(H57-BZ57)*BY57+(H57-CB57)*CA57+(H57-CD57)*CC57+(H57-CF57)*CE57+(H57-CH57)*CG57+(H57-CJ57)*CH57+(H57-CL57)*CK57+(H57-CN57)*CM57+(H57-CP57)*CO57+(H57-CR57)*CQ57+(H57-CT57)*CS57+(H57-CV57)*CU57+(H57-CX57)*CW57)*DD57*DE57)</f>
        <v>0</v>
      </c>
      <c r="DJ57" s="173" t="n">
        <v>0</v>
      </c>
      <c r="DK57" s="174" t="n">
        <v>36861</v>
      </c>
      <c r="DL57" s="173" t="n">
        <v>492.384368896484</v>
      </c>
      <c r="DM57" s="173" t="n">
        <f aca="false">[3]NYZoneA!$L48</f>
        <v>0</v>
      </c>
      <c r="DN57" s="173" t="n">
        <v>1</v>
      </c>
      <c r="DO57" s="173"/>
      <c r="DP57" s="173"/>
      <c r="DQ57" s="173"/>
      <c r="DR57" s="146" t="n">
        <f aca="false">+'NYISO G'!DR57</f>
        <v>21</v>
      </c>
    </row>
    <row r="58" customFormat="false" ht="18.75" hidden="false" customHeight="false" outlineLevel="0" collapsed="false">
      <c r="A58" s="147" t="n">
        <f aca="false">[4]NYZoneA!$D49</f>
        <v>37622</v>
      </c>
      <c r="B58" s="119" t="n">
        <v>142</v>
      </c>
      <c r="C58" s="148" t="n">
        <f aca="false">CY58</f>
        <v>0</v>
      </c>
      <c r="D58" s="149" t="n">
        <f aca="false">(IF(MONTH(A58)=MONTH(EOMONTH(TradeDate,1)),$AN$70,0)*VLOOKUP(A58,$DK$12:$DN$43,4))</f>
        <v>0</v>
      </c>
      <c r="E58" s="150" t="n">
        <f aca="false">B58+C58+D58</f>
        <v>142</v>
      </c>
      <c r="F58" s="151" t="n">
        <f aca="false">+[3]NYZoneA!$C49</f>
        <v>40</v>
      </c>
      <c r="G58" s="152" t="n">
        <f aca="false">IF($Q$9,Q58,P58)</f>
        <v>-0.5</v>
      </c>
      <c r="H58" s="153" t="n">
        <f aca="false">F58+G58</f>
        <v>39.5</v>
      </c>
      <c r="I58" s="154" t="n">
        <f aca="false">B58*G58*DD58*DR58</f>
        <v>-23856</v>
      </c>
      <c r="J58" s="155" t="n">
        <f aca="false">DH58+DI58</f>
        <v>0</v>
      </c>
      <c r="K58" s="156" t="n">
        <f aca="false">I58+J58</f>
        <v>-23856</v>
      </c>
      <c r="L58" s="24"/>
      <c r="M58" s="157" t="n">
        <f aca="false">A58</f>
        <v>37622</v>
      </c>
      <c r="N58" s="92" t="n">
        <v>39.5</v>
      </c>
      <c r="O58" s="92" t="n">
        <v>39.5</v>
      </c>
      <c r="P58" s="69" t="n">
        <f aca="false">AVERAGE(N58:O58)-F58</f>
        <v>-0.5</v>
      </c>
      <c r="Q58" s="70"/>
      <c r="R58" s="91" t="n">
        <f aca="false">H58</f>
        <v>39.5</v>
      </c>
      <c r="S58" s="24"/>
      <c r="T58" s="24"/>
      <c r="V58" s="162" t="n">
        <f aca="false">A58</f>
        <v>37622</v>
      </c>
      <c r="W58" s="163"/>
      <c r="X58" s="164"/>
      <c r="Y58" s="163"/>
      <c r="Z58" s="164"/>
      <c r="AA58" s="163"/>
      <c r="AB58" s="164"/>
      <c r="AC58" s="165"/>
      <c r="AD58" s="166"/>
      <c r="AE58" s="165"/>
      <c r="AF58" s="166"/>
      <c r="AG58" s="165"/>
      <c r="AH58" s="166"/>
      <c r="AI58" s="165"/>
      <c r="AJ58" s="166"/>
      <c r="AK58" s="165"/>
      <c r="AL58" s="166"/>
      <c r="AM58" s="165"/>
      <c r="AN58" s="166"/>
      <c r="AO58" s="165"/>
      <c r="AP58" s="166"/>
      <c r="AQ58" s="165"/>
      <c r="AR58" s="166"/>
      <c r="AS58" s="165"/>
      <c r="AT58" s="167"/>
      <c r="AU58" s="111"/>
      <c r="AV58" s="112"/>
      <c r="AW58" s="168"/>
      <c r="AX58" s="169"/>
      <c r="AY58" s="170"/>
      <c r="AZ58" s="169"/>
      <c r="BA58" s="170"/>
      <c r="BB58" s="169"/>
      <c r="BC58" s="170"/>
      <c r="BD58" s="169"/>
      <c r="BE58" s="170"/>
      <c r="BF58" s="169"/>
      <c r="BG58" s="170"/>
      <c r="BH58" s="169"/>
      <c r="BI58" s="170"/>
      <c r="BJ58" s="169"/>
      <c r="BK58" s="170"/>
      <c r="BL58" s="169"/>
      <c r="BM58" s="170"/>
      <c r="BN58" s="169"/>
      <c r="BO58" s="170"/>
      <c r="BP58" s="169"/>
      <c r="BQ58" s="170"/>
      <c r="BR58" s="169"/>
      <c r="BS58" s="170"/>
      <c r="BT58" s="169"/>
      <c r="BU58" s="170"/>
      <c r="BV58" s="169"/>
      <c r="BW58" s="170"/>
      <c r="BX58" s="169"/>
      <c r="BY58" s="170"/>
      <c r="BZ58" s="169"/>
      <c r="CA58" s="170"/>
      <c r="CB58" s="169"/>
      <c r="CC58" s="170"/>
      <c r="CD58" s="169"/>
      <c r="CE58" s="170"/>
      <c r="CF58" s="169"/>
      <c r="CG58" s="170"/>
      <c r="CH58" s="169"/>
      <c r="CI58" s="170"/>
      <c r="CJ58" s="169"/>
      <c r="CK58" s="170"/>
      <c r="CL58" s="169"/>
      <c r="CM58" s="170"/>
      <c r="CN58" s="169"/>
      <c r="CO58" s="170"/>
      <c r="CP58" s="169"/>
      <c r="CQ58" s="170"/>
      <c r="CR58" s="169"/>
      <c r="CS58" s="170"/>
      <c r="CT58" s="169"/>
      <c r="CU58" s="170"/>
      <c r="CV58" s="169"/>
      <c r="CW58" s="170"/>
      <c r="CX58" s="169"/>
      <c r="CY58" s="171" t="n">
        <f aca="false">W58+Y58+AA58+AC58+AE58+AG58+AI58+AK58+AM58+AO58+AQ58+AS58+AU58+AW58+AY58+BA58+BC58+BE58+BG58+BI58+BK58+BM58+BO58+BQ58+BS58+BU58+BW58+BY58+CA58+CC58+CE58+CG58+CI58+CK58+CM58+CO58+CQ58+CS58+CU58+CW58</f>
        <v>0</v>
      </c>
      <c r="CZ58" s="172" t="n">
        <f aca="false">IF(AND(CY58=0,DC58=0),0,(DF58+DG58)/DC58)</f>
        <v>0</v>
      </c>
      <c r="DA58" s="173"/>
      <c r="DB58" s="174" t="n">
        <f aca="false">V58</f>
        <v>37622</v>
      </c>
      <c r="DC58" s="175" t="n">
        <f aca="false">ABS(W58)+ABS(Y58)+ABS(AA58)+ABS(AC58)+ABS(AE58)+ABS(AG58)+ABS(AI58)+ABS(AK58)+ABS(AM58)+ABS(AO58)+ABS(AQ58)+ABS(AS58)+ABS(AU58)+ABS(AW58)+ABS(AY58)+ABS(BA58)+ABS(BC58)+ABS(BE58)+ABS(BG58)+ABS(BI58)+ABS(BK58)+ABS(BM58)+ABS(BO58)+ABS(BQ58)+ABS(BS58)+ABS(BU58)+ABS(BW58)+ABS(BY58)+ABS(CA58)+ABS(CC58)+ABS(CE58)+ABS(CG58)+ABS(CI58)+ABS(CK58)+ABS(CM58)+ABS(CO58)+ABS(CQ58)+ABS(CS58)+ABS(CU58)+ABS(CW58)</f>
        <v>0</v>
      </c>
      <c r="DD58" s="86" t="n">
        <v>16</v>
      </c>
      <c r="DE58" s="175" t="n">
        <v>1</v>
      </c>
      <c r="DF58" s="46" t="n">
        <f aca="false">(ABS(W58)*X58+ABS(Y58)*Z58+ABS(AA58)*AB58+ABS(AC58)*AD58+ABS(AE58)*AF58+ABS(AG58)*AH58+ABS(AI58)*AJ58+ABS(AK58)*AL58+ABS(AM58)*AN58+ABS(AO58)*AP58+ABS(AQ58)*AR58+ABS(AS58)*AT58+ABS(AU58)*AV58+ABS(AW58)*AX58+ABS(AY58)*AZ58+ABS(BA58)*BB58+ABS(BC58)*BD58+ABS(BE58)*BF58+ABS(BG58)*BH58+ABS(BI58)*BJ58)</f>
        <v>0</v>
      </c>
      <c r="DG58" s="46" t="n">
        <f aca="false">ABS(BK58)*BL58+ABS(BM58)*BN58+ABS(BO58)*BP58+ABS(BQ58)*BR58+ABS(BS58)*BT58+ABS(BU58)*BV58+ABS(BW58)*BX58+ABS(BY58)*BZ58+ABS(CA58)*CB58+ABS(CC58)*CD58+ABS(CE58)*CF58+ABS(CG58)*CH58+ABS(CI58)*CJ58+ABS(CK58)*CL58+ABS(CM58)*CN58+ABS(CO58)*CP58+ABS(CQ58)*CR58+ABS(CS58)*CT58+ABS(CU58)*CV58+ABS(CW58)*CX58</f>
        <v>0</v>
      </c>
      <c r="DH58" s="46" t="n">
        <f aca="false">(((H58-X58)*W58+(H58-Z58)*Y58+(H58-AB58)*AA58+(H58-AD58)*AC58+(H58-AF58)*AE58+(H58-AH58)*AG58+(H58-AJ58)*AI58+(H58-AL58)*AK58+(H58-AN58)*AM58+(H58-AP58)*AO58+(H58-AR58)*AQ58+(H58-AT58)*AS58+(H58-AV58)*AU58+(H58-AX58)*AW58+(H58-AZ58)*AY58+(H58-BB58)*BA58+(H58-BD58)*BC58+(H58-BF58)*BE58+(H58-BH58)*BG58+(H58-BJ58)*BI58)*DD58*DE58)*$DR58</f>
        <v>0</v>
      </c>
      <c r="DI58" s="46" t="n">
        <f aca="false">(((H58-BL58)*BK58+(H58-BN58)*BM58+(H58-BP58)*BO58+(H58-BR58)*BQ58+(H58-BT58)*BS58+(H58-BV58)*BU58+(H58-BX58)*BW58+(H58-BZ58)*BY58+(H58-CB58)*CA58+(H58-CD58)*CC58+(H58-CF58)*CE58+(H58-CH58)*CG58+(H58-CJ58)*CH58+(H58-CL58)*CK58+(H58-CN58)*CM58+(H58-CP58)*CO58+(H58-CR58)*CQ58+(H58-CT58)*CS58+(H58-CV58)*CU58+(H58-CX58)*CW58)*DD58*DE58)</f>
        <v>0</v>
      </c>
      <c r="DJ58" s="173" t="n">
        <v>0</v>
      </c>
      <c r="DK58" s="174" t="n">
        <v>36861</v>
      </c>
      <c r="DL58" s="173" t="n">
        <v>492.384368896484</v>
      </c>
      <c r="DM58" s="173" t="n">
        <f aca="false">[3]NYZoneA!$L49</f>
        <v>0</v>
      </c>
      <c r="DN58" s="173" t="n">
        <v>1</v>
      </c>
      <c r="DO58" s="173"/>
      <c r="DP58" s="173"/>
      <c r="DQ58" s="173"/>
      <c r="DR58" s="146" t="n">
        <f aca="false">+'NYISO G'!DR58</f>
        <v>21</v>
      </c>
    </row>
    <row r="59" customFormat="false" ht="18.75" hidden="false" customHeight="false" outlineLevel="0" collapsed="false">
      <c r="A59" s="147" t="n">
        <f aca="false">[4]NYZoneA!$D50</f>
        <v>37653</v>
      </c>
      <c r="B59" s="119" t="n">
        <f aca="false">+[3]NYZoneA!$L50/16/DR59</f>
        <v>0</v>
      </c>
      <c r="C59" s="148" t="n">
        <f aca="false">CY59</f>
        <v>0</v>
      </c>
      <c r="D59" s="149" t="n">
        <f aca="false">(IF(MONTH(A59)=MONTH(EOMONTH(TradeDate,1)),$AN$70,0)*VLOOKUP(A59,$DK$12:$DN$43,4))</f>
        <v>0</v>
      </c>
      <c r="E59" s="150" t="n">
        <f aca="false">B59+C59+D59</f>
        <v>0</v>
      </c>
      <c r="F59" s="151" t="n">
        <f aca="false">+[3]NYZoneA!$C50</f>
        <v>40</v>
      </c>
      <c r="G59" s="152" t="n">
        <f aca="false">IF($Q$9,Q59,P59)</f>
        <v>8.5</v>
      </c>
      <c r="H59" s="153" t="n">
        <f aca="false">F59+G59</f>
        <v>48.5</v>
      </c>
      <c r="I59" s="154" t="n">
        <f aca="false">B59*G59*DD59*DR59</f>
        <v>0</v>
      </c>
      <c r="J59" s="155" t="n">
        <f aca="false">DH59+DI59</f>
        <v>0</v>
      </c>
      <c r="K59" s="156" t="n">
        <f aca="false">I59+J59</f>
        <v>0</v>
      </c>
      <c r="L59" s="24"/>
      <c r="M59" s="157" t="n">
        <f aca="false">A59</f>
        <v>37653</v>
      </c>
      <c r="N59" s="92" t="n">
        <v>48.5</v>
      </c>
      <c r="O59" s="92" t="n">
        <v>48.5</v>
      </c>
      <c r="P59" s="69" t="n">
        <f aca="false">AVERAGE(N59:O59)-F59</f>
        <v>8.5</v>
      </c>
      <c r="Q59" s="70"/>
      <c r="R59" s="91" t="n">
        <f aca="false">H59</f>
        <v>48.5</v>
      </c>
      <c r="S59" s="24"/>
      <c r="T59" s="24"/>
      <c r="V59" s="162" t="n">
        <f aca="false">A59</f>
        <v>37653</v>
      </c>
      <c r="W59" s="163"/>
      <c r="X59" s="164"/>
      <c r="Y59" s="163"/>
      <c r="Z59" s="164"/>
      <c r="AA59" s="163"/>
      <c r="AB59" s="164"/>
      <c r="AC59" s="165"/>
      <c r="AD59" s="166"/>
      <c r="AE59" s="165"/>
      <c r="AF59" s="166"/>
      <c r="AG59" s="165"/>
      <c r="AH59" s="166"/>
      <c r="AI59" s="165"/>
      <c r="AJ59" s="166"/>
      <c r="AK59" s="165"/>
      <c r="AL59" s="166"/>
      <c r="AM59" s="165"/>
      <c r="AN59" s="166"/>
      <c r="AO59" s="165"/>
      <c r="AP59" s="166"/>
      <c r="AQ59" s="165"/>
      <c r="AR59" s="166"/>
      <c r="AS59" s="165"/>
      <c r="AT59" s="167"/>
      <c r="AU59" s="111"/>
      <c r="AV59" s="112"/>
      <c r="AW59" s="168"/>
      <c r="AX59" s="169"/>
      <c r="AY59" s="170"/>
      <c r="AZ59" s="169"/>
      <c r="BA59" s="170"/>
      <c r="BB59" s="169"/>
      <c r="BC59" s="170"/>
      <c r="BD59" s="169"/>
      <c r="BE59" s="170"/>
      <c r="BF59" s="169"/>
      <c r="BG59" s="170"/>
      <c r="BH59" s="169"/>
      <c r="BI59" s="170"/>
      <c r="BJ59" s="169"/>
      <c r="BK59" s="170"/>
      <c r="BL59" s="169"/>
      <c r="BM59" s="170"/>
      <c r="BN59" s="169"/>
      <c r="BO59" s="170"/>
      <c r="BP59" s="169"/>
      <c r="BQ59" s="170"/>
      <c r="BR59" s="169"/>
      <c r="BS59" s="170"/>
      <c r="BT59" s="169"/>
      <c r="BU59" s="170"/>
      <c r="BV59" s="169"/>
      <c r="BW59" s="170"/>
      <c r="BX59" s="169"/>
      <c r="BY59" s="170"/>
      <c r="BZ59" s="169"/>
      <c r="CA59" s="170"/>
      <c r="CB59" s="169"/>
      <c r="CC59" s="170"/>
      <c r="CD59" s="169"/>
      <c r="CE59" s="170"/>
      <c r="CF59" s="169"/>
      <c r="CG59" s="170"/>
      <c r="CH59" s="169"/>
      <c r="CI59" s="170"/>
      <c r="CJ59" s="169"/>
      <c r="CK59" s="170"/>
      <c r="CL59" s="169"/>
      <c r="CM59" s="170"/>
      <c r="CN59" s="169"/>
      <c r="CO59" s="170"/>
      <c r="CP59" s="169"/>
      <c r="CQ59" s="170"/>
      <c r="CR59" s="169"/>
      <c r="CS59" s="170"/>
      <c r="CT59" s="169"/>
      <c r="CU59" s="170"/>
      <c r="CV59" s="169"/>
      <c r="CW59" s="170"/>
      <c r="CX59" s="169"/>
      <c r="CY59" s="171" t="n">
        <f aca="false">W59+Y59+AA59+AC59+AE59+AG59+AI59+AK59+AM59+AO59+AQ59+AS59+AU59+AW59+AY59+BA59+BC59+BE59+BG59+BI59+BK59+BM59+BO59+BQ59+BS59+BU59+BW59+BY59+CA59+CC59+CE59+CG59+CI59+CK59+CM59+CO59+CQ59+CS59+CU59+CW59</f>
        <v>0</v>
      </c>
      <c r="CZ59" s="172" t="n">
        <f aca="false">IF(AND(CY59=0,DC59=0),0,(DF59+DG59)/DC59)</f>
        <v>0</v>
      </c>
      <c r="DA59" s="173"/>
      <c r="DB59" s="174" t="n">
        <f aca="false">V59</f>
        <v>37653</v>
      </c>
      <c r="DC59" s="175" t="n">
        <f aca="false">ABS(W59)+ABS(Y59)+ABS(AA59)+ABS(AC59)+ABS(AE59)+ABS(AG59)+ABS(AI59)+ABS(AK59)+ABS(AM59)+ABS(AO59)+ABS(AQ59)+ABS(AS59)+ABS(AU59)+ABS(AW59)+ABS(AY59)+ABS(BA59)+ABS(BC59)+ABS(BE59)+ABS(BG59)+ABS(BI59)+ABS(BK59)+ABS(BM59)+ABS(BO59)+ABS(BQ59)+ABS(BS59)+ABS(BU59)+ABS(BW59)+ABS(BY59)+ABS(CA59)+ABS(CC59)+ABS(CE59)+ABS(CG59)+ABS(CI59)+ABS(CK59)+ABS(CM59)+ABS(CO59)+ABS(CQ59)+ABS(CS59)+ABS(CU59)+ABS(CW59)</f>
        <v>0</v>
      </c>
      <c r="DD59" s="86" t="n">
        <v>16</v>
      </c>
      <c r="DE59" s="175" t="n">
        <v>1</v>
      </c>
      <c r="DF59" s="46" t="n">
        <f aca="false">(ABS(W59)*X59+ABS(Y59)*Z59+ABS(AA59)*AB59+ABS(AC59)*AD59+ABS(AE59)*AF59+ABS(AG59)*AH59+ABS(AI59)*AJ59+ABS(AK59)*AL59+ABS(AM59)*AN59+ABS(AO59)*AP59+ABS(AQ59)*AR59+ABS(AS59)*AT59+ABS(AU59)*AV59+ABS(AW59)*AX59+ABS(AY59)*AZ59+ABS(BA59)*BB59+ABS(BC59)*BD59+ABS(BE59)*BF59+ABS(BG59)*BH59+ABS(BI59)*BJ59)</f>
        <v>0</v>
      </c>
      <c r="DG59" s="46" t="n">
        <f aca="false">ABS(BK59)*BL59+ABS(BM59)*BN59+ABS(BO59)*BP59+ABS(BQ59)*BR59+ABS(BS59)*BT59+ABS(BU59)*BV59+ABS(BW59)*BX59+ABS(BY59)*BZ59+ABS(CA59)*CB59+ABS(CC59)*CD59+ABS(CE59)*CF59+ABS(CG59)*CH59+ABS(CI59)*CJ59+ABS(CK59)*CL59+ABS(CM59)*CN59+ABS(CO59)*CP59+ABS(CQ59)*CR59+ABS(CS59)*CT59+ABS(CU59)*CV59+ABS(CW59)*CX59</f>
        <v>0</v>
      </c>
      <c r="DH59" s="46" t="n">
        <f aca="false">(((H59-X59)*W59+(H59-Z59)*Y59+(H59-AB59)*AA59+(H59-AD59)*AC59+(H59-AF59)*AE59+(H59-AH59)*AG59+(H59-AJ59)*AI59+(H59-AL59)*AK59+(H59-AN59)*AM59+(H59-AP59)*AO59+(H59-AR59)*AQ59+(H59-AT59)*AS59+(H59-AV59)*AU59+(H59-AX59)*AW59+(H59-AZ59)*AY59+(H59-BB59)*BA59+(H59-BD59)*BC59+(H59-BF59)*BE59+(H59-BH59)*BG59+(H59-BJ59)*BI59)*DD59*DE59)*$DR59</f>
        <v>0</v>
      </c>
      <c r="DI59" s="46" t="n">
        <f aca="false">(((H59-BL59)*BK59+(H59-BN59)*BM59+(H59-BP59)*BO59+(H59-BR59)*BQ59+(H59-BT59)*BS59+(H59-BV59)*BU59+(H59-BX59)*BW59+(H59-BZ59)*BY59+(H59-CB59)*CA59+(H59-CD59)*CC59+(H59-CF59)*CE59+(H59-CH59)*CG59+(H59-CJ59)*CH59+(H59-CL59)*CK59+(H59-CN59)*CM59+(H59-CP59)*CO59+(H59-CR59)*CQ59+(H59-CT59)*CS59+(H59-CV59)*CU59+(H59-CX59)*CW59)*DD59*DE59)</f>
        <v>0</v>
      </c>
      <c r="DJ59" s="173" t="n">
        <v>0</v>
      </c>
      <c r="DK59" s="174" t="n">
        <v>36861</v>
      </c>
      <c r="DL59" s="173" t="n">
        <v>492.384368896484</v>
      </c>
      <c r="DM59" s="173" t="n">
        <f aca="false">[3]NYZoneA!$L50</f>
        <v>0</v>
      </c>
      <c r="DN59" s="173" t="n">
        <v>1</v>
      </c>
      <c r="DO59" s="173"/>
      <c r="DP59" s="173"/>
      <c r="DQ59" s="173"/>
      <c r="DR59" s="146" t="n">
        <f aca="false">+'NYISO G'!DR59</f>
        <v>22</v>
      </c>
    </row>
    <row r="60" customFormat="false" ht="19.5" hidden="false" customHeight="false" outlineLevel="0" collapsed="false">
      <c r="A60" s="176" t="n">
        <f aca="false">[4]NYZoneA!$D51</f>
        <v>37681</v>
      </c>
      <c r="B60" s="177" t="n">
        <f aca="false">+[3]NYZoneA!$L51/16/DR60</f>
        <v>0</v>
      </c>
      <c r="C60" s="178" t="n">
        <f aca="false">CY60</f>
        <v>0</v>
      </c>
      <c r="D60" s="179" t="n">
        <f aca="false">(IF(MONTH(A60)=MONTH(EOMONTH(TradeDate,1)),$AN$70,0)*VLOOKUP(A60,$DK$12:$DN$43,4))</f>
        <v>0</v>
      </c>
      <c r="E60" s="180" t="n">
        <f aca="false">B60+C60+D60</f>
        <v>0</v>
      </c>
      <c r="F60" s="181" t="n">
        <f aca="false">+[3]NYZoneA!$C51</f>
        <v>34.0999984741211</v>
      </c>
      <c r="G60" s="182" t="n">
        <f aca="false">IF($Q$9,Q60,P60)</f>
        <v>14.4000015258789</v>
      </c>
      <c r="H60" s="183" t="n">
        <f aca="false">F60+G60</f>
        <v>48.5</v>
      </c>
      <c r="I60" s="184" t="n">
        <f aca="false">B60*G60*DD60*DR60</f>
        <v>0</v>
      </c>
      <c r="J60" s="185" t="n">
        <f aca="false">DH60+DI60</f>
        <v>0</v>
      </c>
      <c r="K60" s="186" t="n">
        <f aca="false">I60+J60</f>
        <v>0</v>
      </c>
      <c r="L60" s="24"/>
      <c r="M60" s="187" t="n">
        <f aca="false">A60</f>
        <v>37681</v>
      </c>
      <c r="N60" s="188" t="n">
        <v>48.5</v>
      </c>
      <c r="O60" s="188" t="n">
        <v>48.5</v>
      </c>
      <c r="P60" s="189" t="n">
        <f aca="false">AVERAGE(N60:O60)-F60</f>
        <v>14.4000015258789</v>
      </c>
      <c r="Q60" s="190"/>
      <c r="R60" s="191"/>
      <c r="S60" s="24"/>
      <c r="T60" s="24"/>
      <c r="V60" s="192" t="n">
        <f aca="false">A60</f>
        <v>37681</v>
      </c>
      <c r="W60" s="193"/>
      <c r="X60" s="194"/>
      <c r="Y60" s="193"/>
      <c r="Z60" s="194"/>
      <c r="AA60" s="193"/>
      <c r="AB60" s="194"/>
      <c r="AC60" s="195"/>
      <c r="AD60" s="109"/>
      <c r="AE60" s="195"/>
      <c r="AF60" s="109"/>
      <c r="AG60" s="195"/>
      <c r="AH60" s="109"/>
      <c r="AI60" s="195"/>
      <c r="AJ60" s="109"/>
      <c r="AK60" s="195"/>
      <c r="AL60" s="109"/>
      <c r="AM60" s="195"/>
      <c r="AN60" s="109"/>
      <c r="AO60" s="195"/>
      <c r="AP60" s="109"/>
      <c r="AQ60" s="195"/>
      <c r="AR60" s="109"/>
      <c r="AS60" s="195"/>
      <c r="AT60" s="196"/>
      <c r="AU60" s="197"/>
      <c r="AV60" s="198"/>
      <c r="AW60" s="199"/>
      <c r="AX60" s="200"/>
      <c r="AY60" s="201"/>
      <c r="AZ60" s="200"/>
      <c r="BA60" s="201"/>
      <c r="BB60" s="200"/>
      <c r="BC60" s="201"/>
      <c r="BD60" s="200"/>
      <c r="BE60" s="201"/>
      <c r="BF60" s="200"/>
      <c r="BG60" s="201"/>
      <c r="BH60" s="200"/>
      <c r="BI60" s="201"/>
      <c r="BJ60" s="200"/>
      <c r="BK60" s="201"/>
      <c r="BL60" s="200"/>
      <c r="BM60" s="201"/>
      <c r="BN60" s="200"/>
      <c r="BO60" s="201"/>
      <c r="BP60" s="200"/>
      <c r="BQ60" s="201"/>
      <c r="BR60" s="200"/>
      <c r="BS60" s="201"/>
      <c r="BT60" s="200"/>
      <c r="BU60" s="201"/>
      <c r="BV60" s="200"/>
      <c r="BW60" s="201"/>
      <c r="BX60" s="200"/>
      <c r="BY60" s="201"/>
      <c r="BZ60" s="200"/>
      <c r="CA60" s="201"/>
      <c r="CB60" s="200"/>
      <c r="CC60" s="201"/>
      <c r="CD60" s="200"/>
      <c r="CE60" s="201"/>
      <c r="CF60" s="200"/>
      <c r="CG60" s="201"/>
      <c r="CH60" s="200"/>
      <c r="CI60" s="201"/>
      <c r="CJ60" s="200"/>
      <c r="CK60" s="201"/>
      <c r="CL60" s="200"/>
      <c r="CM60" s="201"/>
      <c r="CN60" s="200"/>
      <c r="CO60" s="201"/>
      <c r="CP60" s="200"/>
      <c r="CQ60" s="201"/>
      <c r="CR60" s="200"/>
      <c r="CS60" s="201"/>
      <c r="CT60" s="200"/>
      <c r="CU60" s="201"/>
      <c r="CV60" s="200"/>
      <c r="CW60" s="201"/>
      <c r="CX60" s="200"/>
      <c r="CY60" s="202" t="n">
        <f aca="false">W60+Y60+AA60+AC60+AE60+AG60+AI60+AK60+AM60+AO60+AQ60+AS60+AU60+AW60+AY60+BA60+BC60+BE60+BG60+BI60+BK60+BM60+BO60+BQ60+BS60+BU60+BW60+BY60+CA60+CC60+CE60+CG60+CI60+CK60+CM60+CO60+CQ60+CS60+CU60+CW60</f>
        <v>0</v>
      </c>
      <c r="CZ60" s="203" t="n">
        <f aca="false">IF(AND(CY60=0,DC60=0),0,(DF60+DG60)/DC60)</f>
        <v>0</v>
      </c>
      <c r="DA60" s="173"/>
      <c r="DB60" s="174" t="n">
        <f aca="false">V60</f>
        <v>37681</v>
      </c>
      <c r="DC60" s="175" t="n">
        <f aca="false">ABS(W60)+ABS(Y60)+ABS(AA60)+ABS(AC60)+ABS(AE60)+ABS(AG60)+ABS(AI60)+ABS(AK60)+ABS(AM60)+ABS(AO60)+ABS(AQ60)+ABS(AS60)+ABS(AU60)+ABS(AW60)+ABS(AY60)+ABS(BA60)+ABS(BC60)+ABS(BE60)+ABS(BG60)+ABS(BI60)+ABS(BK60)+ABS(BM60)+ABS(BO60)+ABS(BQ60)+ABS(BS60)+ABS(BU60)+ABS(BW60)+ABS(BY60)+ABS(CA60)+ABS(CC60)+ABS(CE60)+ABS(CG60)+ABS(CI60)+ABS(CK60)+ABS(CM60)+ABS(CO60)+ABS(CQ60)+ABS(CS60)+ABS(CU60)+ABS(CW60)</f>
        <v>0</v>
      </c>
      <c r="DD60" s="86" t="n">
        <v>16</v>
      </c>
      <c r="DE60" s="175" t="n">
        <v>1</v>
      </c>
      <c r="DF60" s="46" t="n">
        <f aca="false">(ABS(W60)*X60+ABS(Y60)*Z60+ABS(AA60)*AB60+ABS(AC60)*AD60+ABS(AE60)*AF60+ABS(AG60)*AH60+ABS(AI60)*AJ60+ABS(AK60)*AL60+ABS(AM60)*AN60+ABS(AO60)*AP60+ABS(AQ60)*AR60+ABS(AS60)*AT60+ABS(AU60)*AV60+ABS(AW60)*AX60+ABS(AY60)*AZ60+ABS(BA60)*BB60+ABS(BC60)*BD60+ABS(BE60)*BF60+ABS(BG60)*BH60+ABS(BI60)*BJ60)</f>
        <v>0</v>
      </c>
      <c r="DG60" s="46" t="n">
        <f aca="false">ABS(BK60)*BL60+ABS(BM60)*BN60+ABS(BO60)*BP60+ABS(BQ60)*BR60+ABS(BS60)*BT60+ABS(BU60)*BV60+ABS(BW60)*BX60+ABS(BY60)*BZ60+ABS(CA60)*CB60+ABS(CC60)*CD60+ABS(CE60)*CF60+ABS(CG60)*CH60+ABS(CI60)*CJ60+ABS(CK60)*CL60+ABS(CM60)*CN60+ABS(CO60)*CP60+ABS(CQ60)*CR60+ABS(CS60)*CT60+ABS(CU60)*CV60+ABS(CW60)*CX60</f>
        <v>0</v>
      </c>
      <c r="DH60" s="46" t="n">
        <f aca="false">(((H60-X60)*W60+(H60-Z60)*Y60+(H60-AB60)*AA60+(H60-AD60)*AC60+(H60-AF60)*AE60+(H60-AH60)*AG60+(H60-AJ60)*AI60+(H60-AL60)*AK60+(H60-AN60)*AM60+(H60-AP60)*AO60+(H60-AR60)*AQ60+(H60-AT60)*AS60+(H60-AV60)*AU60+(H60-AX60)*AW60+(H60-AZ60)*AY60+(H60-BB60)*BA60+(H60-BD60)*BC60+(H60-BF60)*BE60+(H60-BH60)*BG60+(H60-BJ60)*BI60)*DD60*DE60)*$DR60</f>
        <v>0</v>
      </c>
      <c r="DI60" s="46" t="n">
        <f aca="false">(((H60-BL60)*BK60+(H60-BN60)*BM60+(H60-BP60)*BO60+(H60-BR60)*BQ60+(H60-BT60)*BS60+(H60-BV60)*BU60+(H60-BX60)*BW60+(H60-BZ60)*BY60+(H60-CB60)*CA60+(H60-CD60)*CC60+(H60-CF60)*CE60+(H60-CH60)*CG60+(H60-CJ60)*CH60+(H60-CL60)*CK60+(H60-CN60)*CM60+(H60-CP60)*CO60+(H60-CR60)*CQ60+(H60-CT60)*CS60+(H60-CV60)*CU60+(H60-CX60)*CW60)*DD60*DE60)</f>
        <v>0</v>
      </c>
      <c r="DJ60" s="173" t="n">
        <v>0</v>
      </c>
      <c r="DK60" s="174" t="n">
        <v>36861</v>
      </c>
      <c r="DL60" s="173" t="n">
        <v>492.384368896484</v>
      </c>
      <c r="DM60" s="173" t="n">
        <f aca="false">[3]NYZoneA!$L51</f>
        <v>0</v>
      </c>
      <c r="DN60" s="173" t="n">
        <v>1</v>
      </c>
      <c r="DO60" s="173"/>
      <c r="DP60" s="173"/>
      <c r="DQ60" s="173"/>
      <c r="DR60" s="146" t="n">
        <f aca="false">+'NYISO G'!DR60</f>
        <v>20</v>
      </c>
    </row>
    <row r="61" customFormat="false" ht="15.75" hidden="false" customHeight="false" outlineLevel="0" collapsed="false">
      <c r="A61" s="24"/>
      <c r="B61" s="24"/>
      <c r="E61" s="27"/>
      <c r="L61" s="24"/>
      <c r="N61" s="24"/>
      <c r="O61" s="24"/>
      <c r="DR61" s="173"/>
    </row>
    <row r="62" customFormat="false" ht="16.5" hidden="false" customHeight="false" outlineLevel="0" collapsed="false">
      <c r="A62" s="24"/>
      <c r="B62" s="24"/>
      <c r="E62" s="27"/>
      <c r="L62" s="24"/>
      <c r="N62" s="24"/>
      <c r="O62" s="24"/>
      <c r="DR62" s="173"/>
    </row>
    <row r="63" customFormat="false" ht="21" hidden="false" customHeight="false" outlineLevel="0" collapsed="false">
      <c r="A63" s="204"/>
      <c r="B63" s="205" t="s">
        <v>80</v>
      </c>
      <c r="C63" s="205"/>
      <c r="D63" s="205"/>
      <c r="E63" s="205"/>
      <c r="F63" s="205"/>
      <c r="G63" s="205"/>
      <c r="H63" s="205"/>
      <c r="I63" s="205"/>
      <c r="J63" s="205"/>
      <c r="K63" s="205"/>
      <c r="L63" s="206" t="s">
        <v>81</v>
      </c>
      <c r="M63" s="206"/>
      <c r="N63" s="206"/>
      <c r="O63" s="206"/>
      <c r="P63" s="206"/>
      <c r="Q63" s="206"/>
      <c r="R63" s="206"/>
      <c r="S63" s="206"/>
      <c r="T63" s="207"/>
      <c r="U63" s="208"/>
      <c r="V63" s="205" t="s">
        <v>82</v>
      </c>
      <c r="W63" s="205"/>
      <c r="X63" s="205"/>
      <c r="Y63" s="205"/>
      <c r="Z63" s="205"/>
      <c r="AA63" s="205"/>
      <c r="AB63" s="205"/>
      <c r="AC63" s="205"/>
      <c r="AD63" s="205"/>
      <c r="AE63" s="205"/>
      <c r="AF63" s="205" t="s">
        <v>83</v>
      </c>
      <c r="AG63" s="205"/>
      <c r="AH63" s="205"/>
      <c r="AI63" s="205"/>
      <c r="AJ63" s="205"/>
      <c r="AK63" s="205"/>
      <c r="AL63" s="205"/>
      <c r="AM63" s="205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09"/>
      <c r="BN63" s="209"/>
      <c r="BO63" s="209"/>
      <c r="BP63" s="209"/>
      <c r="BQ63" s="209"/>
      <c r="BR63" s="209"/>
      <c r="BS63" s="209"/>
      <c r="BT63" s="209"/>
      <c r="BU63" s="209"/>
      <c r="BV63" s="209"/>
      <c r="BW63" s="209"/>
      <c r="BX63" s="209"/>
      <c r="BY63" s="209"/>
      <c r="BZ63" s="209"/>
      <c r="CA63" s="209"/>
      <c r="CB63" s="209"/>
      <c r="CC63" s="209"/>
      <c r="CD63" s="209"/>
      <c r="CE63" s="209"/>
      <c r="CF63" s="209"/>
      <c r="CG63" s="209"/>
      <c r="CH63" s="209"/>
      <c r="CI63" s="209"/>
      <c r="CJ63" s="209"/>
      <c r="CK63" s="209"/>
      <c r="CL63" s="209"/>
      <c r="CM63" s="209"/>
      <c r="CN63" s="209"/>
      <c r="CO63" s="209"/>
      <c r="CP63" s="209"/>
      <c r="CQ63" s="209"/>
      <c r="CR63" s="209"/>
      <c r="CS63" s="209"/>
      <c r="CT63" s="209"/>
      <c r="CU63" s="209"/>
      <c r="CV63" s="209"/>
      <c r="CW63" s="209"/>
      <c r="CX63" s="209"/>
      <c r="CY63" s="209"/>
      <c r="CZ63" s="209"/>
      <c r="DA63" s="209"/>
      <c r="DB63" s="209"/>
      <c r="DC63" s="209"/>
      <c r="DD63" s="209"/>
      <c r="DE63" s="209"/>
      <c r="DF63" s="209"/>
      <c r="DG63" s="209"/>
      <c r="DH63" s="209"/>
      <c r="DI63" s="209"/>
      <c r="DJ63" s="209"/>
      <c r="DK63" s="209"/>
      <c r="DL63" s="209"/>
      <c r="DM63" s="209"/>
      <c r="DN63" s="209"/>
      <c r="DO63" s="209"/>
      <c r="DP63" s="209"/>
      <c r="DQ63" s="209"/>
      <c r="DR63" s="209"/>
      <c r="DS63" s="209"/>
      <c r="DT63" s="209"/>
      <c r="DU63" s="209"/>
      <c r="DV63" s="209"/>
      <c r="DW63" s="209"/>
      <c r="DX63" s="209"/>
      <c r="DY63" s="209"/>
      <c r="DZ63" s="209"/>
      <c r="EA63" s="209"/>
      <c r="EB63" s="209"/>
      <c r="EC63" s="209"/>
      <c r="ED63" s="209"/>
      <c r="EE63" s="209"/>
      <c r="EF63" s="209"/>
      <c r="EG63" s="209"/>
      <c r="EH63" s="209"/>
      <c r="EI63" s="209"/>
      <c r="EJ63" s="209"/>
      <c r="EK63" s="209"/>
      <c r="EL63" s="209"/>
      <c r="EM63" s="209"/>
      <c r="EN63" s="209"/>
      <c r="EO63" s="209"/>
      <c r="EP63" s="209"/>
      <c r="EQ63" s="209"/>
      <c r="ER63" s="209"/>
      <c r="ES63" s="209"/>
      <c r="ET63" s="209"/>
      <c r="EU63" s="209"/>
      <c r="EV63" s="209"/>
      <c r="EW63" s="209"/>
      <c r="EX63" s="209"/>
      <c r="EY63" s="209"/>
      <c r="EZ63" s="209"/>
      <c r="FA63" s="209"/>
      <c r="FB63" s="209"/>
      <c r="FC63" s="209"/>
      <c r="FD63" s="209"/>
      <c r="FE63" s="209"/>
      <c r="FF63" s="209"/>
      <c r="FG63" s="209"/>
      <c r="FH63" s="209"/>
      <c r="FI63" s="209"/>
      <c r="FJ63" s="209"/>
      <c r="FK63" s="209"/>
      <c r="FL63" s="209"/>
      <c r="FM63" s="209"/>
      <c r="FN63" s="209"/>
      <c r="FO63" s="209"/>
      <c r="FP63" s="209"/>
      <c r="FQ63" s="209"/>
      <c r="FR63" s="209"/>
      <c r="FS63" s="209"/>
      <c r="FT63" s="209"/>
      <c r="FU63" s="209"/>
      <c r="FV63" s="209"/>
      <c r="FW63" s="209"/>
      <c r="FX63" s="209"/>
      <c r="FY63" s="209"/>
      <c r="FZ63" s="209"/>
      <c r="GA63" s="209"/>
      <c r="GB63" s="209"/>
      <c r="GC63" s="209"/>
      <c r="GD63" s="209"/>
      <c r="GE63" s="209"/>
      <c r="GF63" s="209"/>
      <c r="GG63" s="209"/>
      <c r="GH63" s="209"/>
      <c r="GI63" s="209"/>
      <c r="GJ63" s="209"/>
      <c r="GK63" s="209"/>
      <c r="GL63" s="209"/>
      <c r="GM63" s="209"/>
      <c r="GN63" s="209"/>
      <c r="GO63" s="209"/>
      <c r="GP63" s="209"/>
      <c r="GQ63" s="209"/>
      <c r="GR63" s="209"/>
      <c r="GS63" s="209"/>
      <c r="GT63" s="209"/>
      <c r="GU63" s="209"/>
      <c r="GV63" s="209"/>
      <c r="GW63" s="209"/>
      <c r="GX63" s="209"/>
      <c r="GY63" s="209"/>
      <c r="GZ63" s="209"/>
      <c r="HA63" s="209"/>
      <c r="HB63" s="209"/>
      <c r="HC63" s="209"/>
      <c r="HD63" s="209"/>
      <c r="HE63" s="209"/>
      <c r="HF63" s="209"/>
      <c r="HG63" s="209"/>
      <c r="HH63" s="209"/>
      <c r="HI63" s="209"/>
      <c r="HJ63" s="209"/>
      <c r="HK63" s="209"/>
      <c r="HL63" s="209"/>
      <c r="HM63" s="209"/>
      <c r="HN63" s="209"/>
      <c r="HO63" s="209"/>
      <c r="HP63" s="209"/>
      <c r="HQ63" s="209"/>
      <c r="HR63" s="209"/>
      <c r="HS63" s="209"/>
      <c r="HT63" s="209"/>
      <c r="HU63" s="209"/>
      <c r="HV63" s="209"/>
      <c r="HW63" s="209"/>
      <c r="HX63" s="209"/>
      <c r="HY63" s="209"/>
      <c r="HZ63" s="209"/>
      <c r="IA63" s="209"/>
      <c r="IB63" s="209"/>
      <c r="IC63" s="209"/>
      <c r="ID63" s="209"/>
      <c r="IE63" s="209"/>
      <c r="IF63" s="209"/>
      <c r="IG63" s="209"/>
      <c r="IH63" s="209"/>
      <c r="II63" s="209"/>
      <c r="IJ63" s="209"/>
      <c r="IK63" s="209"/>
      <c r="IL63" s="209"/>
      <c r="IM63" s="209"/>
      <c r="IN63" s="209"/>
      <c r="IO63" s="209"/>
      <c r="IP63" s="209"/>
      <c r="IQ63" s="209"/>
      <c r="IR63" s="209"/>
      <c r="IS63" s="209"/>
      <c r="IT63" s="209"/>
      <c r="IU63" s="209"/>
      <c r="IV63" s="209"/>
      <c r="IW63" s="209"/>
    </row>
    <row r="64" customFormat="false" ht="19.5" hidden="false" customHeight="false" outlineLevel="0" collapsed="false">
      <c r="A64" s="210"/>
      <c r="B64" s="211" t="s">
        <v>84</v>
      </c>
      <c r="C64" s="211"/>
      <c r="D64" s="211"/>
      <c r="E64" s="211"/>
      <c r="F64" s="211"/>
      <c r="G64" s="212" t="s">
        <v>85</v>
      </c>
      <c r="H64" s="212"/>
      <c r="I64" s="212"/>
      <c r="J64" s="212"/>
      <c r="K64" s="212"/>
      <c r="L64" s="213" t="s">
        <v>84</v>
      </c>
      <c r="M64" s="213"/>
      <c r="N64" s="214" t="n">
        <v>0</v>
      </c>
      <c r="O64" s="214" t="n">
        <v>0</v>
      </c>
      <c r="P64" s="215"/>
      <c r="Q64" s="216" t="s">
        <v>85</v>
      </c>
      <c r="R64" s="216"/>
      <c r="S64" s="216"/>
      <c r="T64" s="217"/>
      <c r="U64" s="218"/>
      <c r="V64" s="211" t="s">
        <v>84</v>
      </c>
      <c r="W64" s="211"/>
      <c r="X64" s="211"/>
      <c r="Y64" s="211"/>
      <c r="Z64" s="211"/>
      <c r="AA64" s="212" t="s">
        <v>85</v>
      </c>
      <c r="AB64" s="212"/>
      <c r="AC64" s="212"/>
      <c r="AD64" s="212"/>
      <c r="AE64" s="212"/>
      <c r="AF64" s="213" t="s">
        <v>84</v>
      </c>
      <c r="AG64" s="213"/>
      <c r="AH64" s="213"/>
      <c r="AI64" s="212" t="s">
        <v>85</v>
      </c>
      <c r="AJ64" s="212"/>
      <c r="AK64" s="212"/>
      <c r="AL64" s="212"/>
      <c r="AM64" s="212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6.5" hidden="false" customHeight="false" outlineLevel="0" collapsed="false">
      <c r="A65" s="220" t="s">
        <v>86</v>
      </c>
      <c r="B65" s="221" t="n">
        <v>0</v>
      </c>
      <c r="C65" s="222" t="n">
        <v>0</v>
      </c>
      <c r="D65" s="222" t="n">
        <v>0</v>
      </c>
      <c r="E65" s="222" t="n">
        <v>0</v>
      </c>
      <c r="F65" s="223" t="n">
        <v>0</v>
      </c>
      <c r="G65" s="221" t="n">
        <v>0</v>
      </c>
      <c r="H65" s="222" t="n">
        <v>0</v>
      </c>
      <c r="I65" s="222" t="n">
        <v>0</v>
      </c>
      <c r="J65" s="222" t="n">
        <v>0</v>
      </c>
      <c r="K65" s="223" t="n">
        <v>0</v>
      </c>
      <c r="L65" s="221" t="n">
        <v>0</v>
      </c>
      <c r="M65" s="222" t="n">
        <v>0</v>
      </c>
      <c r="N65" s="222" t="n">
        <v>0</v>
      </c>
      <c r="O65" s="222" t="n">
        <v>0</v>
      </c>
      <c r="P65" s="223" t="n">
        <v>0</v>
      </c>
      <c r="Q65" s="221" t="n">
        <v>0</v>
      </c>
      <c r="R65" s="222" t="n">
        <v>0</v>
      </c>
      <c r="S65" s="222" t="n">
        <v>0</v>
      </c>
      <c r="T65" s="222" t="n">
        <v>0</v>
      </c>
      <c r="U65" s="223" t="n">
        <v>0</v>
      </c>
      <c r="V65" s="221" t="n">
        <v>0</v>
      </c>
      <c r="W65" s="222" t="n">
        <v>0</v>
      </c>
      <c r="X65" s="222" t="n">
        <v>0</v>
      </c>
      <c r="Y65" s="222" t="n">
        <v>0</v>
      </c>
      <c r="Z65" s="223" t="n">
        <v>0</v>
      </c>
      <c r="AA65" s="221" t="n">
        <v>0</v>
      </c>
      <c r="AB65" s="222" t="n">
        <v>0</v>
      </c>
      <c r="AC65" s="222" t="n">
        <v>0</v>
      </c>
      <c r="AD65" s="222" t="n">
        <v>0</v>
      </c>
      <c r="AE65" s="223" t="n">
        <v>0</v>
      </c>
      <c r="AF65" s="221" t="n">
        <v>0</v>
      </c>
      <c r="AG65" s="222" t="n">
        <v>0</v>
      </c>
      <c r="AH65" s="222" t="n">
        <v>0</v>
      </c>
      <c r="AI65" s="221" t="n">
        <v>0</v>
      </c>
      <c r="AJ65" s="222" t="n">
        <v>0</v>
      </c>
      <c r="AK65" s="222" t="n">
        <v>0</v>
      </c>
      <c r="AL65" s="222" t="n">
        <v>0</v>
      </c>
      <c r="AM65" s="223" t="n">
        <v>0</v>
      </c>
      <c r="AN65" s="224"/>
      <c r="AO65" s="224"/>
      <c r="AP65" s="224"/>
      <c r="AQ65" s="224"/>
      <c r="AR65" s="224"/>
      <c r="AS65" s="224"/>
      <c r="AT65" s="224"/>
      <c r="AU65" s="224"/>
      <c r="AV65" s="224"/>
      <c r="AW65" s="224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  <c r="CM65" s="224"/>
      <c r="CN65" s="224"/>
      <c r="CO65" s="224"/>
      <c r="CP65" s="224"/>
      <c r="CQ65" s="224"/>
      <c r="CR65" s="224"/>
      <c r="CS65" s="224"/>
      <c r="CT65" s="224"/>
      <c r="CU65" s="224"/>
      <c r="CV65" s="224"/>
      <c r="CW65" s="224"/>
      <c r="CX65" s="224"/>
      <c r="CY65" s="224"/>
      <c r="CZ65" s="224"/>
      <c r="DA65" s="224"/>
      <c r="DB65" s="224"/>
      <c r="DC65" s="224"/>
      <c r="DD65" s="224"/>
      <c r="DE65" s="224"/>
      <c r="DF65" s="224"/>
      <c r="DG65" s="224"/>
      <c r="DH65" s="224"/>
      <c r="DI65" s="224"/>
      <c r="DJ65" s="224"/>
      <c r="DK65" s="224"/>
      <c r="DL65" s="224"/>
      <c r="DM65" s="224"/>
      <c r="DN65" s="224"/>
      <c r="DO65" s="224"/>
      <c r="DP65" s="224"/>
      <c r="DQ65" s="224"/>
      <c r="DR65" s="224"/>
      <c r="DS65" s="224"/>
      <c r="DT65" s="224"/>
      <c r="DU65" s="224"/>
      <c r="DV65" s="224"/>
      <c r="DW65" s="224"/>
      <c r="DX65" s="224"/>
      <c r="DY65" s="224"/>
      <c r="DZ65" s="224"/>
      <c r="EA65" s="224"/>
      <c r="EB65" s="224"/>
      <c r="EC65" s="224"/>
      <c r="ED65" s="224"/>
      <c r="EE65" s="224"/>
      <c r="EF65" s="224"/>
      <c r="EG65" s="224"/>
      <c r="EH65" s="224"/>
      <c r="EI65" s="224"/>
      <c r="EJ65" s="224"/>
      <c r="EK65" s="224"/>
      <c r="EL65" s="224"/>
      <c r="EM65" s="224"/>
      <c r="EN65" s="224"/>
      <c r="EO65" s="224"/>
      <c r="EP65" s="224"/>
      <c r="EQ65" s="224"/>
      <c r="ER65" s="224"/>
      <c r="ES65" s="224"/>
      <c r="ET65" s="224"/>
      <c r="EU65" s="224"/>
      <c r="EV65" s="224"/>
      <c r="EW65" s="224"/>
      <c r="EX65" s="224"/>
      <c r="EY65" s="224"/>
      <c r="EZ65" s="224"/>
      <c r="FA65" s="224"/>
      <c r="FB65" s="224"/>
      <c r="FC65" s="224"/>
      <c r="FD65" s="224"/>
      <c r="FE65" s="224"/>
      <c r="FF65" s="224"/>
      <c r="FG65" s="224"/>
      <c r="FH65" s="224"/>
      <c r="FI65" s="224"/>
      <c r="FJ65" s="224"/>
      <c r="FK65" s="224"/>
      <c r="FL65" s="224"/>
      <c r="FM65" s="224"/>
      <c r="FN65" s="224"/>
      <c r="FO65" s="224"/>
      <c r="FP65" s="224"/>
      <c r="FQ65" s="224"/>
      <c r="FR65" s="224"/>
      <c r="FS65" s="224"/>
      <c r="FT65" s="224"/>
      <c r="FU65" s="224"/>
      <c r="FV65" s="224"/>
      <c r="FW65" s="224"/>
      <c r="FX65" s="224"/>
      <c r="FY65" s="224"/>
      <c r="FZ65" s="224"/>
      <c r="GA65" s="224"/>
      <c r="GB65" s="224"/>
      <c r="GC65" s="224"/>
      <c r="GD65" s="224"/>
      <c r="GE65" s="224"/>
      <c r="GF65" s="224"/>
      <c r="GG65" s="224"/>
      <c r="GH65" s="224"/>
      <c r="GI65" s="224"/>
      <c r="GJ65" s="224"/>
      <c r="GK65" s="224"/>
      <c r="GL65" s="224"/>
      <c r="GM65" s="224"/>
      <c r="GN65" s="224"/>
      <c r="GO65" s="224"/>
      <c r="GP65" s="224"/>
      <c r="GQ65" s="224"/>
      <c r="GR65" s="224"/>
      <c r="GS65" s="224"/>
      <c r="GT65" s="224"/>
      <c r="GU65" s="224"/>
      <c r="GV65" s="224"/>
      <c r="GW65" s="224"/>
      <c r="GX65" s="224"/>
      <c r="GY65" s="224"/>
      <c r="GZ65" s="224"/>
      <c r="HA65" s="224"/>
      <c r="HB65" s="224"/>
      <c r="HC65" s="224"/>
      <c r="HD65" s="224"/>
      <c r="HE65" s="224"/>
      <c r="HF65" s="224"/>
      <c r="HG65" s="224"/>
      <c r="HH65" s="224"/>
      <c r="HI65" s="224"/>
      <c r="HJ65" s="224"/>
      <c r="HK65" s="224"/>
      <c r="HL65" s="224"/>
      <c r="HM65" s="224"/>
      <c r="HN65" s="224"/>
      <c r="HO65" s="224"/>
      <c r="HP65" s="224"/>
      <c r="HQ65" s="224"/>
      <c r="HR65" s="224"/>
      <c r="HS65" s="224"/>
      <c r="HT65" s="224"/>
      <c r="HU65" s="224"/>
      <c r="HV65" s="224"/>
      <c r="HW65" s="224"/>
      <c r="HX65" s="224"/>
      <c r="HY65" s="224"/>
      <c r="HZ65" s="224"/>
      <c r="IA65" s="224"/>
      <c r="IB65" s="224"/>
      <c r="IC65" s="224"/>
      <c r="ID65" s="224"/>
      <c r="IE65" s="224"/>
      <c r="IF65" s="224"/>
      <c r="IG65" s="224"/>
      <c r="IH65" s="224"/>
      <c r="II65" s="224"/>
      <c r="IJ65" s="224"/>
      <c r="IK65" s="224"/>
      <c r="IL65" s="224"/>
      <c r="IM65" s="224"/>
      <c r="IN65" s="224"/>
      <c r="IO65" s="224"/>
      <c r="IP65" s="224"/>
      <c r="IQ65" s="224"/>
      <c r="IR65" s="224"/>
      <c r="IS65" s="224"/>
      <c r="IT65" s="224"/>
      <c r="IU65" s="224"/>
      <c r="IV65" s="224"/>
      <c r="IW65" s="224"/>
    </row>
    <row r="66" customFormat="false" ht="15.75" hidden="false" customHeight="false" outlineLevel="0" collapsed="false">
      <c r="A66" s="225" t="s">
        <v>87</v>
      </c>
      <c r="B66" s="226" t="n">
        <v>0</v>
      </c>
      <c r="C66" s="227" t="n">
        <v>0</v>
      </c>
      <c r="D66" s="227" t="n">
        <v>0</v>
      </c>
      <c r="E66" s="227" t="n">
        <v>0</v>
      </c>
      <c r="F66" s="228" t="n">
        <v>0</v>
      </c>
      <c r="G66" s="226" t="n">
        <v>0</v>
      </c>
      <c r="H66" s="227" t="n">
        <v>0</v>
      </c>
      <c r="I66" s="227" t="n">
        <v>0</v>
      </c>
      <c r="J66" s="227" t="n">
        <v>0</v>
      </c>
      <c r="K66" s="228" t="n">
        <v>0</v>
      </c>
      <c r="L66" s="226" t="n">
        <v>0</v>
      </c>
      <c r="M66" s="227" t="n">
        <v>0</v>
      </c>
      <c r="N66" s="227" t="n">
        <v>0</v>
      </c>
      <c r="O66" s="227" t="n">
        <v>0</v>
      </c>
      <c r="P66" s="228" t="n">
        <v>0</v>
      </c>
      <c r="Q66" s="227" t="n">
        <v>0</v>
      </c>
      <c r="R66" s="227" t="n">
        <v>0</v>
      </c>
      <c r="S66" s="227" t="n">
        <v>0</v>
      </c>
      <c r="T66" s="227" t="n">
        <v>0</v>
      </c>
      <c r="U66" s="228" t="n">
        <v>0</v>
      </c>
      <c r="V66" s="226" t="n">
        <v>0</v>
      </c>
      <c r="W66" s="227" t="n">
        <v>0</v>
      </c>
      <c r="X66" s="227" t="n">
        <v>0</v>
      </c>
      <c r="Y66" s="227" t="n">
        <v>0</v>
      </c>
      <c r="Z66" s="228" t="n">
        <v>0</v>
      </c>
      <c r="AA66" s="226" t="n">
        <v>0</v>
      </c>
      <c r="AB66" s="227" t="n">
        <v>0</v>
      </c>
      <c r="AC66" s="227" t="n">
        <v>0</v>
      </c>
      <c r="AD66" s="227" t="n">
        <v>0</v>
      </c>
      <c r="AE66" s="228" t="n">
        <v>0</v>
      </c>
      <c r="AF66" s="226" t="n">
        <v>0</v>
      </c>
      <c r="AG66" s="227" t="n">
        <v>0</v>
      </c>
      <c r="AH66" s="227" t="n">
        <v>0</v>
      </c>
      <c r="AI66" s="226" t="n">
        <v>0</v>
      </c>
      <c r="AJ66" s="227" t="n">
        <v>0</v>
      </c>
      <c r="AK66" s="227" t="n">
        <v>0</v>
      </c>
      <c r="AL66" s="227" t="n">
        <v>0</v>
      </c>
      <c r="AM66" s="228" t="n">
        <v>0</v>
      </c>
    </row>
    <row r="67" customFormat="false" ht="15.75" hidden="false" customHeight="false" outlineLevel="0" collapsed="false">
      <c r="A67" s="225" t="s">
        <v>88</v>
      </c>
      <c r="B67" s="226"/>
      <c r="C67" s="227"/>
      <c r="D67" s="227"/>
      <c r="E67" s="227"/>
      <c r="F67" s="228"/>
      <c r="G67" s="229"/>
      <c r="H67" s="230"/>
      <c r="I67" s="230"/>
      <c r="J67" s="230"/>
      <c r="K67" s="231"/>
      <c r="L67" s="226"/>
      <c r="M67" s="227"/>
      <c r="N67" s="227"/>
      <c r="O67" s="227"/>
      <c r="P67" s="228"/>
      <c r="Q67" s="229"/>
      <c r="R67" s="230"/>
      <c r="S67" s="230"/>
      <c r="T67" s="230"/>
      <c r="U67" s="231"/>
      <c r="V67" s="226"/>
      <c r="W67" s="227"/>
      <c r="X67" s="227"/>
      <c r="Y67" s="227"/>
      <c r="Z67" s="228"/>
      <c r="AA67" s="229"/>
      <c r="AB67" s="230"/>
      <c r="AC67" s="230"/>
      <c r="AD67" s="230"/>
      <c r="AE67" s="231"/>
      <c r="AF67" s="226"/>
      <c r="AG67" s="227"/>
      <c r="AH67" s="227"/>
      <c r="AI67" s="229"/>
      <c r="AJ67" s="230"/>
      <c r="AK67" s="230"/>
      <c r="AL67" s="230"/>
      <c r="AM67" s="231"/>
    </row>
    <row r="68" customFormat="false" ht="16.5" hidden="false" customHeight="false" outlineLevel="0" collapsed="false">
      <c r="A68" s="36" t="s">
        <v>89</v>
      </c>
      <c r="B68" s="232"/>
      <c r="C68" s="233"/>
      <c r="D68" s="233"/>
      <c r="E68" s="233"/>
      <c r="F68" s="234"/>
      <c r="G68" s="235"/>
      <c r="H68" s="236"/>
      <c r="I68" s="236"/>
      <c r="J68" s="236"/>
      <c r="K68" s="237"/>
      <c r="L68" s="232"/>
      <c r="M68" s="233"/>
      <c r="N68" s="233"/>
      <c r="O68" s="233"/>
      <c r="P68" s="234"/>
      <c r="Q68" s="235"/>
      <c r="R68" s="236"/>
      <c r="S68" s="236"/>
      <c r="T68" s="236"/>
      <c r="U68" s="237"/>
      <c r="V68" s="232"/>
      <c r="W68" s="233"/>
      <c r="X68" s="233"/>
      <c r="Y68" s="233"/>
      <c r="Z68" s="234"/>
      <c r="AA68" s="235"/>
      <c r="AB68" s="236"/>
      <c r="AC68" s="236"/>
      <c r="AD68" s="236"/>
      <c r="AE68" s="237"/>
      <c r="AF68" s="232"/>
      <c r="AG68" s="233"/>
      <c r="AH68" s="233"/>
      <c r="AI68" s="235"/>
      <c r="AJ68" s="236"/>
      <c r="AK68" s="236"/>
      <c r="AL68" s="236"/>
      <c r="AM68" s="237"/>
    </row>
    <row r="69" customFormat="false" ht="16.5" hidden="false" customHeight="false" outlineLevel="0" collapsed="false">
      <c r="A69" s="238" t="s">
        <v>90</v>
      </c>
      <c r="B69" s="239" t="n">
        <f aca="false">B66*B67</f>
        <v>0</v>
      </c>
      <c r="C69" s="240" t="n">
        <f aca="false">C66*C67</f>
        <v>0</v>
      </c>
      <c r="D69" s="240" t="n">
        <f aca="false">D66*D67</f>
        <v>0</v>
      </c>
      <c r="E69" s="240" t="n">
        <f aca="false">E66*E67</f>
        <v>0</v>
      </c>
      <c r="F69" s="241" t="n">
        <f aca="false">F66*F67</f>
        <v>0</v>
      </c>
      <c r="G69" s="239" t="n">
        <f aca="false">G66*G67</f>
        <v>0</v>
      </c>
      <c r="H69" s="240" t="n">
        <f aca="false">H66*H67</f>
        <v>0</v>
      </c>
      <c r="I69" s="240" t="n">
        <f aca="false">I66*I67</f>
        <v>0</v>
      </c>
      <c r="J69" s="240" t="n">
        <f aca="false">J66*J67</f>
        <v>0</v>
      </c>
      <c r="K69" s="241" t="n">
        <f aca="false">K66*K67</f>
        <v>0</v>
      </c>
      <c r="L69" s="242"/>
      <c r="M69" s="243"/>
      <c r="N69" s="243"/>
      <c r="O69" s="243"/>
      <c r="P69" s="244"/>
      <c r="Q69" s="242"/>
      <c r="R69" s="243"/>
      <c r="S69" s="243"/>
      <c r="T69" s="243"/>
      <c r="U69" s="244"/>
      <c r="V69" s="239" t="n">
        <f aca="false">-V66*V67</f>
        <v>-0</v>
      </c>
      <c r="W69" s="240" t="n">
        <f aca="false">-W66*W67</f>
        <v>-0</v>
      </c>
      <c r="X69" s="240" t="n">
        <f aca="false">-X66*X67</f>
        <v>-0</v>
      </c>
      <c r="Y69" s="240" t="n">
        <f aca="false">-Y66*Y67</f>
        <v>-0</v>
      </c>
      <c r="Z69" s="241" t="n">
        <f aca="false">-Z66*Z67</f>
        <v>-0</v>
      </c>
      <c r="AA69" s="239" t="n">
        <f aca="false">-AA66*AA67</f>
        <v>-0</v>
      </c>
      <c r="AB69" s="240" t="n">
        <f aca="false">-AB66*AB67</f>
        <v>-0</v>
      </c>
      <c r="AC69" s="240" t="n">
        <f aca="false">-AC66*AC67</f>
        <v>-0</v>
      </c>
      <c r="AD69" s="240" t="n">
        <f aca="false">-AD66*AD67</f>
        <v>-0</v>
      </c>
      <c r="AE69" s="241" t="n">
        <f aca="false">-AE66*AE67</f>
        <v>-0</v>
      </c>
      <c r="AF69" s="242"/>
      <c r="AG69" s="243"/>
      <c r="AH69" s="243"/>
      <c r="AI69" s="243"/>
      <c r="AJ69" s="243"/>
      <c r="AK69" s="243"/>
      <c r="AL69" s="243"/>
      <c r="AM69" s="244"/>
      <c r="AN69" s="245" t="n">
        <f aca="false">SUM(B69:AM69)</f>
        <v>0</v>
      </c>
    </row>
    <row r="70" customFormat="false" ht="16.5" hidden="false" customHeight="false" outlineLevel="0" collapsed="false">
      <c r="A70" s="246" t="s">
        <v>91</v>
      </c>
      <c r="B70" s="247"/>
      <c r="C70" s="248"/>
      <c r="D70" s="248"/>
      <c r="E70" s="248"/>
      <c r="F70" s="249"/>
      <c r="G70" s="247"/>
      <c r="H70" s="248"/>
      <c r="I70" s="248"/>
      <c r="J70" s="248"/>
      <c r="K70" s="249"/>
      <c r="L70" s="250" t="n">
        <f aca="false">L66*L67</f>
        <v>0</v>
      </c>
      <c r="M70" s="251" t="n">
        <f aca="false">M66*M67</f>
        <v>0</v>
      </c>
      <c r="N70" s="251" t="n">
        <f aca="false">N65*N66</f>
        <v>0</v>
      </c>
      <c r="O70" s="251" t="n">
        <f aca="false">O65*O66</f>
        <v>0</v>
      </c>
      <c r="P70" s="252" t="n">
        <f aca="false">P66*P67</f>
        <v>0</v>
      </c>
      <c r="Q70" s="250" t="n">
        <f aca="false">Q67*Q66</f>
        <v>0</v>
      </c>
      <c r="R70" s="251" t="n">
        <f aca="false">R67*R66</f>
        <v>0</v>
      </c>
      <c r="S70" s="251" t="n">
        <f aca="false">S67*S66</f>
        <v>0</v>
      </c>
      <c r="T70" s="251" t="n">
        <f aca="false">T67*T66</f>
        <v>0</v>
      </c>
      <c r="U70" s="252" t="n">
        <f aca="false">U67*U66</f>
        <v>0</v>
      </c>
      <c r="V70" s="247"/>
      <c r="W70" s="248"/>
      <c r="X70" s="248"/>
      <c r="Y70" s="248"/>
      <c r="Z70" s="249"/>
      <c r="AA70" s="247"/>
      <c r="AB70" s="248"/>
      <c r="AC70" s="248"/>
      <c r="AD70" s="248"/>
      <c r="AE70" s="249"/>
      <c r="AF70" s="250" t="n">
        <f aca="false">-AF66*AF67</f>
        <v>-0</v>
      </c>
      <c r="AG70" s="251" t="n">
        <f aca="false">-AG66*AG67</f>
        <v>-0</v>
      </c>
      <c r="AH70" s="251" t="n">
        <f aca="false">-AH66*AH67</f>
        <v>-0</v>
      </c>
      <c r="AI70" s="251" t="n">
        <f aca="false">-AI66*AI67</f>
        <v>-0</v>
      </c>
      <c r="AJ70" s="251" t="n">
        <f aca="false">-AJ66*AJ67</f>
        <v>-0</v>
      </c>
      <c r="AK70" s="251" t="n">
        <f aca="false">-AK66*AK67</f>
        <v>-0</v>
      </c>
      <c r="AL70" s="251" t="n">
        <f aca="false">-AL66*AL67</f>
        <v>-0</v>
      </c>
      <c r="AM70" s="252" t="n">
        <f aca="false">-AM66*AM67</f>
        <v>-0</v>
      </c>
      <c r="AN70" s="253" t="n">
        <f aca="false">SUM(B70:AM70)</f>
        <v>0</v>
      </c>
    </row>
    <row r="71" customFormat="false" ht="12.75" hidden="false" customHeight="fals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H71" s="21"/>
      <c r="AI71" s="21"/>
      <c r="AJ71" s="21"/>
      <c r="AK71" s="21"/>
    </row>
    <row r="72" customFormat="false" ht="15.75" hidden="false" customHeight="false" outlineLevel="0" collapsed="false">
      <c r="N72" s="24"/>
      <c r="O72" s="24"/>
    </row>
    <row r="74" customFormat="false" ht="15.75" hidden="false" customHeight="false" outlineLevel="0" collapsed="false">
      <c r="B74" s="254"/>
      <c r="C74" s="255"/>
      <c r="D74" s="255"/>
      <c r="E74" s="255"/>
      <c r="F74" s="51"/>
    </row>
    <row r="75" customFormat="false" ht="15.75" hidden="false" customHeight="false" outlineLevel="0" collapsed="false">
      <c r="B75" s="131"/>
      <c r="C75" s="131"/>
      <c r="D75" s="131"/>
      <c r="E75" s="131"/>
      <c r="F75" s="131"/>
    </row>
    <row r="76" customFormat="false" ht="15.75" hidden="false" customHeight="false" outlineLevel="0" collapsed="false">
      <c r="B76" s="131"/>
      <c r="C76" s="131"/>
      <c r="D76" s="131"/>
      <c r="E76" s="131"/>
      <c r="F76" s="131"/>
    </row>
    <row r="77" customFormat="false" ht="12" hidden="false" customHeight="true" outlineLevel="0" collapsed="false">
      <c r="B77" s="131"/>
      <c r="C77" s="131"/>
      <c r="D77" s="131"/>
      <c r="E77" s="131"/>
      <c r="F77" s="131"/>
    </row>
    <row r="79" customFormat="false" ht="15.75" hidden="false" customHeight="false" outlineLevel="0" collapsed="false">
      <c r="B79" s="131"/>
      <c r="C79" s="131"/>
      <c r="D79" s="131"/>
      <c r="E79" s="131"/>
      <c r="F79" s="131"/>
    </row>
    <row r="80" customFormat="false" ht="15.75" hidden="false" customHeight="false" outlineLevel="0" collapsed="false">
      <c r="B80" s="131"/>
      <c r="C80" s="131"/>
      <c r="D80" s="131"/>
      <c r="E80" s="131"/>
      <c r="F80" s="131"/>
    </row>
    <row r="81" customFormat="false" ht="15.75" hidden="false" customHeight="false" outlineLevel="0" collapsed="false">
      <c r="B81" s="131"/>
      <c r="C81" s="131"/>
      <c r="D81" s="131"/>
      <c r="E81" s="131"/>
      <c r="F81" s="131"/>
    </row>
    <row r="82" customFormat="false" ht="15.75" hidden="false" customHeight="false" outlineLevel="0" collapsed="false">
      <c r="B82" s="254"/>
      <c r="C82" s="255"/>
      <c r="D82" s="255"/>
      <c r="E82" s="255"/>
      <c r="F82" s="131"/>
    </row>
    <row r="83" customFormat="false" ht="15.75" hidden="false" customHeight="false" outlineLevel="0" collapsed="false">
      <c r="B83" s="131"/>
      <c r="C83" s="131"/>
      <c r="D83" s="131"/>
      <c r="E83" s="131"/>
      <c r="F83" s="131"/>
    </row>
    <row r="84" customFormat="false" ht="15.75" hidden="false" customHeight="false" outlineLevel="0" collapsed="false">
      <c r="B84" s="131"/>
      <c r="C84" s="131"/>
      <c r="D84" s="131"/>
      <c r="E84" s="131"/>
      <c r="F84" s="131"/>
    </row>
    <row r="85" customFormat="false" ht="15.75" hidden="false" customHeight="false" outlineLevel="0" collapsed="false">
      <c r="B85" s="131"/>
      <c r="C85" s="131"/>
      <c r="D85" s="131"/>
      <c r="E85" s="131"/>
      <c r="F85" s="131"/>
    </row>
    <row r="86" customFormat="false" ht="15.75" hidden="false" customHeight="false" outlineLevel="0" collapsed="false">
      <c r="B86" s="131"/>
      <c r="C86" s="131"/>
      <c r="D86" s="131"/>
      <c r="E86" s="131"/>
      <c r="F86" s="131"/>
    </row>
    <row r="87" customFormat="false" ht="15.75" hidden="false" customHeight="false" outlineLevel="0" collapsed="false">
      <c r="B87" s="131"/>
      <c r="C87" s="131"/>
      <c r="D87" s="131"/>
      <c r="E87" s="131"/>
      <c r="F87" s="131"/>
    </row>
    <row r="88" customFormat="false" ht="15.75" hidden="false" customHeight="false" outlineLevel="0" collapsed="false">
      <c r="A88" s="21" t="s">
        <v>92</v>
      </c>
      <c r="B88" s="256" t="str">
        <f aca="false">CONCATENATE("NYPos"&amp;IF(MONTH(TradeDate)&lt;10,"0"&amp;MONTH(TradeDate),MONTH(TradeDate))&amp;IF(DAY(TradeDate)&lt;10,"0"&amp;DAY(TradeDate),DAY(TradeDate)))</f>
        <v>NYPos0831</v>
      </c>
      <c r="C88" s="255"/>
      <c r="D88" s="255"/>
      <c r="E88" s="255"/>
      <c r="F88" s="131"/>
    </row>
    <row r="89" customFormat="false" ht="15.75" hidden="false" customHeight="false" outlineLevel="0" collapsed="false">
      <c r="B89" s="257" t="s">
        <v>93</v>
      </c>
      <c r="C89" s="131"/>
      <c r="D89" s="131"/>
      <c r="E89" s="131"/>
      <c r="F89" s="131"/>
    </row>
    <row r="90" customFormat="false" ht="15.75" hidden="false" customHeight="false" outlineLevel="0" collapsed="false">
      <c r="B90" s="131"/>
      <c r="C90" s="131"/>
      <c r="D90" s="131"/>
      <c r="E90" s="131"/>
      <c r="F90" s="131"/>
    </row>
    <row r="91" customFormat="false" ht="15.75" hidden="false" customHeight="false" outlineLevel="0" collapsed="false">
      <c r="B91" s="131"/>
      <c r="C91" s="131"/>
      <c r="D91" s="131"/>
      <c r="E91" s="131"/>
      <c r="F91" s="131"/>
    </row>
    <row r="92" customFormat="false" ht="15.75" hidden="false" customHeight="false" outlineLevel="0" collapsed="false">
      <c r="B92" s="131"/>
      <c r="C92" s="131"/>
      <c r="D92" s="131"/>
      <c r="E92" s="131"/>
      <c r="F92" s="131"/>
    </row>
    <row r="93" customFormat="false" ht="15.75" hidden="false" customHeight="false" outlineLevel="0" collapsed="false">
      <c r="B93" s="131"/>
      <c r="C93" s="131"/>
      <c r="D93" s="131"/>
      <c r="E93" s="131"/>
      <c r="F93" s="131"/>
    </row>
    <row r="95" customFormat="false" ht="12" hidden="false" customHeight="true" outlineLevel="0" collapsed="false">
      <c r="B95" s="131"/>
      <c r="C95" s="131"/>
      <c r="D95" s="131"/>
      <c r="E95" s="131"/>
      <c r="F95" s="131"/>
    </row>
    <row r="96" customFormat="false" ht="15.75" hidden="false" customHeight="false" outlineLevel="0" collapsed="false">
      <c r="B96" s="131"/>
      <c r="C96" s="131"/>
      <c r="D96" s="131"/>
      <c r="E96" s="131"/>
      <c r="F96" s="131"/>
    </row>
    <row r="97" customFormat="false" ht="15.75" hidden="false" customHeight="false" outlineLevel="0" collapsed="false">
      <c r="B97" s="131"/>
      <c r="C97" s="131"/>
      <c r="D97" s="131"/>
      <c r="E97" s="131"/>
      <c r="F97" s="131"/>
    </row>
    <row r="98" customFormat="false" ht="15.75" hidden="false" customHeight="false" outlineLevel="0" collapsed="false">
      <c r="B98" s="131"/>
      <c r="C98" s="131"/>
      <c r="D98" s="131"/>
      <c r="E98" s="131"/>
      <c r="F98" s="131"/>
    </row>
    <row r="99" customFormat="false" ht="15.75" hidden="false" customHeight="false" outlineLevel="0" collapsed="false">
      <c r="B99" s="131"/>
      <c r="C99" s="131"/>
      <c r="D99" s="131"/>
      <c r="E99" s="131"/>
      <c r="F99" s="131"/>
    </row>
    <row r="100" customFormat="false" ht="15.75" hidden="false" customHeight="false" outlineLevel="0" collapsed="false">
      <c r="B100" s="131"/>
      <c r="C100" s="131"/>
      <c r="D100" s="131"/>
      <c r="E100" s="131"/>
      <c r="F100" s="131"/>
    </row>
    <row r="101" customFormat="false" ht="15.75" hidden="false" customHeight="false" outlineLevel="0" collapsed="false">
      <c r="B101" s="131"/>
      <c r="C101" s="131"/>
      <c r="D101" s="131"/>
      <c r="E101" s="131"/>
      <c r="F101" s="131"/>
    </row>
    <row r="102" customFormat="false" ht="15.75" hidden="false" customHeight="false" outlineLevel="0" collapsed="false">
      <c r="B102" s="131"/>
      <c r="C102" s="131"/>
      <c r="D102" s="131"/>
      <c r="E102" s="258"/>
      <c r="F102" s="258"/>
    </row>
    <row r="103" customFormat="false" ht="15.75" hidden="false" customHeight="false" outlineLevel="0" collapsed="false">
      <c r="B103" s="131"/>
      <c r="C103" s="131"/>
      <c r="D103" s="131"/>
      <c r="E103" s="131"/>
      <c r="F103" s="131"/>
    </row>
  </sheetData>
  <mergeCells count="51">
    <mergeCell ref="W10:X10"/>
    <mergeCell ref="Y10:Z10"/>
    <mergeCell ref="AA10:AB10"/>
    <mergeCell ref="AC10:AF10"/>
    <mergeCell ref="AG10:AH10"/>
    <mergeCell ref="AI10:AJ10"/>
    <mergeCell ref="AK10:AL10"/>
    <mergeCell ref="AM10:AN10"/>
    <mergeCell ref="AO10:AP10"/>
    <mergeCell ref="AQ10:AR10"/>
    <mergeCell ref="AS10:AT10"/>
    <mergeCell ref="AU10:AV10"/>
    <mergeCell ref="AW10:AX10"/>
    <mergeCell ref="AY10:AZ10"/>
    <mergeCell ref="BA10:BB10"/>
    <mergeCell ref="BC10:BD10"/>
    <mergeCell ref="BE10:BF10"/>
    <mergeCell ref="BG10:BH10"/>
    <mergeCell ref="BI10:BJ10"/>
    <mergeCell ref="BK10:BL10"/>
    <mergeCell ref="BM10:BN10"/>
    <mergeCell ref="BO10:BP10"/>
    <mergeCell ref="BQ10:BR10"/>
    <mergeCell ref="BS10:BT10"/>
    <mergeCell ref="BU10:BV10"/>
    <mergeCell ref="BW10:BX10"/>
    <mergeCell ref="BY10:BZ10"/>
    <mergeCell ref="CA10:CB10"/>
    <mergeCell ref="CC10:CD10"/>
    <mergeCell ref="CE10:CF10"/>
    <mergeCell ref="CG10:CH10"/>
    <mergeCell ref="CI10:CJ10"/>
    <mergeCell ref="CK10:CL10"/>
    <mergeCell ref="CM10:CN10"/>
    <mergeCell ref="CO10:CP10"/>
    <mergeCell ref="CQ10:CR10"/>
    <mergeCell ref="CS10:CT10"/>
    <mergeCell ref="CU10:CV10"/>
    <mergeCell ref="CW10:CX10"/>
    <mergeCell ref="B63:K63"/>
    <mergeCell ref="L63:S63"/>
    <mergeCell ref="V63:AE63"/>
    <mergeCell ref="AF63:AM63"/>
    <mergeCell ref="B64:F64"/>
    <mergeCell ref="G64:K64"/>
    <mergeCell ref="L64:M64"/>
    <mergeCell ref="Q64:S64"/>
    <mergeCell ref="V64:Z64"/>
    <mergeCell ref="AA64:AE64"/>
    <mergeCell ref="AF64:AH64"/>
    <mergeCell ref="AI64:AM6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">
              <controlPr defaultSize="0" locked="1" autoFill="0" autoLine="0" autoPict="0" print="true" altText="Check Box 1">
                <anchor moveWithCells="true" sizeWithCells="false">
                  <from>
                    <xdr:col>16</xdr:col>
                    <xdr:colOff>9720</xdr:colOff>
                    <xdr:row>8</xdr:row>
                    <xdr:rowOff>38160</xdr:rowOff>
                  </from>
                  <to>
                    <xdr:col>17</xdr:col>
                    <xdr:colOff>-512280</xdr:colOff>
                    <xdr:row>9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">
              <controlPr defaultSize="0" locked="1" autoFill="0" autoLine="0" autoPict="0" print="true" altText="Check Box 2">
                <anchor moveWithCells="true" sizeWithCells="false">
                  <from>
                    <xdr:col>16</xdr:col>
                    <xdr:colOff>9720</xdr:colOff>
                    <xdr:row>8</xdr:row>
                    <xdr:rowOff>29160</xdr:rowOff>
                  </from>
                  <to>
                    <xdr:col>17</xdr:col>
                    <xdr:colOff>-472320</xdr:colOff>
                    <xdr:row>9</xdr:row>
                    <xdr:rowOff>28800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16">
              <controlPr defaultSize="0" print="false" autoFill="0" autoPict="0" macro="Module7.clearnewdeals">
                <anchor moveWithCells="true" sizeWithCells="false">
                  <from>
                    <xdr:col>5</xdr:col>
                    <xdr:colOff>90720</xdr:colOff>
                    <xdr:row>1</xdr:row>
                    <xdr:rowOff>218880</xdr:rowOff>
                  </from>
                  <to>
                    <xdr:col>6</xdr:col>
                    <xdr:colOff>483480</xdr:colOff>
                    <xdr:row>4</xdr:row>
                    <xdr:rowOff>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17">
              <controlPr defaultSize="0" print="false" autoFill="0" autoPict="0" macro="Module1.End_Day">
                <anchor moveWithCells="true" sizeWithCells="false">
                  <from>
                    <xdr:col>3</xdr:col>
                    <xdr:colOff>30240</xdr:colOff>
                    <xdr:row>1</xdr:row>
                    <xdr:rowOff>256680</xdr:rowOff>
                  </from>
                  <to>
                    <xdr:col>4</xdr:col>
                    <xdr:colOff>373320</xdr:colOff>
                    <xdr:row>4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"/>
  <sheetViews>
    <sheetView showFormulas="false" showGridLines="true" showRowColHeaders="true" showZeros="true" rightToLeft="false" tabSelected="false" showOutlineSymbols="true" defaultGridColor="true" view="normal" topLeftCell="DF1" colorId="64" zoomScale="75" zoomScaleNormal="75" zoomScalePageLayoutView="100" workbookViewId="0">
      <selection pane="topLeft" activeCell="DL12" activeCellId="0" sqref="DL12:DL4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" width="12.56"/>
    <col collapsed="false" customWidth="true" hidden="false" outlineLevel="0" max="2" min="2" style="21" width="12.28"/>
    <col collapsed="false" customWidth="true" hidden="false" outlineLevel="0" max="3" min="3" style="21" width="9.99"/>
    <col collapsed="false" customWidth="true" hidden="false" outlineLevel="0" max="4" min="4" style="21" width="12.14"/>
    <col collapsed="false" customWidth="true" hidden="false" outlineLevel="0" max="5" min="5" style="21" width="13.7"/>
    <col collapsed="false" customWidth="true" hidden="false" outlineLevel="0" max="6" min="6" style="21" width="10.13"/>
    <col collapsed="false" customWidth="true" hidden="false" outlineLevel="0" max="7" min="7" style="21" width="9.99"/>
    <col collapsed="false" customWidth="true" hidden="false" outlineLevel="0" max="8" min="8" style="21" width="11.85"/>
    <col collapsed="false" customWidth="true" hidden="false" outlineLevel="0" max="9" min="9" style="21" width="15.13"/>
    <col collapsed="false" customWidth="true" hidden="false" outlineLevel="0" max="10" min="10" style="21" width="17.85"/>
    <col collapsed="false" customWidth="true" hidden="false" outlineLevel="0" max="11" min="11" style="21" width="18.56"/>
    <col collapsed="false" customWidth="true" hidden="false" outlineLevel="0" max="12" min="12" style="21" width="9.7"/>
    <col collapsed="false" customWidth="true" hidden="false" outlineLevel="0" max="13" min="13" style="21" width="13.41"/>
    <col collapsed="false" customWidth="true" hidden="false" outlineLevel="0" max="15" min="14" style="21" width="9.85"/>
    <col collapsed="false" customWidth="true" hidden="false" outlineLevel="0" max="17" min="16" style="21" width="11.85"/>
    <col collapsed="false" customWidth="true" hidden="false" outlineLevel="0" max="18" min="18" style="21" width="11.28"/>
    <col collapsed="false" customWidth="true" hidden="false" outlineLevel="0" max="19" min="19" style="22" width="11.7"/>
    <col collapsed="false" customWidth="true" hidden="false" outlineLevel="0" max="20" min="20" style="23" width="12.85"/>
    <col collapsed="false" customWidth="false" hidden="false" outlineLevel="0" max="21" min="21" style="23" width="9.14"/>
    <col collapsed="false" customWidth="true" hidden="false" outlineLevel="0" max="22" min="22" style="21" width="13.41"/>
    <col collapsed="false" customWidth="true" hidden="false" outlineLevel="0" max="24" min="23" style="21" width="9.99"/>
    <col collapsed="false" customWidth="true" hidden="false" outlineLevel="0" max="25" min="25" style="21" width="9.85"/>
    <col collapsed="false" customWidth="true" hidden="false" outlineLevel="0" max="30" min="26" style="21" width="9.99"/>
    <col collapsed="false" customWidth="false" hidden="false" outlineLevel="0" max="31" min="31" style="21" width="9.14"/>
    <col collapsed="false" customWidth="true" hidden="false" outlineLevel="0" max="32" min="32" style="21" width="9.99"/>
    <col collapsed="false" customWidth="false" hidden="false" outlineLevel="0" max="33" min="33" style="21" width="9.14"/>
    <col collapsed="false" customWidth="true" hidden="false" outlineLevel="0" max="34" min="34" style="24" width="9.99"/>
    <col collapsed="false" customWidth="false" hidden="false" outlineLevel="0" max="35" min="35" style="24" width="9.14"/>
    <col collapsed="false" customWidth="true" hidden="false" outlineLevel="0" max="36" min="36" style="24" width="9.99"/>
    <col collapsed="false" customWidth="false" hidden="false" outlineLevel="0" max="37" min="37" style="24" width="9.14"/>
    <col collapsed="false" customWidth="true" hidden="false" outlineLevel="0" max="38" min="38" style="21" width="9.99"/>
    <col collapsed="false" customWidth="false" hidden="false" outlineLevel="0" max="39" min="39" style="21" width="9.14"/>
    <col collapsed="false" customWidth="true" hidden="false" outlineLevel="0" max="40" min="40" style="21" width="9.99"/>
    <col collapsed="false" customWidth="false" hidden="false" outlineLevel="0" max="41" min="41" style="21" width="9.14"/>
    <col collapsed="false" customWidth="true" hidden="false" outlineLevel="0" max="42" min="42" style="21" width="9.99"/>
    <col collapsed="false" customWidth="true" hidden="false" outlineLevel="0" max="52" min="43" style="21" width="10.13"/>
    <col collapsed="false" customWidth="false" hidden="false" outlineLevel="0" max="53" min="53" style="21" width="9.14"/>
    <col collapsed="false" customWidth="true" hidden="false" outlineLevel="0" max="54" min="54" style="21" width="9.99"/>
    <col collapsed="false" customWidth="false" hidden="false" outlineLevel="0" max="55" min="55" style="21" width="9.14"/>
    <col collapsed="false" customWidth="true" hidden="false" outlineLevel="0" max="56" min="56" style="21" width="9.99"/>
    <col collapsed="false" customWidth="false" hidden="false" outlineLevel="0" max="57" min="57" style="21" width="9.14"/>
    <col collapsed="false" customWidth="true" hidden="false" outlineLevel="0" max="58" min="58" style="21" width="9.99"/>
    <col collapsed="false" customWidth="false" hidden="false" outlineLevel="0" max="59" min="59" style="21" width="9.14"/>
    <col collapsed="false" customWidth="true" hidden="false" outlineLevel="0" max="60" min="60" style="21" width="9.99"/>
    <col collapsed="false" customWidth="false" hidden="false" outlineLevel="0" max="61" min="61" style="21" width="9.14"/>
    <col collapsed="false" customWidth="true" hidden="false" outlineLevel="0" max="62" min="62" style="21" width="9.99"/>
    <col collapsed="false" customWidth="false" hidden="false" outlineLevel="0" max="63" min="63" style="21" width="9.14"/>
    <col collapsed="false" customWidth="true" hidden="false" outlineLevel="0" max="64" min="64" style="21" width="9.99"/>
    <col collapsed="false" customWidth="false" hidden="false" outlineLevel="0" max="65" min="65" style="21" width="9.14"/>
    <col collapsed="false" customWidth="true" hidden="false" outlineLevel="0" max="66" min="66" style="21" width="9.99"/>
    <col collapsed="false" customWidth="false" hidden="false" outlineLevel="0" max="67" min="67" style="21" width="9.14"/>
    <col collapsed="false" customWidth="true" hidden="false" outlineLevel="0" max="68" min="68" style="21" width="9.99"/>
    <col collapsed="false" customWidth="false" hidden="false" outlineLevel="0" max="69" min="69" style="21" width="9.14"/>
    <col collapsed="false" customWidth="true" hidden="false" outlineLevel="0" max="70" min="70" style="21" width="9.99"/>
    <col collapsed="false" customWidth="false" hidden="false" outlineLevel="0" max="71" min="71" style="21" width="9.14"/>
    <col collapsed="false" customWidth="true" hidden="false" outlineLevel="0" max="72" min="72" style="21" width="9.99"/>
    <col collapsed="false" customWidth="false" hidden="false" outlineLevel="0" max="89" min="73" style="21" width="9.14"/>
    <col collapsed="false" customWidth="true" hidden="false" outlineLevel="0" max="90" min="90" style="21" width="10.99"/>
    <col collapsed="false" customWidth="true" hidden="false" outlineLevel="0" max="91" min="91" style="21" width="14.41"/>
    <col collapsed="false" customWidth="false" hidden="false" outlineLevel="0" max="97" min="92" style="21" width="9.14"/>
    <col collapsed="false" customWidth="true" hidden="false" outlineLevel="0" max="98" min="98" style="21" width="9.99"/>
    <col collapsed="false" customWidth="false" hidden="false" outlineLevel="0" max="99" min="99" style="21" width="9.14"/>
    <col collapsed="false" customWidth="true" hidden="false" outlineLevel="0" max="100" min="100" style="21" width="9.99"/>
    <col collapsed="false" customWidth="false" hidden="false" outlineLevel="0" max="101" min="101" style="21" width="9.14"/>
    <col collapsed="false" customWidth="true" hidden="false" outlineLevel="0" max="102" min="102" style="21" width="9.99"/>
    <col collapsed="false" customWidth="false" hidden="false" outlineLevel="0" max="105" min="103" style="21" width="9.14"/>
    <col collapsed="false" customWidth="true" hidden="false" outlineLevel="0" max="106" min="106" style="21" width="10.99"/>
    <col collapsed="false" customWidth="true" hidden="false" outlineLevel="0" max="107" min="107" style="21" width="14.41"/>
    <col collapsed="false" customWidth="false" hidden="false" outlineLevel="0" max="108" min="108" style="21" width="9.14"/>
    <col collapsed="false" customWidth="true" hidden="false" outlineLevel="0" max="109" min="109" style="21" width="17.28"/>
    <col collapsed="false" customWidth="false" hidden="false" outlineLevel="0" max="114" min="110" style="21" width="9.14"/>
    <col collapsed="false" customWidth="true" hidden="false" outlineLevel="0" max="115" min="115" style="21" width="10.99"/>
    <col collapsed="false" customWidth="false" hidden="false" outlineLevel="0" max="257" min="116" style="21" width="9.14"/>
  </cols>
  <sheetData>
    <row r="1" customFormat="false" ht="15.75" hidden="false" customHeight="false" outlineLevel="0" collapsed="false">
      <c r="A1" s="21" t="n">
        <v>0</v>
      </c>
      <c r="F1" s="21" t="n">
        <v>4</v>
      </c>
      <c r="G1" s="21" t="n">
        <v>23</v>
      </c>
      <c r="AH1" s="21"/>
      <c r="AI1" s="21"/>
      <c r="AJ1" s="21"/>
      <c r="AK1" s="21"/>
    </row>
    <row r="2" customFormat="false" ht="25.5" hidden="false" customHeight="false" outlineLevel="0" collapsed="false">
      <c r="A2" s="259" t="s">
        <v>40</v>
      </c>
      <c r="F2" s="21" t="n">
        <v>4</v>
      </c>
      <c r="G2" s="21" t="n">
        <v>31</v>
      </c>
      <c r="N2" s="26"/>
      <c r="AH2" s="21"/>
      <c r="AI2" s="21"/>
      <c r="AJ2" s="21"/>
      <c r="AK2" s="21"/>
    </row>
    <row r="3" customFormat="false" ht="16.5" hidden="false" customHeight="false" outlineLevel="0" collapsed="false">
      <c r="G3" s="21" t="n">
        <f aca="false">+G1*F1+G2*F2</f>
        <v>216</v>
      </c>
      <c r="N3" s="26"/>
      <c r="AH3" s="21"/>
      <c r="AI3" s="21"/>
      <c r="AJ3" s="21"/>
      <c r="AK3" s="21"/>
    </row>
    <row r="4" customFormat="false" ht="16.5" hidden="false" customHeight="false" outlineLevel="0" collapsed="false">
      <c r="E4" s="21" t="n">
        <f aca="false">33171-32477</f>
        <v>694</v>
      </c>
      <c r="G4" s="21" t="n">
        <f aca="false">+G3/8</f>
        <v>27</v>
      </c>
      <c r="I4" s="28" t="s">
        <v>41</v>
      </c>
      <c r="J4" s="29" t="s">
        <v>42</v>
      </c>
      <c r="K4" s="29"/>
      <c r="N4" s="26"/>
      <c r="S4" s="24"/>
      <c r="T4" s="24"/>
      <c r="AH4" s="21"/>
      <c r="AI4" s="21"/>
      <c r="AJ4" s="21"/>
      <c r="AK4" s="21"/>
    </row>
    <row r="5" customFormat="false" ht="13.5" hidden="false" customHeight="false" outlineLevel="0" collapsed="false">
      <c r="A5" s="31" t="s">
        <v>43</v>
      </c>
      <c r="B5" s="32" t="n">
        <f aca="false">[3]Top!$B$4</f>
        <v>37134</v>
      </c>
      <c r="I5" s="33" t="s">
        <v>44</v>
      </c>
      <c r="J5" s="34" t="s">
        <v>45</v>
      </c>
      <c r="K5" s="34" t="s">
        <v>46</v>
      </c>
      <c r="S5" s="24"/>
      <c r="T5" s="24"/>
      <c r="U5" s="35"/>
      <c r="AH5" s="21"/>
      <c r="AI5" s="21"/>
      <c r="AJ5" s="21"/>
      <c r="AK5" s="21"/>
    </row>
    <row r="6" customFormat="false" ht="16.5" hidden="false" customHeight="false" outlineLevel="0" collapsed="false">
      <c r="A6" s="36" t="s">
        <v>47</v>
      </c>
      <c r="B6" s="37" t="n">
        <f aca="false">[3]Top!$B$5</f>
        <v>37133</v>
      </c>
      <c r="E6" s="38"/>
      <c r="I6" s="39" t="n">
        <f aca="false">SUM(I12:I56)</f>
        <v>-93828.3182067834</v>
      </c>
      <c r="J6" s="39" t="n">
        <f aca="false">SUM(J12:J56)</f>
        <v>-9600.00000000002</v>
      </c>
      <c r="K6" s="39" t="n">
        <f aca="false">SUM(K12:K56)</f>
        <v>-103428.318206783</v>
      </c>
      <c r="S6" s="24"/>
      <c r="T6" s="24"/>
      <c r="U6" s="35"/>
      <c r="AH6" s="21"/>
      <c r="AI6" s="21"/>
      <c r="AJ6" s="21"/>
      <c r="AK6" s="21"/>
    </row>
    <row r="7" customFormat="false" ht="12.75" hidden="false" customHeight="false" outlineLevel="0" collapsed="false">
      <c r="S7" s="24"/>
      <c r="T7" s="24"/>
      <c r="U7" s="35"/>
      <c r="AH7" s="21"/>
      <c r="AI7" s="21"/>
      <c r="AJ7" s="21"/>
      <c r="AK7" s="21"/>
    </row>
    <row r="8" customFormat="false" ht="13.5" hidden="false" customHeight="false" outlineLevel="0" collapsed="false">
      <c r="P8" s="43"/>
      <c r="Q8" s="43"/>
      <c r="R8" s="43"/>
      <c r="S8" s="24"/>
      <c r="T8" s="24"/>
      <c r="U8" s="35"/>
      <c r="AH8" s="21"/>
      <c r="AI8" s="21"/>
      <c r="AJ8" s="21"/>
      <c r="AK8" s="21"/>
    </row>
    <row r="9" customFormat="false" ht="25.5" hidden="false" customHeight="true" outlineLevel="0" collapsed="false">
      <c r="H9" s="44"/>
      <c r="L9" s="24"/>
      <c r="N9" s="260" t="n">
        <f aca="false">+AVERAGE(N15:N16,N18:N19,N22:N26,N29:N30,N29:N33,N36:N40,N43,N43)</f>
        <v>40.5217391304348</v>
      </c>
      <c r="O9" s="260" t="n">
        <f aca="false">+AVERAGE(O15:O16,O18:O19,O22:O26,O29:O30,O29:O33,O36:O40,O43,O43)</f>
        <v>40.5217391304348</v>
      </c>
      <c r="P9" s="43"/>
      <c r="Q9" s="45" t="b">
        <f aca="false">FALSE()</f>
        <v>0</v>
      </c>
      <c r="R9" s="43"/>
      <c r="S9" s="24"/>
      <c r="T9" s="24"/>
      <c r="U9" s="35"/>
      <c r="AH9" s="21"/>
      <c r="AI9" s="21"/>
      <c r="AJ9" s="21"/>
      <c r="AK9" s="21"/>
    </row>
    <row r="10" customFormat="false" ht="13.5" hidden="false" customHeight="false" outlineLevel="0" collapsed="false">
      <c r="A10" s="28"/>
      <c r="B10" s="28" t="s">
        <v>48</v>
      </c>
      <c r="C10" s="28" t="s">
        <v>49</v>
      </c>
      <c r="D10" s="28" t="s">
        <v>50</v>
      </c>
      <c r="E10" s="28" t="s">
        <v>51</v>
      </c>
      <c r="F10" s="28" t="s">
        <v>52</v>
      </c>
      <c r="G10" s="28" t="s">
        <v>49</v>
      </c>
      <c r="H10" s="28" t="s">
        <v>53</v>
      </c>
      <c r="I10" s="28" t="s">
        <v>41</v>
      </c>
      <c r="J10" s="29" t="s">
        <v>54</v>
      </c>
      <c r="K10" s="29"/>
      <c r="L10" s="24"/>
      <c r="M10" s="46"/>
      <c r="N10" s="46"/>
      <c r="O10" s="46"/>
      <c r="P10" s="28" t="s">
        <v>55</v>
      </c>
      <c r="Q10" s="28" t="s">
        <v>56</v>
      </c>
      <c r="R10" s="28" t="s">
        <v>53</v>
      </c>
      <c r="S10" s="24"/>
      <c r="T10" s="24"/>
      <c r="U10" s="35"/>
      <c r="V10" s="47"/>
      <c r="W10" s="28" t="n">
        <v>1</v>
      </c>
      <c r="X10" s="28"/>
      <c r="Y10" s="28" t="n">
        <v>2</v>
      </c>
      <c r="Z10" s="28"/>
      <c r="AA10" s="28" t="n">
        <v>3</v>
      </c>
      <c r="AB10" s="28"/>
      <c r="AC10" s="28" t="n">
        <v>4</v>
      </c>
      <c r="AD10" s="28"/>
      <c r="AE10" s="28" t="n">
        <v>5</v>
      </c>
      <c r="AF10" s="28"/>
      <c r="AG10" s="28" t="n">
        <v>6</v>
      </c>
      <c r="AH10" s="28"/>
      <c r="AI10" s="28" t="n">
        <v>7</v>
      </c>
      <c r="AJ10" s="28"/>
      <c r="AK10" s="28" t="n">
        <v>8</v>
      </c>
      <c r="AL10" s="28"/>
      <c r="AM10" s="28" t="n">
        <v>9</v>
      </c>
      <c r="AN10" s="28"/>
      <c r="AO10" s="28" t="n">
        <v>10</v>
      </c>
      <c r="AP10" s="28"/>
      <c r="AQ10" s="28" t="n">
        <v>11</v>
      </c>
      <c r="AR10" s="28"/>
      <c r="AS10" s="28" t="n">
        <v>12</v>
      </c>
      <c r="AT10" s="28"/>
      <c r="AU10" s="28" t="n">
        <v>13</v>
      </c>
      <c r="AV10" s="28"/>
      <c r="AW10" s="28" t="n">
        <v>14</v>
      </c>
      <c r="AX10" s="28"/>
      <c r="AY10" s="28" t="n">
        <v>15</v>
      </c>
      <c r="AZ10" s="28"/>
      <c r="BA10" s="28" t="n">
        <v>16</v>
      </c>
      <c r="BB10" s="28"/>
      <c r="BC10" s="28" t="n">
        <v>17</v>
      </c>
      <c r="BD10" s="28"/>
      <c r="BE10" s="28" t="n">
        <v>18</v>
      </c>
      <c r="BF10" s="28"/>
      <c r="BG10" s="28" t="n">
        <v>19</v>
      </c>
      <c r="BH10" s="28"/>
      <c r="BI10" s="28" t="n">
        <v>20</v>
      </c>
      <c r="BJ10" s="28"/>
      <c r="BK10" s="28" t="n">
        <v>21</v>
      </c>
      <c r="BL10" s="28"/>
      <c r="BM10" s="28" t="n">
        <v>22</v>
      </c>
      <c r="BN10" s="28"/>
      <c r="BO10" s="28" t="n">
        <v>23</v>
      </c>
      <c r="BP10" s="28"/>
      <c r="BQ10" s="28" t="n">
        <v>24</v>
      </c>
      <c r="BR10" s="28"/>
      <c r="BS10" s="28" t="n">
        <v>25</v>
      </c>
      <c r="BT10" s="28"/>
      <c r="BU10" s="28" t="n">
        <v>26</v>
      </c>
      <c r="BV10" s="28"/>
      <c r="BW10" s="28" t="n">
        <v>27</v>
      </c>
      <c r="BX10" s="28"/>
      <c r="BY10" s="28" t="n">
        <v>28</v>
      </c>
      <c r="BZ10" s="28"/>
      <c r="CA10" s="28" t="n">
        <v>29</v>
      </c>
      <c r="CB10" s="28"/>
      <c r="CC10" s="28" t="n">
        <v>30</v>
      </c>
      <c r="CD10" s="28"/>
      <c r="CE10" s="28" t="n">
        <v>31</v>
      </c>
      <c r="CF10" s="28"/>
      <c r="CG10" s="28" t="n">
        <v>32</v>
      </c>
      <c r="CH10" s="28"/>
      <c r="CI10" s="28" t="n">
        <v>33</v>
      </c>
      <c r="CJ10" s="28"/>
      <c r="CK10" s="28" t="n">
        <v>34</v>
      </c>
      <c r="CL10" s="28"/>
      <c r="CM10" s="28" t="n">
        <v>35</v>
      </c>
      <c r="CN10" s="28"/>
      <c r="CO10" s="28" t="n">
        <v>36</v>
      </c>
      <c r="CP10" s="28"/>
      <c r="CQ10" s="28" t="n">
        <v>37</v>
      </c>
      <c r="CR10" s="28"/>
      <c r="CS10" s="28" t="n">
        <v>38</v>
      </c>
      <c r="CT10" s="28"/>
      <c r="CU10" s="28" t="n">
        <v>39</v>
      </c>
      <c r="CV10" s="28"/>
      <c r="CW10" s="28" t="n">
        <v>40</v>
      </c>
      <c r="CX10" s="28"/>
      <c r="CY10" s="48" t="s">
        <v>57</v>
      </c>
      <c r="CZ10" s="49" t="s">
        <v>58</v>
      </c>
      <c r="DA10" s="50"/>
      <c r="DB10" s="50"/>
      <c r="DC10" s="50" t="s">
        <v>59</v>
      </c>
      <c r="DD10" s="50" t="s">
        <v>60</v>
      </c>
      <c r="DE10" s="50" t="s">
        <v>61</v>
      </c>
      <c r="DF10" s="50" t="s">
        <v>62</v>
      </c>
      <c r="DG10" s="50" t="s">
        <v>62</v>
      </c>
      <c r="DH10" s="50" t="s">
        <v>63</v>
      </c>
      <c r="DI10" s="50" t="s">
        <v>63</v>
      </c>
      <c r="DL10" s="51" t="s">
        <v>52</v>
      </c>
    </row>
    <row r="11" customFormat="false" ht="13.5" hidden="false" customHeight="false" outlineLevel="0" collapsed="false">
      <c r="A11" s="52" t="s">
        <v>64</v>
      </c>
      <c r="B11" s="34" t="s">
        <v>68</v>
      </c>
      <c r="C11" s="33" t="s">
        <v>66</v>
      </c>
      <c r="D11" s="33" t="s">
        <v>87</v>
      </c>
      <c r="E11" s="33" t="s">
        <v>68</v>
      </c>
      <c r="F11" s="33" t="s">
        <v>69</v>
      </c>
      <c r="G11" s="33" t="s">
        <v>70</v>
      </c>
      <c r="H11" s="33" t="s">
        <v>69</v>
      </c>
      <c r="I11" s="33" t="s">
        <v>44</v>
      </c>
      <c r="J11" s="34" t="s">
        <v>45</v>
      </c>
      <c r="K11" s="34" t="s">
        <v>46</v>
      </c>
      <c r="L11" s="24"/>
      <c r="M11" s="52" t="s">
        <v>64</v>
      </c>
      <c r="N11" s="52" t="s">
        <v>71</v>
      </c>
      <c r="O11" s="52" t="s">
        <v>72</v>
      </c>
      <c r="P11" s="33" t="s">
        <v>56</v>
      </c>
      <c r="Q11" s="33" t="s">
        <v>73</v>
      </c>
      <c r="R11" s="33" t="s">
        <v>69</v>
      </c>
      <c r="S11" s="24"/>
      <c r="T11" s="24"/>
      <c r="U11" s="35"/>
      <c r="V11" s="33" t="s">
        <v>64</v>
      </c>
      <c r="W11" s="53" t="s">
        <v>74</v>
      </c>
      <c r="X11" s="34" t="s">
        <v>69</v>
      </c>
      <c r="Y11" s="53" t="s">
        <v>74</v>
      </c>
      <c r="Z11" s="34" t="s">
        <v>69</v>
      </c>
      <c r="AA11" s="53" t="s">
        <v>74</v>
      </c>
      <c r="AB11" s="34" t="s">
        <v>69</v>
      </c>
      <c r="AC11" s="53" t="s">
        <v>74</v>
      </c>
      <c r="AD11" s="34" t="s">
        <v>69</v>
      </c>
      <c r="AE11" s="53" t="s">
        <v>74</v>
      </c>
      <c r="AF11" s="34" t="s">
        <v>69</v>
      </c>
      <c r="AG11" s="53" t="s">
        <v>74</v>
      </c>
      <c r="AH11" s="34" t="s">
        <v>69</v>
      </c>
      <c r="AI11" s="53" t="s">
        <v>74</v>
      </c>
      <c r="AJ11" s="34" t="s">
        <v>69</v>
      </c>
      <c r="AK11" s="53" t="s">
        <v>74</v>
      </c>
      <c r="AL11" s="34" t="s">
        <v>69</v>
      </c>
      <c r="AM11" s="53" t="s">
        <v>74</v>
      </c>
      <c r="AN11" s="34" t="s">
        <v>69</v>
      </c>
      <c r="AO11" s="53" t="s">
        <v>74</v>
      </c>
      <c r="AP11" s="34" t="s">
        <v>69</v>
      </c>
      <c r="AQ11" s="53" t="s">
        <v>74</v>
      </c>
      <c r="AR11" s="34" t="s">
        <v>69</v>
      </c>
      <c r="AS11" s="53" t="s">
        <v>74</v>
      </c>
      <c r="AT11" s="34" t="s">
        <v>69</v>
      </c>
      <c r="AU11" s="54" t="s">
        <v>74</v>
      </c>
      <c r="AV11" s="55" t="s">
        <v>69</v>
      </c>
      <c r="AW11" s="53" t="s">
        <v>74</v>
      </c>
      <c r="AX11" s="34" t="s">
        <v>69</v>
      </c>
      <c r="AY11" s="53" t="s">
        <v>74</v>
      </c>
      <c r="AZ11" s="34" t="s">
        <v>69</v>
      </c>
      <c r="BA11" s="53" t="s">
        <v>74</v>
      </c>
      <c r="BB11" s="34" t="s">
        <v>69</v>
      </c>
      <c r="BC11" s="53" t="s">
        <v>74</v>
      </c>
      <c r="BD11" s="34" t="s">
        <v>69</v>
      </c>
      <c r="BE11" s="53" t="s">
        <v>74</v>
      </c>
      <c r="BF11" s="34" t="s">
        <v>69</v>
      </c>
      <c r="BG11" s="53" t="s">
        <v>74</v>
      </c>
      <c r="BH11" s="34" t="s">
        <v>69</v>
      </c>
      <c r="BI11" s="53" t="s">
        <v>74</v>
      </c>
      <c r="BJ11" s="34" t="s">
        <v>69</v>
      </c>
      <c r="BK11" s="53" t="s">
        <v>74</v>
      </c>
      <c r="BL11" s="34" t="s">
        <v>69</v>
      </c>
      <c r="BM11" s="53" t="s">
        <v>74</v>
      </c>
      <c r="BN11" s="34" t="s">
        <v>69</v>
      </c>
      <c r="BO11" s="53" t="s">
        <v>74</v>
      </c>
      <c r="BP11" s="34" t="s">
        <v>69</v>
      </c>
      <c r="BQ11" s="53" t="s">
        <v>74</v>
      </c>
      <c r="BR11" s="34" t="s">
        <v>69</v>
      </c>
      <c r="BS11" s="53" t="s">
        <v>74</v>
      </c>
      <c r="BT11" s="34" t="s">
        <v>69</v>
      </c>
      <c r="BU11" s="53" t="s">
        <v>74</v>
      </c>
      <c r="BV11" s="34" t="s">
        <v>69</v>
      </c>
      <c r="BW11" s="53" t="s">
        <v>74</v>
      </c>
      <c r="BX11" s="34" t="s">
        <v>69</v>
      </c>
      <c r="BY11" s="53" t="s">
        <v>74</v>
      </c>
      <c r="BZ11" s="34" t="s">
        <v>69</v>
      </c>
      <c r="CA11" s="53" t="s">
        <v>74</v>
      </c>
      <c r="CB11" s="34" t="s">
        <v>69</v>
      </c>
      <c r="CC11" s="53" t="s">
        <v>74</v>
      </c>
      <c r="CD11" s="34" t="s">
        <v>69</v>
      </c>
      <c r="CE11" s="53" t="s">
        <v>74</v>
      </c>
      <c r="CF11" s="34" t="s">
        <v>69</v>
      </c>
      <c r="CG11" s="53" t="s">
        <v>74</v>
      </c>
      <c r="CH11" s="34" t="s">
        <v>69</v>
      </c>
      <c r="CI11" s="53" t="s">
        <v>74</v>
      </c>
      <c r="CJ11" s="34" t="s">
        <v>69</v>
      </c>
      <c r="CK11" s="53" t="s">
        <v>74</v>
      </c>
      <c r="CL11" s="34" t="s">
        <v>69</v>
      </c>
      <c r="CM11" s="53" t="s">
        <v>74</v>
      </c>
      <c r="CN11" s="34" t="s">
        <v>69</v>
      </c>
      <c r="CO11" s="53" t="s">
        <v>74</v>
      </c>
      <c r="CP11" s="34" t="s">
        <v>69</v>
      </c>
      <c r="CQ11" s="53" t="s">
        <v>74</v>
      </c>
      <c r="CR11" s="34" t="s">
        <v>69</v>
      </c>
      <c r="CS11" s="53" t="s">
        <v>74</v>
      </c>
      <c r="CT11" s="34" t="s">
        <v>69</v>
      </c>
      <c r="CU11" s="53" t="s">
        <v>74</v>
      </c>
      <c r="CV11" s="34" t="s">
        <v>69</v>
      </c>
      <c r="CW11" s="53" t="s">
        <v>74</v>
      </c>
      <c r="CX11" s="34" t="s">
        <v>69</v>
      </c>
      <c r="CY11" s="56" t="s">
        <v>74</v>
      </c>
      <c r="CZ11" s="57" t="s">
        <v>69</v>
      </c>
      <c r="DA11" s="50"/>
      <c r="DB11" s="50"/>
      <c r="DC11" s="50" t="s">
        <v>75</v>
      </c>
      <c r="DD11" s="50" t="s">
        <v>76</v>
      </c>
      <c r="DE11" s="50"/>
      <c r="DF11" s="50" t="n">
        <v>1</v>
      </c>
      <c r="DG11" s="50" t="n">
        <v>2</v>
      </c>
      <c r="DH11" s="50" t="n">
        <v>1</v>
      </c>
      <c r="DI11" s="50" t="n">
        <v>2</v>
      </c>
      <c r="DL11" s="51" t="s">
        <v>77</v>
      </c>
      <c r="DN11" s="51" t="s">
        <v>78</v>
      </c>
    </row>
    <row r="12" customFormat="false" ht="18.75" hidden="false" customHeight="false" outlineLevel="0" collapsed="false">
      <c r="A12" s="58" t="n">
        <f aca="false">'NYISO A'!A12</f>
        <v>37135</v>
      </c>
      <c r="B12" s="59" t="n">
        <f aca="false">+[3]NYZoneG!$L3/16</f>
        <v>0</v>
      </c>
      <c r="C12" s="60" t="n">
        <f aca="false">CY12</f>
        <v>0</v>
      </c>
      <c r="D12" s="61" t="n">
        <f aca="false">($AP$69+IF(MONTH(A12)=MONTH(EOMONTH(TradeDate,1)),$AP$70,0))*VLOOKUP(A12,$DK$12:$DN$43,4)</f>
        <v>0</v>
      </c>
      <c r="E12" s="62" t="n">
        <f aca="false">B12+C12+D12</f>
        <v>0</v>
      </c>
      <c r="F12" s="63" t="n">
        <f aca="false">[3]NYZoneG!$C3</f>
        <v>38</v>
      </c>
      <c r="G12" s="63" t="n">
        <f aca="false">IF($Q$9,Q12,P12)</f>
        <v>-2.29</v>
      </c>
      <c r="H12" s="64" t="n">
        <f aca="false">F12+G12</f>
        <v>35.71</v>
      </c>
      <c r="I12" s="65" t="n">
        <f aca="false">B12*G12*DD12</f>
        <v>-0</v>
      </c>
      <c r="J12" s="66" t="n">
        <f aca="false">DH12+DI12</f>
        <v>0</v>
      </c>
      <c r="K12" s="66" t="n">
        <f aca="false">I12+J12</f>
        <v>0</v>
      </c>
      <c r="L12" s="24"/>
      <c r="M12" s="67" t="n">
        <f aca="false">A12</f>
        <v>37135</v>
      </c>
      <c r="N12" s="92" t="n">
        <v>35.71</v>
      </c>
      <c r="O12" s="92" t="n">
        <v>35.71</v>
      </c>
      <c r="P12" s="69" t="n">
        <f aca="false">AVERAGE(N12:O12)-F12</f>
        <v>-2.29</v>
      </c>
      <c r="Q12" s="70"/>
      <c r="R12" s="71" t="n">
        <f aca="false">H12</f>
        <v>35.71</v>
      </c>
      <c r="S12" s="24"/>
      <c r="T12" s="24"/>
      <c r="U12" s="72"/>
      <c r="V12" s="73" t="n">
        <f aca="false">A12</f>
        <v>37135</v>
      </c>
      <c r="W12" s="79"/>
      <c r="X12" s="261"/>
      <c r="Y12" s="79"/>
      <c r="Z12" s="261"/>
      <c r="AA12" s="79"/>
      <c r="AB12" s="261"/>
      <c r="AC12" s="77"/>
      <c r="AD12" s="78"/>
      <c r="AE12" s="77"/>
      <c r="AF12" s="78"/>
      <c r="AG12" s="262"/>
      <c r="AH12" s="263"/>
      <c r="AI12" s="74"/>
      <c r="AJ12" s="75"/>
      <c r="AK12" s="74"/>
      <c r="AL12" s="75"/>
      <c r="AM12" s="74"/>
      <c r="AN12" s="75"/>
      <c r="AO12" s="74"/>
      <c r="AP12" s="78"/>
      <c r="AQ12" s="77"/>
      <c r="AR12" s="78"/>
      <c r="AS12" s="77"/>
      <c r="AT12" s="160"/>
      <c r="AU12" s="139"/>
      <c r="AV12" s="140"/>
      <c r="AW12" s="96"/>
      <c r="AX12" s="75"/>
      <c r="AY12" s="81"/>
      <c r="AZ12" s="75"/>
      <c r="BA12" s="81"/>
      <c r="BB12" s="75"/>
      <c r="BC12" s="81"/>
      <c r="BD12" s="75"/>
      <c r="BE12" s="81"/>
      <c r="BF12" s="75"/>
      <c r="BG12" s="81"/>
      <c r="BH12" s="75"/>
      <c r="BI12" s="81"/>
      <c r="BJ12" s="75"/>
      <c r="BK12" s="81"/>
      <c r="BL12" s="75"/>
      <c r="BM12" s="81"/>
      <c r="BN12" s="75"/>
      <c r="BO12" s="81"/>
      <c r="BP12" s="75"/>
      <c r="BQ12" s="81"/>
      <c r="BR12" s="75"/>
      <c r="BS12" s="81"/>
      <c r="BT12" s="75"/>
      <c r="BU12" s="81"/>
      <c r="BV12" s="75"/>
      <c r="BW12" s="81"/>
      <c r="BX12" s="75"/>
      <c r="BY12" s="81"/>
      <c r="BZ12" s="75"/>
      <c r="CA12" s="81"/>
      <c r="CB12" s="75"/>
      <c r="CC12" s="81"/>
      <c r="CD12" s="75"/>
      <c r="CE12" s="81"/>
      <c r="CF12" s="75"/>
      <c r="CG12" s="81"/>
      <c r="CH12" s="75"/>
      <c r="CI12" s="81"/>
      <c r="CJ12" s="75"/>
      <c r="CK12" s="81"/>
      <c r="CL12" s="75"/>
      <c r="CM12" s="81"/>
      <c r="CN12" s="75"/>
      <c r="CO12" s="81"/>
      <c r="CP12" s="75"/>
      <c r="CQ12" s="81"/>
      <c r="CR12" s="75"/>
      <c r="CS12" s="81"/>
      <c r="CT12" s="75"/>
      <c r="CU12" s="81"/>
      <c r="CV12" s="75"/>
      <c r="CW12" s="81"/>
      <c r="CX12" s="75"/>
      <c r="CY12" s="82" t="n">
        <f aca="false">W12+Y12+AA12+AC12+AE12+AG12+AI12+AK12+AM12+AO12+AQ12+AS12+AU12+AW12+AY12+BA12+BC12+BE12+BG12+BI12+BK12+BM12+BO12+BQ12+BS12+BU12+BW12+BY12+CA12+CC12+CE12+CG12+CI12+CK12+CM12+CO12+CQ12+CS12+CU12+CW12</f>
        <v>0</v>
      </c>
      <c r="CZ12" s="83" t="n">
        <f aca="false">IF(AND(CY12=0,DC12=0),0,(DF12+DG12)/DC12)</f>
        <v>0</v>
      </c>
      <c r="DA12" s="84" t="n">
        <f aca="false">DC12*DD12</f>
        <v>0</v>
      </c>
      <c r="DB12" s="85" t="n">
        <f aca="false">V12</f>
        <v>37135</v>
      </c>
      <c r="DC12" s="84" t="n">
        <f aca="false">ABS(W12)+ABS(Y12)+ABS(AA12)+ABS(AC12)+ABS(AE12)+ABS(AG12)+ABS(AI12)+ABS(AK12)+ABS(AM12)+ABS(AO12)+ABS(AQ12)+ABS(AS12)+ABS(AU12)+ABS(AW12)+ABS(AY12)+ABS(BA12)+ABS(BC12)+ABS(BE12)+ABS(BG12)+ABS(BI12)+ABS(BK12)+ABS(BM12)+ABS(BO12)+ABS(BQ12)+ABS(BS12)+ABS(BU12)+ABS(BW12)+ABS(BY12)+ABS(CA12)+ABS(CC12)+ABS(CE12)+ABS(CG12)+ABS(CI12)+ABS(CK12)+ABS(CM12)+ABS(CO12)+ABS(CQ12)+ABS(CS12)+ABS(CU12)+ABS(CW12)</f>
        <v>0</v>
      </c>
      <c r="DD12" s="86" t="n">
        <v>16</v>
      </c>
      <c r="DE12" s="84" t="n">
        <v>1</v>
      </c>
      <c r="DF12" s="43" t="n">
        <f aca="false">(ABS(W12)*X12+ABS(Y12)*Z12+ABS(AA12)*AB12+ABS(AC12)*AD12+ABS(AE12)*AF12+ABS(AG12)*AH12+ABS(AI12)*AJ12+ABS(AK12)*AL12+ABS(AM12)*AN12+ABS(AO12)*AP12+ABS(AQ12)*AR12+ABS(AS12)*AT12+ABS(AU12)*AV12+ABS(AW12)*AX12+ABS(AY12)*AZ12+ABS(BA12)*BB12+ABS(BC12)*BD12+ABS(BE12)*BF12+ABS(BG12)*BH12+ABS(BI12)*BJ12)</f>
        <v>0</v>
      </c>
      <c r="DG12" s="43" t="n">
        <f aca="false">ABS(BK12)*BL12+ABS(BM12)*BN12+ABS(BO12)*BP12+ABS(BQ12)*BR12+ABS(BS12)*BT12+ABS(BU12)*BV12+ABS(BW12)*BX12+ABS(BY12)*BZ12+ABS(CA12)*CB12+ABS(CC12)*CD12+ABS(CE12)*CF12+ABS(CG12)*CH12+ABS(CI12)*CJ12+ABS(CK12)*CL12+ABS(CM12)*CN12+ABS(CO12)*CP12+ABS(CQ12)*CR12+ABS(CS12)*CT12+ABS(CU12)*CV12+ABS(CW12)*CX12</f>
        <v>0</v>
      </c>
      <c r="DH12" s="43" t="n">
        <f aca="false">((H12-X12)*W12+(H12-Z12)*Y12+(H12-AB12)*AA12+(H12-AD12)*AC12+(H12-AF12)*AE12+(H12-AH12)*AG12+(H12-AJ12)*AI12+(H12-AL12)*AK12+(H12-AN12)*AM12+(H12-AP12)*AO12+(H12-AR12)*AQ12+(H12-AT12)*AS12+(H12-AV12)*AU12+(H12-AX12)*AW12+(H12-AZ12)*AY12+(H12-BB12)*BA12+(H12-BD12)*BC12+(H12-BF12)*BE12+(H12-BH12)*BG12+(H12-BJ12)*BI12)*DD12*DE12</f>
        <v>0</v>
      </c>
      <c r="DI12" s="43" t="n">
        <f aca="false">(((H12-BL12)*BK12+(H12-BN12)*BM12+(H12-BP12)*BO12+(H12-BR12)*BQ12+(H12-BT12)*BS12+(H12-BV12)*BU12+(H12-BX12)*BW12+(H12-BZ12)*BY12+(H12-CB12)*CA12+(H12-CD12)*CC12+(H12-CF12)*CE12+(H12-CH12)*CG12+(H12-CJ12)*CH12+(H12-CL12)*CK12+(H12-CN12)*CM12+(H12-CP12)*CO12+(H12-CR12)*CQ12+(H12-CT12)*CS12+(H12-CV12)*CU12+(H12-CX12)*CW12)*DD12*DE12)</f>
        <v>0</v>
      </c>
      <c r="DK12" s="85" t="n">
        <v>37135</v>
      </c>
      <c r="DL12" s="21" t="n">
        <v>0</v>
      </c>
      <c r="DN12" s="21" t="n">
        <f aca="false">IF(AND(WEEKDAY(DK12)&gt;1,WEEKDAY(DK12)&lt;7),1,0)</f>
        <v>0</v>
      </c>
    </row>
    <row r="13" customFormat="false" ht="18.75" hidden="false" customHeight="false" outlineLevel="0" collapsed="false">
      <c r="A13" s="58" t="n">
        <f aca="false">'NYISO A'!A13</f>
        <v>37136</v>
      </c>
      <c r="B13" s="59" t="n">
        <f aca="false">+[3]NYZoneG!$L4/16</f>
        <v>0</v>
      </c>
      <c r="C13" s="60" t="n">
        <f aca="false">CY13</f>
        <v>0</v>
      </c>
      <c r="D13" s="87" t="n">
        <f aca="false">(IF(MONTH(A13)=MONTH(EOMONTH(TradeDate,1)),$AP$70,0)*VLOOKUP(A13,$DK$12:$DN$43,4))</f>
        <v>0</v>
      </c>
      <c r="E13" s="62" t="n">
        <f aca="false">B13+C13+D13</f>
        <v>0</v>
      </c>
      <c r="F13" s="63" t="n">
        <f aca="false">[3]NYZoneG!$C4</f>
        <v>38</v>
      </c>
      <c r="G13" s="88" t="n">
        <f aca="false">IF($Q$9,Q13,P13)</f>
        <v>0</v>
      </c>
      <c r="H13" s="89" t="n">
        <f aca="false">F13+G13</f>
        <v>38</v>
      </c>
      <c r="I13" s="87" t="n">
        <f aca="false">B13*G13*DD13</f>
        <v>0</v>
      </c>
      <c r="J13" s="66" t="n">
        <f aca="false">DH13+DI13</f>
        <v>0</v>
      </c>
      <c r="K13" s="90" t="n">
        <f aca="false">I13+J13</f>
        <v>0</v>
      </c>
      <c r="L13" s="42"/>
      <c r="M13" s="67" t="n">
        <f aca="false">A13</f>
        <v>37136</v>
      </c>
      <c r="N13" s="92" t="n">
        <v>38</v>
      </c>
      <c r="O13" s="92" t="n">
        <v>38</v>
      </c>
      <c r="P13" s="69" t="n">
        <f aca="false">AVERAGE(N13:O13)-F13</f>
        <v>0</v>
      </c>
      <c r="Q13" s="70"/>
      <c r="R13" s="91" t="n">
        <f aca="false">H13</f>
        <v>38</v>
      </c>
      <c r="S13" s="24"/>
      <c r="T13" s="24"/>
      <c r="U13" s="72"/>
      <c r="V13" s="73" t="n">
        <f aca="false">A13</f>
        <v>37136</v>
      </c>
      <c r="W13" s="79"/>
      <c r="X13" s="261"/>
      <c r="Y13" s="77"/>
      <c r="Z13" s="78"/>
      <c r="AA13" s="79"/>
      <c r="AB13" s="261"/>
      <c r="AC13" s="77"/>
      <c r="AD13" s="78"/>
      <c r="AE13" s="77"/>
      <c r="AF13" s="78"/>
      <c r="AG13" s="74"/>
      <c r="AH13" s="75"/>
      <c r="AI13" s="74"/>
      <c r="AJ13" s="76"/>
      <c r="AK13" s="77"/>
      <c r="AL13" s="78"/>
      <c r="AM13" s="74"/>
      <c r="AN13" s="76"/>
      <c r="AO13" s="74"/>
      <c r="AP13" s="97"/>
      <c r="AQ13" s="74"/>
      <c r="AR13" s="75"/>
      <c r="AS13" s="77"/>
      <c r="AT13" s="160"/>
      <c r="AU13" s="74"/>
      <c r="AV13" s="75"/>
      <c r="AW13" s="96"/>
      <c r="AX13" s="75"/>
      <c r="AY13" s="81"/>
      <c r="AZ13" s="75"/>
      <c r="BA13" s="77"/>
      <c r="BB13" s="78"/>
      <c r="BC13" s="77"/>
      <c r="BD13" s="78"/>
      <c r="BE13" s="77"/>
      <c r="BF13" s="78"/>
      <c r="BG13" s="81"/>
      <c r="BH13" s="75"/>
      <c r="BI13" s="81"/>
      <c r="BJ13" s="75"/>
      <c r="BK13" s="81"/>
      <c r="BL13" s="75"/>
      <c r="BM13" s="81"/>
      <c r="BN13" s="75"/>
      <c r="BO13" s="81"/>
      <c r="BP13" s="75"/>
      <c r="BQ13" s="81"/>
      <c r="BR13" s="75"/>
      <c r="BS13" s="81"/>
      <c r="BT13" s="75"/>
      <c r="BU13" s="81"/>
      <c r="BV13" s="75"/>
      <c r="BW13" s="81"/>
      <c r="BX13" s="75"/>
      <c r="BY13" s="81"/>
      <c r="BZ13" s="75"/>
      <c r="CA13" s="81"/>
      <c r="CB13" s="75"/>
      <c r="CC13" s="81"/>
      <c r="CD13" s="75"/>
      <c r="CE13" s="81"/>
      <c r="CF13" s="75"/>
      <c r="CG13" s="81"/>
      <c r="CH13" s="75"/>
      <c r="CI13" s="81"/>
      <c r="CJ13" s="75"/>
      <c r="CK13" s="81"/>
      <c r="CL13" s="75"/>
      <c r="CM13" s="81"/>
      <c r="CN13" s="75"/>
      <c r="CO13" s="81"/>
      <c r="CP13" s="75"/>
      <c r="CQ13" s="81"/>
      <c r="CR13" s="75"/>
      <c r="CS13" s="81"/>
      <c r="CT13" s="75"/>
      <c r="CU13" s="81"/>
      <c r="CV13" s="75"/>
      <c r="CW13" s="81"/>
      <c r="CX13" s="75"/>
      <c r="CY13" s="82" t="n">
        <f aca="false">W13+Y13+AA13+AC13+AE13+AG13+AI13+AK13+AM13+AO13+AQ13+AS13+AU13+AW13+AY13+BA13+BC13+BE13+BG13+BI13+BK13+BM13+BO13+BQ13+BS13+BU13+BW13+BY13+CA13+CC13+CE13+CG13+CI13+CK13+CM13+CO13+CQ13+CS13+CU13+CW13</f>
        <v>0</v>
      </c>
      <c r="CZ13" s="83" t="n">
        <f aca="false">IF(AND(CY13=0,DC13=0),0,(DF13+DG13)/DC13)</f>
        <v>0</v>
      </c>
      <c r="DA13" s="84" t="n">
        <f aca="false">DC13*DD13</f>
        <v>0</v>
      </c>
      <c r="DB13" s="85" t="n">
        <f aca="false">V13</f>
        <v>37136</v>
      </c>
      <c r="DC13" s="84" t="n">
        <f aca="false">ABS(W13)+ABS(Y13)+ABS(AA13)+ABS(AC13)+ABS(AE13)+ABS(AG13)+ABS(AI13)+ABS(AK13)+ABS(AM13)+ABS(AO13)+ABS(AQ13)+ABS(AS13)+ABS(AU13)+ABS(AW13)+ABS(AY13)+ABS(BA13)+ABS(BC13)+ABS(BE13)+ABS(BG13)+ABS(BI13)+ABS(BK13)+ABS(BM13)+ABS(BO13)+ABS(BQ13)+ABS(BS13)+ABS(BU13)+ABS(BW13)+ABS(BY13)+ABS(CA13)+ABS(CC13)+ABS(CE13)+ABS(CG13)+ABS(CI13)+ABS(CK13)+ABS(CM13)+ABS(CO13)+ABS(CQ13)+ABS(CS13)+ABS(CU13)+ABS(CW13)</f>
        <v>0</v>
      </c>
      <c r="DD13" s="86" t="n">
        <v>16</v>
      </c>
      <c r="DE13" s="84" t="n">
        <v>1</v>
      </c>
      <c r="DF13" s="43" t="n">
        <f aca="false">(ABS(W13)*X13+ABS(Y13)*Z13+ABS(AA13)*AB13+ABS(AC13)*AD13+ABS(AE13)*AF13+ABS(AG13)*AH13+ABS(AI13)*AJ13+ABS(AK13)*AL13+ABS(AM13)*AN13+ABS(AO13)*AP13+ABS(AQ13)*AR13+ABS(AS13)*AT13+ABS(AU13)*AV13+ABS(AW13)*AX13+ABS(AY13)*AZ13+ABS(BA13)*BB13+ABS(BC13)*BD13+ABS(BE13)*BF13+ABS(BG13)*BH13+ABS(BI13)*BJ13)</f>
        <v>0</v>
      </c>
      <c r="DG13" s="43" t="n">
        <f aca="false">ABS(BK13)*BL13+ABS(BM13)*BN13+ABS(BO13)*BP13+ABS(BQ13)*BR13+ABS(BS13)*BT13+ABS(BU13)*BV13+ABS(BW13)*BX13+ABS(BY13)*BZ13+ABS(CA13)*CB13+ABS(CC13)*CD13+ABS(CE13)*CF13+ABS(CG13)*CH13+ABS(CI13)*CJ13+ABS(CK13)*CL13+ABS(CM13)*CN13+ABS(CO13)*CP13+ABS(CQ13)*CR13+ABS(CS13)*CT13+ABS(CU13)*CV13+ABS(CW13)*CX13</f>
        <v>0</v>
      </c>
      <c r="DH13" s="43" t="n">
        <f aca="false">((H13-X13)*W13+(H13-Z13)*Y13+(H13-AB13)*AA13+(H13-AD13)*AC13+(H13-AF13)*AE13+(H13-AH13)*AG13+(H13-AJ13)*AI13+(H13-AL13)*AK13+(H13-AN13)*AM13+(H13-AP13)*AO13+(H13-AR13)*AQ13+(H13-AT13)*AS13+(H13-AV13)*AU13+(H13-AX13)*AW13+(H13-AZ13)*AY13+(H13-BB13)*BA13+(H13-BD13)*BC13+(H13-BF13)*BE13+(H13-BH13)*BG13+(H13-BJ13)*BI13)*DD13*DE13</f>
        <v>0</v>
      </c>
      <c r="DI13" s="43" t="n">
        <f aca="false">(((H13-BL13)*BK13+(H13-BN13)*BM13+(H13-BP13)*BO13+(H13-BR13)*BQ13+(H13-BT13)*BS13+(H13-BV13)*BU13+(H13-BX13)*BW13+(H13-BZ13)*BY13+(H13-CB13)*CA13+(H13-CD13)*CC13+(H13-CF13)*CE13+(H13-CH13)*CG13+(H13-CJ13)*CH13+(H13-CL13)*CK13+(H13-CN13)*CM13+(H13-CP13)*CO13+(H13-CR13)*CQ13+(H13-CT13)*CS13+(H13-CV13)*CU13+(H13-CX13)*CW13)*DD13*DE13)</f>
        <v>0</v>
      </c>
      <c r="DK13" s="85" t="n">
        <v>37136</v>
      </c>
      <c r="DL13" s="21" t="n">
        <v>0</v>
      </c>
      <c r="DN13" s="21" t="n">
        <f aca="false">IF(AND(WEEKDAY(DK13)&gt;1,WEEKDAY(DK13)&lt;7),1,0)</f>
        <v>0</v>
      </c>
    </row>
    <row r="14" customFormat="false" ht="18.75" hidden="false" customHeight="false" outlineLevel="0" collapsed="false">
      <c r="A14" s="58" t="n">
        <f aca="false">'NYISO A'!A14</f>
        <v>37137</v>
      </c>
      <c r="B14" s="59" t="n">
        <f aca="false">+[3]NYZoneG!$L5/16</f>
        <v>0</v>
      </c>
      <c r="C14" s="60" t="n">
        <f aca="false">CY14</f>
        <v>0</v>
      </c>
      <c r="D14" s="61" t="n">
        <f aca="false">(IF(MONTH(A14)=MONTH(EOMONTH(TradeDate,1)),$AP$70,0)*VLOOKUP(A14,$DK$12:$DN$43,4))</f>
        <v>0</v>
      </c>
      <c r="E14" s="62" t="n">
        <f aca="false">B14+C14+D14</f>
        <v>0</v>
      </c>
      <c r="F14" s="63" t="n">
        <f aca="false">[3]NYZoneG!$C5</f>
        <v>38</v>
      </c>
      <c r="G14" s="63" t="n">
        <f aca="false">IF($Q$9,Q14,P14)</f>
        <v>6</v>
      </c>
      <c r="H14" s="64" t="n">
        <f aca="false">F14+G14</f>
        <v>44</v>
      </c>
      <c r="I14" s="65" t="n">
        <f aca="false">B14*G14*DD14</f>
        <v>0</v>
      </c>
      <c r="J14" s="66" t="n">
        <f aca="false">DH14+DI14</f>
        <v>0</v>
      </c>
      <c r="K14" s="66" t="n">
        <f aca="false">I14+J14</f>
        <v>0</v>
      </c>
      <c r="L14" s="264" t="n">
        <f aca="false">+AVERAGE(N14:O18)</f>
        <v>46.1</v>
      </c>
      <c r="M14" s="67" t="n">
        <f aca="false">A14</f>
        <v>37137</v>
      </c>
      <c r="N14" s="92" t="n">
        <v>44</v>
      </c>
      <c r="O14" s="92" t="n">
        <v>44</v>
      </c>
      <c r="P14" s="69" t="n">
        <f aca="false">AVERAGE(N14:O14)-F14</f>
        <v>6</v>
      </c>
      <c r="Q14" s="70"/>
      <c r="R14" s="91" t="n">
        <f aca="false">H14</f>
        <v>44</v>
      </c>
      <c r="S14" s="24"/>
      <c r="T14" s="24"/>
      <c r="U14" s="72"/>
      <c r="V14" s="73" t="n">
        <f aca="false">A14</f>
        <v>37137</v>
      </c>
      <c r="W14" s="79"/>
      <c r="X14" s="261"/>
      <c r="Y14" s="77"/>
      <c r="Z14" s="78"/>
      <c r="AA14" s="79"/>
      <c r="AB14" s="261"/>
      <c r="AC14" s="77"/>
      <c r="AD14" s="76"/>
      <c r="AE14" s="77"/>
      <c r="AF14" s="78"/>
      <c r="AG14" s="74"/>
      <c r="AH14" s="75"/>
      <c r="AI14" s="74"/>
      <c r="AJ14" s="76"/>
      <c r="AK14" s="77"/>
      <c r="AL14" s="78"/>
      <c r="AM14" s="74"/>
      <c r="AN14" s="76"/>
      <c r="AO14" s="74"/>
      <c r="AP14" s="97"/>
      <c r="AQ14" s="74"/>
      <c r="AR14" s="76"/>
      <c r="AS14" s="77"/>
      <c r="AT14" s="160"/>
      <c r="AU14" s="74"/>
      <c r="AV14" s="76"/>
      <c r="AW14" s="96"/>
      <c r="AX14" s="75"/>
      <c r="AY14" s="81"/>
      <c r="AZ14" s="75"/>
      <c r="BA14" s="77"/>
      <c r="BB14" s="78"/>
      <c r="BC14" s="77"/>
      <c r="BD14" s="78"/>
      <c r="BE14" s="77"/>
      <c r="BF14" s="78"/>
      <c r="BG14" s="81"/>
      <c r="BH14" s="75"/>
      <c r="BI14" s="81"/>
      <c r="BJ14" s="75"/>
      <c r="BK14" s="81"/>
      <c r="BL14" s="75"/>
      <c r="BM14" s="81"/>
      <c r="BN14" s="75"/>
      <c r="BO14" s="81"/>
      <c r="BP14" s="75"/>
      <c r="BQ14" s="81"/>
      <c r="BR14" s="75"/>
      <c r="BS14" s="81"/>
      <c r="BT14" s="75"/>
      <c r="BU14" s="81"/>
      <c r="BV14" s="75"/>
      <c r="BW14" s="81"/>
      <c r="BX14" s="75"/>
      <c r="BY14" s="81"/>
      <c r="BZ14" s="75"/>
      <c r="CA14" s="81"/>
      <c r="CB14" s="75"/>
      <c r="CC14" s="81"/>
      <c r="CD14" s="75"/>
      <c r="CE14" s="81"/>
      <c r="CF14" s="75"/>
      <c r="CG14" s="81"/>
      <c r="CH14" s="75"/>
      <c r="CI14" s="81"/>
      <c r="CJ14" s="75"/>
      <c r="CK14" s="81"/>
      <c r="CL14" s="75"/>
      <c r="CM14" s="81"/>
      <c r="CN14" s="75"/>
      <c r="CO14" s="81"/>
      <c r="CP14" s="75"/>
      <c r="CQ14" s="81"/>
      <c r="CR14" s="75"/>
      <c r="CS14" s="81"/>
      <c r="CT14" s="75"/>
      <c r="CU14" s="81"/>
      <c r="CV14" s="75"/>
      <c r="CW14" s="81"/>
      <c r="CX14" s="75"/>
      <c r="CY14" s="82" t="n">
        <f aca="false">W14+Y14+AA14+AC14+AE14+AG14+AI14+AK14+AM14+AO14+AQ14+AS14+AU14+AW14+AY14+BA14+BC14+BE14+BG14+BI14+BK14+BM14+BO14+BQ14+BS14+BU14+BW14+BY14+CA14+CC14+CE14+CG14+CI14+CK14+CM14+CO14+CQ14+CS14+CU14+CW14</f>
        <v>0</v>
      </c>
      <c r="CZ14" s="83" t="n">
        <f aca="false">IF(AND(CY14=0,DC14=0),0,(DF14+DG14)/DC14)</f>
        <v>0</v>
      </c>
      <c r="DA14" s="84" t="n">
        <f aca="false">DC14*DD14</f>
        <v>0</v>
      </c>
      <c r="DB14" s="85" t="n">
        <f aca="false">V14</f>
        <v>37137</v>
      </c>
      <c r="DC14" s="84" t="n">
        <f aca="false">ABS(W14)+ABS(Y14)+ABS(AA14)+ABS(AC14)+ABS(AE14)+ABS(AG14)+ABS(AI14)+ABS(AK14)+ABS(AM14)+ABS(AO14)+ABS(AQ14)+ABS(AS14)+ABS(AU14)+ABS(AW14)+ABS(AY14)+ABS(BA14)+ABS(BC14)+ABS(BE14)+ABS(BG14)+ABS(BI14)+ABS(BK14)+ABS(BM14)+ABS(BO14)+ABS(BQ14)+ABS(BS14)+ABS(BU14)+ABS(BW14)+ABS(BY14)+ABS(CA14)+ABS(CC14)+ABS(CE14)+ABS(CG14)+ABS(CI14)+ABS(CK14)+ABS(CM14)+ABS(CO14)+ABS(CQ14)+ABS(CS14)+ABS(CU14)+ABS(CW14)</f>
        <v>0</v>
      </c>
      <c r="DD14" s="86" t="n">
        <v>16</v>
      </c>
      <c r="DE14" s="84" t="n">
        <v>1</v>
      </c>
      <c r="DF14" s="43" t="n">
        <f aca="false">(ABS(W14)*X14+ABS(Y14)*Z14+ABS(AA14)*AB14+ABS(AC14)*AD14+ABS(AE14)*AF14+ABS(AG14)*AH14+ABS(AI14)*AJ14+ABS(AK14)*AL14+ABS(AM14)*AN14+ABS(AO14)*AP14+ABS(AQ14)*AR14+ABS(AS14)*AT14+ABS(AU14)*AV14+ABS(AW14)*AX14+ABS(AY14)*AZ14+ABS(BA14)*BB14+ABS(BC14)*BD14+ABS(BE14)*BF14+ABS(BG14)*BH14+ABS(BI14)*BJ14)</f>
        <v>0</v>
      </c>
      <c r="DG14" s="43" t="n">
        <f aca="false">ABS(BK14)*BL14+ABS(BM14)*BN14+ABS(BO14)*BP14+ABS(BQ14)*BR14+ABS(BS14)*BT14+ABS(BU14)*BV14+ABS(BW14)*BX14+ABS(BY14)*BZ14+ABS(CA14)*CB14+ABS(CC14)*CD14+ABS(CE14)*CF14+ABS(CG14)*CH14+ABS(CI14)*CJ14+ABS(CK14)*CL14+ABS(CM14)*CN14+ABS(CO14)*CP14+ABS(CQ14)*CR14+ABS(CS14)*CT14+ABS(CU14)*CV14+ABS(CW14)*CX14</f>
        <v>0</v>
      </c>
      <c r="DH14" s="43" t="n">
        <f aca="false">((H14-X14)*W14+(H14-Z14)*Y14+(H14-AB14)*AA14+(H14-AD14)*AC14+(H14-AF14)*AE14+(H14-AH14)*AG14+(H14-AJ14)*AI14+(H14-AL14)*AK14+(H14-AN14)*AM14+(H14-AP14)*AO14+(H14-AR14)*AQ14+(H14-AT14)*AS14+(H14-AV14)*AU14+(H14-AX14)*AW14+(H14-AZ14)*AY14+(H14-BB14)*BA14+(H14-BD14)*BC14+(H14-BF14)*BE14+(H14-BH14)*BG14+(H14-BJ14)*BI14)*DD14*DE14</f>
        <v>0</v>
      </c>
      <c r="DI14" s="43" t="n">
        <f aca="false">(((H14-BL14)*BK14+(H14-BN14)*BM14+(H14-BP14)*BO14+(H14-BR14)*BQ14+(H14-BT14)*BS14+(H14-BV14)*BU14+(H14-BX14)*BW14+(H14-BZ14)*BY14+(H14-CB14)*CA14+(H14-CD14)*CC14+(H14-CF14)*CE14+(H14-CH14)*CG14+(H14-CJ14)*CH14+(H14-CL14)*CK14+(H14-CN14)*CM14+(H14-CP14)*CO14+(H14-CR14)*CQ14+(H14-CT14)*CS14+(H14-CV14)*CU14+(H14-CX14)*CW14)*DD14*DE14)</f>
        <v>0</v>
      </c>
      <c r="DK14" s="85" t="n">
        <v>37137</v>
      </c>
      <c r="DL14" s="21" t="n">
        <v>0</v>
      </c>
      <c r="DN14" s="21" t="n">
        <f aca="false">IF(AND(WEEKDAY(DK14)&gt;1,WEEKDAY(DK14)&lt;7),1,0)</f>
        <v>1</v>
      </c>
    </row>
    <row r="15" customFormat="false" ht="18.75" hidden="false" customHeight="false" outlineLevel="0" collapsed="false">
      <c r="A15" s="58" t="n">
        <f aca="false">'NYISO A'!A15</f>
        <v>37138</v>
      </c>
      <c r="B15" s="59" t="n">
        <f aca="false">+[3]NYZoneG!$L6/16</f>
        <v>-49.8219718933106</v>
      </c>
      <c r="C15" s="101" t="n">
        <f aca="false">CY15</f>
        <v>0</v>
      </c>
      <c r="D15" s="87" t="n">
        <f aca="false">(IF(MONTH(A15)=MONTH(EOMONTH(TradeDate,1)),$AP$70,0)*VLOOKUP(A15,$DK$12:$DN$43,4))</f>
        <v>0</v>
      </c>
      <c r="E15" s="62" t="n">
        <f aca="false">B15+C15+D15</f>
        <v>-49.8219718933106</v>
      </c>
      <c r="F15" s="63" t="n">
        <f aca="false">[3]NYZoneG!$C6</f>
        <v>45.5</v>
      </c>
      <c r="G15" s="88" t="n">
        <f aca="false">IF($Q$9,Q15,P15)</f>
        <v>4</v>
      </c>
      <c r="H15" s="89" t="n">
        <f aca="false">F15+G15</f>
        <v>49.5</v>
      </c>
      <c r="I15" s="87" t="n">
        <f aca="false">B15*G15*DD15</f>
        <v>-3188.60620117188</v>
      </c>
      <c r="J15" s="66" t="n">
        <f aca="false">DH15+DI15</f>
        <v>0</v>
      </c>
      <c r="K15" s="90" t="n">
        <f aca="false">I15+J15</f>
        <v>-3188.60620117188</v>
      </c>
      <c r="L15" s="98" t="n">
        <f aca="false">+AVERAGE(N14:O18,N21:O25,N28:O32,N35:O36)</f>
        <v>42.1470588235294</v>
      </c>
      <c r="M15" s="67" t="n">
        <f aca="false">A15</f>
        <v>37138</v>
      </c>
      <c r="N15" s="92" t="n">
        <v>49.5</v>
      </c>
      <c r="O15" s="92" t="n">
        <v>49.5</v>
      </c>
      <c r="P15" s="69" t="n">
        <f aca="false">AVERAGE(N15:O15)-F15</f>
        <v>4</v>
      </c>
      <c r="Q15" s="70"/>
      <c r="R15" s="91" t="n">
        <f aca="false">H15</f>
        <v>49.5</v>
      </c>
      <c r="S15" s="24"/>
      <c r="T15" s="24"/>
      <c r="U15" s="72"/>
      <c r="V15" s="73" t="n">
        <f aca="false">A15</f>
        <v>37138</v>
      </c>
      <c r="W15" s="77"/>
      <c r="X15" s="76"/>
      <c r="Y15" s="77"/>
      <c r="Z15" s="78"/>
      <c r="AA15" s="77"/>
      <c r="AB15" s="78"/>
      <c r="AC15" s="77"/>
      <c r="AD15" s="76"/>
      <c r="AE15" s="77"/>
      <c r="AF15" s="78"/>
      <c r="AG15" s="77"/>
      <c r="AH15" s="76"/>
      <c r="AI15" s="77"/>
      <c r="AJ15" s="78"/>
      <c r="AK15" s="77"/>
      <c r="AL15" s="76"/>
      <c r="AM15" s="77"/>
      <c r="AN15" s="76"/>
      <c r="AO15" s="77"/>
      <c r="AP15" s="78"/>
      <c r="AQ15" s="77"/>
      <c r="AR15" s="76"/>
      <c r="AS15" s="77"/>
      <c r="AT15" s="160"/>
      <c r="AU15" s="77"/>
      <c r="AV15" s="76"/>
      <c r="AW15" s="96"/>
      <c r="AX15" s="75"/>
      <c r="AY15" s="81"/>
      <c r="AZ15" s="75"/>
      <c r="BA15" s="77"/>
      <c r="BB15" s="78"/>
      <c r="BC15" s="77"/>
      <c r="BD15" s="78"/>
      <c r="BE15" s="77"/>
      <c r="BF15" s="78"/>
      <c r="BG15" s="81"/>
      <c r="BH15" s="75"/>
      <c r="BI15" s="81"/>
      <c r="BJ15" s="75"/>
      <c r="BK15" s="81"/>
      <c r="BL15" s="75"/>
      <c r="BM15" s="81"/>
      <c r="BN15" s="75"/>
      <c r="BO15" s="81"/>
      <c r="BP15" s="75"/>
      <c r="BQ15" s="81"/>
      <c r="BR15" s="75"/>
      <c r="BS15" s="81"/>
      <c r="BT15" s="75"/>
      <c r="BU15" s="81"/>
      <c r="BV15" s="75"/>
      <c r="BW15" s="81"/>
      <c r="BX15" s="75"/>
      <c r="BY15" s="81"/>
      <c r="BZ15" s="75"/>
      <c r="CA15" s="81"/>
      <c r="CB15" s="75"/>
      <c r="CC15" s="81"/>
      <c r="CD15" s="75"/>
      <c r="CE15" s="81"/>
      <c r="CF15" s="75"/>
      <c r="CG15" s="81"/>
      <c r="CH15" s="75"/>
      <c r="CI15" s="81"/>
      <c r="CJ15" s="75"/>
      <c r="CK15" s="81"/>
      <c r="CL15" s="75"/>
      <c r="CM15" s="81"/>
      <c r="CN15" s="75"/>
      <c r="CO15" s="81"/>
      <c r="CP15" s="75"/>
      <c r="CQ15" s="81"/>
      <c r="CR15" s="75"/>
      <c r="CS15" s="81"/>
      <c r="CT15" s="75"/>
      <c r="CU15" s="81"/>
      <c r="CV15" s="75"/>
      <c r="CW15" s="81"/>
      <c r="CX15" s="75"/>
      <c r="CY15" s="82" t="n">
        <f aca="false">W15+Y15+AA15+AC15+AE15+AG15+AI15+AK15+AM15+AO15+AQ15+AS15+AU15+AW15+AY15+BA15+BC15+BE15+BG15+BI15+BK15+BM15+BO15+BQ15+BS15+BU15+BW15+BY15+CA15+CC15+CE15+CG15+CI15+CK15+CM15+CO15+CQ15+CS15+CU15+CW15</f>
        <v>0</v>
      </c>
      <c r="CZ15" s="83" t="n">
        <f aca="false">IF(AND(CY15=0,DC15=0),0,(DF15+DG15)/DC15)</f>
        <v>0</v>
      </c>
      <c r="DA15" s="84" t="n">
        <f aca="false">DC15*DD15</f>
        <v>0</v>
      </c>
      <c r="DB15" s="85" t="n">
        <f aca="false">V15</f>
        <v>37138</v>
      </c>
      <c r="DC15" s="84" t="n">
        <f aca="false">ABS(W15)+ABS(Y15)+ABS(AA15)+ABS(AC15)+ABS(AE15)+ABS(AG15)+ABS(AI15)+ABS(AK15)+ABS(AM15)+ABS(AO15)+ABS(AQ15)+ABS(AS15)+ABS(AU15)+ABS(AW15)+ABS(AY15)+ABS(BA15)+ABS(BC15)+ABS(BE15)+ABS(BG15)+ABS(BI15)+ABS(BK15)+ABS(BM15)+ABS(BO15)+ABS(BQ15)+ABS(BS15)+ABS(BU15)+ABS(BW15)+ABS(BY15)+ABS(CA15)+ABS(CC15)+ABS(CE15)+ABS(CG15)+ABS(CI15)+ABS(CK15)+ABS(CM15)+ABS(CO15)+ABS(CQ15)+ABS(CS15)+ABS(CU15)+ABS(CW15)</f>
        <v>0</v>
      </c>
      <c r="DD15" s="86" t="n">
        <v>16</v>
      </c>
      <c r="DE15" s="84" t="n">
        <v>1</v>
      </c>
      <c r="DF15" s="43" t="n">
        <f aca="false">(ABS(W15)*X15+ABS(Y15)*Z15+ABS(AA15)*AB15+ABS(AC15)*AD15+ABS(AE15)*AF15+ABS(AG15)*AH15+ABS(AI15)*AJ15+ABS(AK15)*AL15+ABS(AM15)*AN15+ABS(AO15)*AP15+ABS(AQ15)*AR15+ABS(AS15)*AT15+ABS(AU15)*AV15+ABS(AW15)*AX15+ABS(AY15)*AZ15+ABS(BA15)*BB15+ABS(BC15)*BD15+ABS(BE15)*BF15+ABS(BG15)*BH15+ABS(BI15)*BJ15)</f>
        <v>0</v>
      </c>
      <c r="DG15" s="43" t="n">
        <f aca="false">ABS(BK15)*BL15+ABS(BM15)*BN15+ABS(BO15)*BP15+ABS(BQ15)*BR15+ABS(BS15)*BT15+ABS(BU15)*BV15+ABS(BW15)*BX15+ABS(BY15)*BZ15+ABS(CA15)*CB15+ABS(CC15)*CD15+ABS(CE15)*CF15+ABS(CG15)*CH15+ABS(CI15)*CJ15+ABS(CK15)*CL15+ABS(CM15)*CN15+ABS(CO15)*CP15+ABS(CQ15)*CR15+ABS(CS15)*CT15+ABS(CU15)*CV15+ABS(CW15)*CX15</f>
        <v>0</v>
      </c>
      <c r="DH15" s="43" t="n">
        <f aca="false">((H15-X15)*W15+(H15-Z15)*Y15+(H15-AB15)*AA15+(H15-AD15)*AC15+(H15-AF15)*AE15+(H15-AH15)*AG15+(H15-AJ15)*AI15+(H15-AL15)*AK15+(H15-AN15)*AM15+(H15-AP15)*AO15+(H15-AR15)*AQ15+(H15-AT15)*AS15+(H15-AV15)*AU15+(H15-AX15)*AW15+(H15-AZ15)*AY15+(H15-BB15)*BA15+(H15-BD15)*BC15+(H15-BF15)*BE15+(H15-BH15)*BG15+(H15-BJ15)*BI15)*DD15*DE15</f>
        <v>0</v>
      </c>
      <c r="DI15" s="43" t="n">
        <f aca="false">(((H15-BL15)*BK15+(H15-BN15)*BM15+(H15-BP15)*BO15+(H15-BR15)*BQ15+(H15-BT15)*BS15+(H15-BV15)*BU15+(H15-BX15)*BW15+(H15-BZ15)*BY15+(H15-CB15)*CA15+(H15-CD15)*CC15+(H15-CF15)*CE15+(H15-CH15)*CG15+(H15-CJ15)*CH15+(H15-CL15)*CK15+(H15-CN15)*CM15+(H15-CP15)*CO15+(H15-CR15)*CQ15+(H15-CT15)*CS15+(H15-CV15)*CU15+(H15-CX15)*CW15)*DD15*DE15)</f>
        <v>0</v>
      </c>
      <c r="DK15" s="85" t="n">
        <v>37138</v>
      </c>
      <c r="DL15" s="21" t="n">
        <v>-99.8219718933106</v>
      </c>
      <c r="DN15" s="21" t="n">
        <f aca="false">IF(AND(WEEKDAY(DK15)&gt;1,WEEKDAY(DK15)&lt;7),1,0)</f>
        <v>1</v>
      </c>
    </row>
    <row r="16" customFormat="false" ht="18.75" hidden="false" customHeight="false" outlineLevel="0" collapsed="false">
      <c r="A16" s="58" t="n">
        <f aca="false">'NYISO A'!A16</f>
        <v>37139</v>
      </c>
      <c r="B16" s="59" t="n">
        <f aca="false">+[3]NYZoneG!$L7/16</f>
        <v>-49.8219718933106</v>
      </c>
      <c r="C16" s="60" t="n">
        <f aca="false">CY16</f>
        <v>0</v>
      </c>
      <c r="D16" s="61" t="n">
        <f aca="false">(IF(MONTH(A16)=MONTH(EOMONTH(TradeDate,1)),$AP$70,0)*VLOOKUP(A16,$DK$12:$DN$43,4))</f>
        <v>0</v>
      </c>
      <c r="E16" s="62" t="n">
        <f aca="false">B16+C16+D16</f>
        <v>-49.8219718933106</v>
      </c>
      <c r="F16" s="63" t="n">
        <f aca="false">[3]NYZoneG!$C7</f>
        <v>45.5</v>
      </c>
      <c r="G16" s="63" t="n">
        <f aca="false">IF($Q$9,Q16,P16)</f>
        <v>4</v>
      </c>
      <c r="H16" s="64" t="n">
        <f aca="false">F16+G16</f>
        <v>49.5</v>
      </c>
      <c r="I16" s="65" t="n">
        <f aca="false">B16*G16*DD16</f>
        <v>-3188.60620117188</v>
      </c>
      <c r="J16" s="66" t="n">
        <f aca="false">DH16+DI16</f>
        <v>0</v>
      </c>
      <c r="K16" s="66" t="n">
        <f aca="false">I16+J16</f>
        <v>-3188.60620117188</v>
      </c>
      <c r="L16" s="98"/>
      <c r="M16" s="67" t="n">
        <f aca="false">A16</f>
        <v>37139</v>
      </c>
      <c r="N16" s="92" t="n">
        <v>49.5</v>
      </c>
      <c r="O16" s="92" t="n">
        <v>49.5</v>
      </c>
      <c r="P16" s="69" t="n">
        <f aca="false">AVERAGE(N16:O16)-F16</f>
        <v>4</v>
      </c>
      <c r="Q16" s="70"/>
      <c r="R16" s="91" t="n">
        <f aca="false">H16</f>
        <v>49.5</v>
      </c>
      <c r="S16" s="24"/>
      <c r="T16" s="24"/>
      <c r="U16" s="72"/>
      <c r="V16" s="73" t="n">
        <f aca="false">A16</f>
        <v>37139</v>
      </c>
      <c r="W16" s="77"/>
      <c r="X16" s="76"/>
      <c r="Y16" s="77"/>
      <c r="Z16" s="78"/>
      <c r="AA16" s="77"/>
      <c r="AB16" s="78"/>
      <c r="AC16" s="77"/>
      <c r="AD16" s="76"/>
      <c r="AE16" s="77"/>
      <c r="AF16" s="78"/>
      <c r="AG16" s="77"/>
      <c r="AH16" s="76"/>
      <c r="AI16" s="74"/>
      <c r="AJ16" s="76"/>
      <c r="AK16" s="77"/>
      <c r="AL16" s="76"/>
      <c r="AM16" s="77"/>
      <c r="AN16" s="76"/>
      <c r="AO16" s="77"/>
      <c r="AP16" s="78"/>
      <c r="AQ16" s="77"/>
      <c r="AR16" s="76"/>
      <c r="AS16" s="77"/>
      <c r="AT16" s="78"/>
      <c r="AU16" s="77"/>
      <c r="AV16" s="76"/>
      <c r="AW16" s="96"/>
      <c r="AX16" s="75"/>
      <c r="AY16" s="81"/>
      <c r="AZ16" s="75"/>
      <c r="BA16" s="77"/>
      <c r="BB16" s="78"/>
      <c r="BC16" s="77"/>
      <c r="BD16" s="78"/>
      <c r="BE16" s="77"/>
      <c r="BF16" s="78"/>
      <c r="BG16" s="81"/>
      <c r="BH16" s="75"/>
      <c r="BI16" s="81"/>
      <c r="BJ16" s="75"/>
      <c r="BK16" s="81"/>
      <c r="BL16" s="75"/>
      <c r="BM16" s="81"/>
      <c r="BN16" s="75"/>
      <c r="BO16" s="81"/>
      <c r="BP16" s="75"/>
      <c r="BQ16" s="81"/>
      <c r="BR16" s="75"/>
      <c r="BS16" s="81"/>
      <c r="BT16" s="75"/>
      <c r="BU16" s="81"/>
      <c r="BV16" s="75"/>
      <c r="BW16" s="81"/>
      <c r="BX16" s="75"/>
      <c r="BY16" s="81"/>
      <c r="BZ16" s="75"/>
      <c r="CA16" s="81"/>
      <c r="CB16" s="75"/>
      <c r="CC16" s="81"/>
      <c r="CD16" s="75"/>
      <c r="CE16" s="81"/>
      <c r="CF16" s="75"/>
      <c r="CG16" s="81"/>
      <c r="CH16" s="75"/>
      <c r="CI16" s="81"/>
      <c r="CJ16" s="75"/>
      <c r="CK16" s="81"/>
      <c r="CL16" s="75"/>
      <c r="CM16" s="81"/>
      <c r="CN16" s="75"/>
      <c r="CO16" s="81"/>
      <c r="CP16" s="75"/>
      <c r="CQ16" s="81"/>
      <c r="CR16" s="75"/>
      <c r="CS16" s="81"/>
      <c r="CT16" s="75"/>
      <c r="CU16" s="81"/>
      <c r="CV16" s="75"/>
      <c r="CW16" s="81"/>
      <c r="CX16" s="75"/>
      <c r="CY16" s="82" t="n">
        <f aca="false">W16+Y16+AA16+AC16+AE16+AG16+AI16+AK16+AM16+AO16+AQ16+AS16+AU16+AW16+AY16+BA16+BC16+BE16+BG16+BI16+BK16+BM16+BO16+BQ16+BS16+BU16+BW16+BY16+CA16+CC16+CE16+CG16+CI16+CK16+CM16+CO16+CQ16+CS16+CU16+CW16</f>
        <v>0</v>
      </c>
      <c r="CZ16" s="83" t="n">
        <f aca="false">IF(AND(CY16=0,DC16=0),0,(DF16+DG16)/DC16)</f>
        <v>0</v>
      </c>
      <c r="DA16" s="84" t="n">
        <f aca="false">DC16*DD16</f>
        <v>0</v>
      </c>
      <c r="DB16" s="85" t="n">
        <f aca="false">V16</f>
        <v>37139</v>
      </c>
      <c r="DC16" s="84" t="n">
        <f aca="false">ABS(W16)+ABS(Y16)+ABS(AA16)+ABS(AC16)+ABS(AE16)+ABS(AG16)+ABS(AI16)+ABS(AK16)+ABS(AM16)+ABS(AO16)+ABS(AQ16)+ABS(AS16)+ABS(AU16)+ABS(AW16)+ABS(AY16)+ABS(BA16)+ABS(BC16)+ABS(BE16)+ABS(BG16)+ABS(BI16)+ABS(BK16)+ABS(BM16)+ABS(BO16)+ABS(BQ16)+ABS(BS16)+ABS(BU16)+ABS(BW16)+ABS(BY16)+ABS(CA16)+ABS(CC16)+ABS(CE16)+ABS(CG16)+ABS(CI16)+ABS(CK16)+ABS(CM16)+ABS(CO16)+ABS(CQ16)+ABS(CS16)+ABS(CU16)+ABS(CW16)</f>
        <v>0</v>
      </c>
      <c r="DD16" s="86" t="n">
        <v>16</v>
      </c>
      <c r="DE16" s="84" t="n">
        <v>1</v>
      </c>
      <c r="DF16" s="43" t="n">
        <f aca="false">(ABS(W16)*X16+ABS(Y16)*Z16+ABS(AA16)*AB16+ABS(AC16)*AD16+ABS(AE16)*AF16+ABS(AG16)*AH16+ABS(AI16)*AJ16+ABS(AK16)*AL16+ABS(AM16)*AN16+ABS(AO16)*AP16+ABS(AQ16)*AR16+ABS(AS16)*AT16+ABS(AU16)*AV16+ABS(AW16)*AX16+ABS(AY16)*AZ16+ABS(BA16)*BB16+ABS(BC16)*BD16+ABS(BE16)*BF16+ABS(BG16)*BH16+ABS(BI16)*BJ16)</f>
        <v>0</v>
      </c>
      <c r="DG16" s="43" t="n">
        <f aca="false">ABS(BK16)*BL16+ABS(BM16)*BN16+ABS(BO16)*BP16+ABS(BQ16)*BR16+ABS(BS16)*BT16+ABS(BU16)*BV16+ABS(BW16)*BX16+ABS(BY16)*BZ16+ABS(CA16)*CB16+ABS(CC16)*CD16+ABS(CE16)*CF16+ABS(CG16)*CH16+ABS(CI16)*CJ16+ABS(CK16)*CL16+ABS(CM16)*CN16+ABS(CO16)*CP16+ABS(CQ16)*CR16+ABS(CS16)*CT16+ABS(CU16)*CV16+ABS(CW16)*CX16</f>
        <v>0</v>
      </c>
      <c r="DH16" s="43" t="n">
        <f aca="false">((H16-X16)*W16+(H16-Z16)*Y16+(H16-AB16)*AA16+(H16-AD16)*AC16+(H16-AF16)*AE16+(H16-AH16)*AG16+(H16-AJ16)*AI16+(H16-AL16)*AK16+(H16-AN16)*AM16+(H16-AP16)*AO16+(H16-AR16)*AQ16+(H16-AT16)*AS16+(H16-AV16)*AU16+(H16-AX16)*AW16+(H16-AZ16)*AY16+(H16-BB16)*BA16+(H16-BD16)*BC16+(H16-BF16)*BE16+(H16-BH16)*BG16+(H16-BJ16)*BI16)*DD16*DE16</f>
        <v>0</v>
      </c>
      <c r="DI16" s="43" t="n">
        <f aca="false">(((H16-BL16)*BK16+(H16-BN16)*BM16+(H16-BP16)*BO16+(H16-BR16)*BQ16+(H16-BT16)*BS16+(H16-BV16)*BU16+(H16-BX16)*BW16+(H16-BZ16)*BY16+(H16-CB16)*CA16+(H16-CD16)*CC16+(H16-CF16)*CE16+(H16-CH16)*CG16+(H16-CJ16)*CH16+(H16-CL16)*CK16+(H16-CN16)*CM16+(H16-CP16)*CO16+(H16-CR16)*CQ16+(H16-CT16)*CS16+(H16-CV16)*CU16+(H16-CX16)*CW16)*DD16*DE16)</f>
        <v>0</v>
      </c>
      <c r="DK16" s="85" t="n">
        <v>37139</v>
      </c>
      <c r="DL16" s="21" t="n">
        <v>0.178028106689453</v>
      </c>
      <c r="DN16" s="21" t="n">
        <f aca="false">IF(AND(WEEKDAY(DK16)&gt;1,WEEKDAY(DK16)&lt;7),1,0)</f>
        <v>1</v>
      </c>
    </row>
    <row r="17" customFormat="false" ht="18.75" hidden="false" customHeight="false" outlineLevel="0" collapsed="false">
      <c r="A17" s="58" t="n">
        <f aca="false">'NYISO A'!A17</f>
        <v>37140</v>
      </c>
      <c r="B17" s="59" t="n">
        <f aca="false">+[3]NYZoneG!$L8/16</f>
        <v>-49.8219718933106</v>
      </c>
      <c r="C17" s="101" t="n">
        <f aca="false">CY17</f>
        <v>0</v>
      </c>
      <c r="D17" s="87" t="n">
        <f aca="false">(IF(MONTH(A17)=MONTH(EOMONTH(TradeDate,1)),$AP$70,0)*VLOOKUP(A17,$DK$12:$DN$43,4))</f>
        <v>0</v>
      </c>
      <c r="E17" s="62" t="n">
        <f aca="false">B17+C17+D17</f>
        <v>-49.8219718933106</v>
      </c>
      <c r="F17" s="63" t="n">
        <f aca="false">[3]NYZoneG!$C8</f>
        <v>45.5</v>
      </c>
      <c r="G17" s="88" t="n">
        <f aca="false">IF($Q$9,Q17,P17)</f>
        <v>4</v>
      </c>
      <c r="H17" s="89" t="n">
        <f aca="false">F17+G17</f>
        <v>49.5</v>
      </c>
      <c r="I17" s="87" t="n">
        <f aca="false">B17*G17*DD17</f>
        <v>-3188.60620117188</v>
      </c>
      <c r="J17" s="66" t="n">
        <f aca="false">DH17+DI17</f>
        <v>0</v>
      </c>
      <c r="K17" s="90" t="n">
        <f aca="false">I17+J17</f>
        <v>-3188.60620117188</v>
      </c>
      <c r="L17" s="42"/>
      <c r="M17" s="67" t="n">
        <f aca="false">A17</f>
        <v>37140</v>
      </c>
      <c r="N17" s="92" t="n">
        <v>49.5</v>
      </c>
      <c r="O17" s="92" t="n">
        <v>49.5</v>
      </c>
      <c r="P17" s="69" t="n">
        <f aca="false">AVERAGE(N17:O17)-F17</f>
        <v>4</v>
      </c>
      <c r="Q17" s="70"/>
      <c r="R17" s="91" t="n">
        <f aca="false">H17</f>
        <v>49.5</v>
      </c>
      <c r="S17" s="24"/>
      <c r="T17" s="24"/>
      <c r="U17" s="72"/>
      <c r="V17" s="73" t="n">
        <f aca="false">A17</f>
        <v>37140</v>
      </c>
      <c r="W17" s="77"/>
      <c r="X17" s="76"/>
      <c r="Y17" s="77"/>
      <c r="Z17" s="78"/>
      <c r="AA17" s="77"/>
      <c r="AB17" s="78"/>
      <c r="AC17" s="77"/>
      <c r="AD17" s="76"/>
      <c r="AE17" s="77"/>
      <c r="AF17" s="76"/>
      <c r="AG17" s="77"/>
      <c r="AH17" s="78"/>
      <c r="AI17" s="74"/>
      <c r="AJ17" s="76"/>
      <c r="AK17" s="77"/>
      <c r="AL17" s="76"/>
      <c r="AM17" s="77"/>
      <c r="AN17" s="76"/>
      <c r="AO17" s="77"/>
      <c r="AP17" s="78"/>
      <c r="AQ17" s="77"/>
      <c r="AR17" s="76"/>
      <c r="AS17" s="77"/>
      <c r="AT17" s="78"/>
      <c r="AU17" s="77"/>
      <c r="AV17" s="76"/>
      <c r="AW17" s="96"/>
      <c r="AX17" s="75"/>
      <c r="AY17" s="81"/>
      <c r="AZ17" s="75"/>
      <c r="BA17" s="77"/>
      <c r="BB17" s="78"/>
      <c r="BC17" s="77"/>
      <c r="BD17" s="78"/>
      <c r="BE17" s="77"/>
      <c r="BF17" s="78"/>
      <c r="BG17" s="81"/>
      <c r="BH17" s="75"/>
      <c r="BI17" s="81"/>
      <c r="BJ17" s="75"/>
      <c r="BK17" s="81"/>
      <c r="BL17" s="75"/>
      <c r="BM17" s="81"/>
      <c r="BN17" s="75"/>
      <c r="BO17" s="81"/>
      <c r="BP17" s="75"/>
      <c r="BQ17" s="81"/>
      <c r="BR17" s="75"/>
      <c r="BS17" s="81"/>
      <c r="BT17" s="75"/>
      <c r="BU17" s="81"/>
      <c r="BV17" s="75"/>
      <c r="BW17" s="81"/>
      <c r="BX17" s="75"/>
      <c r="BY17" s="81"/>
      <c r="BZ17" s="75"/>
      <c r="CA17" s="81"/>
      <c r="CB17" s="75"/>
      <c r="CC17" s="81"/>
      <c r="CD17" s="75"/>
      <c r="CE17" s="81"/>
      <c r="CF17" s="75"/>
      <c r="CG17" s="81"/>
      <c r="CH17" s="75"/>
      <c r="CI17" s="81"/>
      <c r="CJ17" s="75"/>
      <c r="CK17" s="81"/>
      <c r="CL17" s="75"/>
      <c r="CM17" s="81"/>
      <c r="CN17" s="75"/>
      <c r="CO17" s="81"/>
      <c r="CP17" s="75"/>
      <c r="CQ17" s="81"/>
      <c r="CR17" s="75"/>
      <c r="CS17" s="81"/>
      <c r="CT17" s="75"/>
      <c r="CU17" s="81"/>
      <c r="CV17" s="75"/>
      <c r="CW17" s="81"/>
      <c r="CX17" s="75"/>
      <c r="CY17" s="82" t="n">
        <f aca="false">W17+Y17+AA17+AC17+AE17+AG17+AI17+AK17+AM17+AO17+AQ17+AS17+AU17+AW17+AY17+BA17+BC17+BE17+BG17+BI17+BK17+BM17+BO17+BQ17+BS17+BU17+BW17+BY17+CA17+CC17+CE17+CG17+CI17+CK17+CM17+CO17+CQ17+CS17+CU17+CW17</f>
        <v>0</v>
      </c>
      <c r="CZ17" s="83" t="n">
        <f aca="false">IF(AND(CY17=0,DC17=0),0,(DF17+DG17)/DC17)</f>
        <v>0</v>
      </c>
      <c r="DA17" s="84" t="n">
        <f aca="false">DC17*DD17</f>
        <v>0</v>
      </c>
      <c r="DB17" s="85" t="n">
        <f aca="false">V17</f>
        <v>37140</v>
      </c>
      <c r="DC17" s="84" t="n">
        <f aca="false">ABS(W17)+ABS(Y17)+ABS(AA17)+ABS(AC17)+ABS(AE17)+ABS(AG17)+ABS(AI17)+ABS(AK17)+ABS(AM17)+ABS(AO17)+ABS(AQ17)+ABS(AS17)+ABS(AU17)+ABS(AW17)+ABS(AY17)+ABS(BA17)+ABS(BC17)+ABS(BE17)+ABS(BG17)+ABS(BI17)+ABS(BK17)+ABS(BM17)+ABS(BO17)+ABS(BQ17)+ABS(BS17)+ABS(BU17)+ABS(BW17)+ABS(BY17)+ABS(CA17)+ABS(CC17)+ABS(CE17)+ABS(CG17)+ABS(CI17)+ABS(CK17)+ABS(CM17)+ABS(CO17)+ABS(CQ17)+ABS(CS17)+ABS(CU17)+ABS(CW17)</f>
        <v>0</v>
      </c>
      <c r="DD17" s="86" t="n">
        <v>16</v>
      </c>
      <c r="DE17" s="84" t="n">
        <v>1</v>
      </c>
      <c r="DF17" s="43" t="n">
        <f aca="false">(ABS(W17)*X17+ABS(Y17)*Z17+ABS(AA17)*AB17+ABS(AC17)*AD17+ABS(AE17)*AF17+ABS(AG17)*AH17+ABS(AI17)*AJ17+ABS(AK17)*AL17+ABS(AM17)*AN17+ABS(AO17)*AP17+ABS(AQ17)*AR17+ABS(AS17)*AT17+ABS(AU17)*AV17+ABS(AW17)*AX17+ABS(AY17)*AZ17+ABS(BA17)*BB17+ABS(BC17)*BD17+ABS(BE17)*BF17+ABS(BG17)*BH17+ABS(BI17)*BJ17)</f>
        <v>0</v>
      </c>
      <c r="DG17" s="43" t="n">
        <f aca="false">ABS(BK17)*BL17+ABS(BM17)*BN17+ABS(BO17)*BP17+ABS(BQ17)*BR17+ABS(BS17)*BT17+ABS(BU17)*BV17+ABS(BW17)*BX17+ABS(BY17)*BZ17+ABS(CA17)*CB17+ABS(CC17)*CD17+ABS(CE17)*CF17+ABS(CG17)*CH17+ABS(CI17)*CJ17+ABS(CK17)*CL17+ABS(CM17)*CN17+ABS(CO17)*CP17+ABS(CQ17)*CR17+ABS(CS17)*CT17+ABS(CU17)*CV17+ABS(CW17)*CX17</f>
        <v>0</v>
      </c>
      <c r="DH17" s="43" t="n">
        <f aca="false">((H17-X17)*W17+(H17-Z17)*Y17+(H17-AB17)*AA17+(H17-AD17)*AC17+(H17-AF17)*AE17+(H17-AH17)*AG17+(H17-AJ17)*AI17+(H17-AL17)*AK17+(H17-AN17)*AM17+(H17-AP17)*AO17+(H17-AR17)*AQ17+(H17-AT17)*AS17+(H17-AV17)*AU17+(H17-AX17)*AW17+(H17-AZ17)*AY17+(H17-BB17)*BA17+(H17-BD17)*BC17+(H17-BF17)*BE17+(H17-BH17)*BG17+(H17-BJ17)*BI17)*DD17*DE17</f>
        <v>0</v>
      </c>
      <c r="DI17" s="43" t="n">
        <f aca="false">(((H17-BL17)*BK17+(H17-BN17)*BM17+(H17-BP17)*BO17+(H17-BR17)*BQ17+(H17-BT17)*BS17+(H17-BV17)*BU17+(H17-BX17)*BW17+(H17-BZ17)*BY17+(H17-CB17)*CA17+(H17-CD17)*CC17+(H17-CF17)*CE17+(H17-CH17)*CG17+(H17-CJ17)*CH17+(H17-CL17)*CK17+(H17-CN17)*CM17+(H17-CP17)*CO17+(H17-CR17)*CQ17+(H17-CT17)*CS17+(H17-CV17)*CU17+(H17-CX17)*CW17)*DD17*DE17)</f>
        <v>0</v>
      </c>
      <c r="DK17" s="85" t="n">
        <v>37140</v>
      </c>
      <c r="DL17" s="21" t="n">
        <v>0.178028106689453</v>
      </c>
      <c r="DN17" s="21" t="n">
        <f aca="false">IF(AND(WEEKDAY(DK17)&gt;1,WEEKDAY(DK17)&lt;7),1,0)</f>
        <v>1</v>
      </c>
    </row>
    <row r="18" customFormat="false" ht="18.75" hidden="false" customHeight="false" outlineLevel="0" collapsed="false">
      <c r="A18" s="58" t="n">
        <f aca="false">'NYISO A'!A18</f>
        <v>37141</v>
      </c>
      <c r="B18" s="59" t="n">
        <f aca="false">+[3]NYZoneG!$L9/16</f>
        <v>-49.8219718933106</v>
      </c>
      <c r="C18" s="60" t="n">
        <f aca="false">CY18</f>
        <v>0</v>
      </c>
      <c r="D18" s="61" t="n">
        <f aca="false">(IF(MONTH(A18)=MONTH(EOMONTH(TradeDate,1)),$AP$70,0)*VLOOKUP(A18,$DK$12:$DN$43,4))</f>
        <v>0</v>
      </c>
      <c r="E18" s="62" t="n">
        <f aca="false">B18+C18+D18</f>
        <v>-49.8219718933106</v>
      </c>
      <c r="F18" s="63" t="n">
        <f aca="false">[3]NYZoneG!$C9</f>
        <v>45.5</v>
      </c>
      <c r="G18" s="63" t="n">
        <f aca="false">IF($Q$9,Q18,P18)</f>
        <v>-7.5</v>
      </c>
      <c r="H18" s="64" t="n">
        <f aca="false">F18+G18</f>
        <v>38</v>
      </c>
      <c r="I18" s="65" t="n">
        <f aca="false">B18*G18*DD18</f>
        <v>5978.63662719727</v>
      </c>
      <c r="J18" s="66" t="n">
        <f aca="false">DH18+DI18</f>
        <v>0</v>
      </c>
      <c r="K18" s="66" t="n">
        <f aca="false">I18+J18</f>
        <v>5978.63662719727</v>
      </c>
      <c r="M18" s="67" t="n">
        <f aca="false">A18</f>
        <v>37141</v>
      </c>
      <c r="N18" s="92" t="n">
        <v>38</v>
      </c>
      <c r="O18" s="92" t="n">
        <v>38</v>
      </c>
      <c r="P18" s="69" t="n">
        <f aca="false">AVERAGE(N18:O18)-F18</f>
        <v>-7.5</v>
      </c>
      <c r="Q18" s="70"/>
      <c r="R18" s="91" t="n">
        <f aca="false">H18</f>
        <v>38</v>
      </c>
      <c r="S18" s="24"/>
      <c r="T18" s="24"/>
      <c r="U18" s="72"/>
      <c r="V18" s="73" t="n">
        <f aca="false">A18</f>
        <v>37141</v>
      </c>
      <c r="W18" s="77"/>
      <c r="X18" s="76"/>
      <c r="Y18" s="77"/>
      <c r="Z18" s="78"/>
      <c r="AA18" s="77"/>
      <c r="AB18" s="78"/>
      <c r="AC18" s="77"/>
      <c r="AD18" s="76"/>
      <c r="AE18" s="77"/>
      <c r="AF18" s="76"/>
      <c r="AG18" s="77"/>
      <c r="AH18" s="76"/>
      <c r="AI18" s="74"/>
      <c r="AJ18" s="76"/>
      <c r="AK18" s="77"/>
      <c r="AL18" s="76"/>
      <c r="AM18" s="77"/>
      <c r="AN18" s="76"/>
      <c r="AO18" s="77"/>
      <c r="AP18" s="78"/>
      <c r="AQ18" s="77"/>
      <c r="AR18" s="78"/>
      <c r="AS18" s="77"/>
      <c r="AT18" s="78"/>
      <c r="AU18" s="77"/>
      <c r="AV18" s="76"/>
      <c r="AW18" s="96"/>
      <c r="AX18" s="75"/>
      <c r="AY18" s="81"/>
      <c r="AZ18" s="75"/>
      <c r="BA18" s="77"/>
      <c r="BB18" s="78"/>
      <c r="BC18" s="77"/>
      <c r="BD18" s="78"/>
      <c r="BE18" s="77"/>
      <c r="BF18" s="78"/>
      <c r="BG18" s="81"/>
      <c r="BH18" s="75"/>
      <c r="BI18" s="81"/>
      <c r="BJ18" s="75"/>
      <c r="BK18" s="81"/>
      <c r="BL18" s="75"/>
      <c r="BM18" s="81"/>
      <c r="BN18" s="75"/>
      <c r="BO18" s="81"/>
      <c r="BP18" s="75"/>
      <c r="BQ18" s="81"/>
      <c r="BR18" s="75"/>
      <c r="BS18" s="81"/>
      <c r="BT18" s="75"/>
      <c r="BU18" s="81"/>
      <c r="BV18" s="75"/>
      <c r="BW18" s="81"/>
      <c r="BX18" s="75"/>
      <c r="BY18" s="81"/>
      <c r="BZ18" s="75"/>
      <c r="CA18" s="81"/>
      <c r="CB18" s="75"/>
      <c r="CC18" s="81"/>
      <c r="CD18" s="75"/>
      <c r="CE18" s="81"/>
      <c r="CF18" s="75"/>
      <c r="CG18" s="81"/>
      <c r="CH18" s="75"/>
      <c r="CI18" s="81"/>
      <c r="CJ18" s="75"/>
      <c r="CK18" s="81"/>
      <c r="CL18" s="75"/>
      <c r="CM18" s="81"/>
      <c r="CN18" s="75"/>
      <c r="CO18" s="81"/>
      <c r="CP18" s="75"/>
      <c r="CQ18" s="81"/>
      <c r="CR18" s="75"/>
      <c r="CS18" s="81"/>
      <c r="CT18" s="75"/>
      <c r="CU18" s="81"/>
      <c r="CV18" s="75"/>
      <c r="CW18" s="81"/>
      <c r="CX18" s="75"/>
      <c r="CY18" s="82" t="n">
        <f aca="false">W18+Y18+AA18+AC18+AE18+AG18+AI18+AK18+AM18+AO18+AQ18+AS18+AU18+AW18+AY18+BA18+BC18+BE18+BG18+BI18+BK18+BM18+BO18+BQ18+BS18+BU18+BW18+BY18+CA18+CC18+CE18+CG18+CI18+CK18+CM18+CO18+CQ18+CS18+CU18+CW18</f>
        <v>0</v>
      </c>
      <c r="CZ18" s="83" t="n">
        <f aca="false">IF(AND(CY18=0,DC18=0),0,(DF18+DG18)/DC18)</f>
        <v>0</v>
      </c>
      <c r="DA18" s="84" t="n">
        <f aca="false">DC18*DD18</f>
        <v>0</v>
      </c>
      <c r="DB18" s="85" t="n">
        <f aca="false">V18</f>
        <v>37141</v>
      </c>
      <c r="DC18" s="84" t="n">
        <f aca="false">ABS(W18)+ABS(Y18)+ABS(AA18)+ABS(AC18)+ABS(AE18)+ABS(AG18)+ABS(AI18)+ABS(AK18)+ABS(AM18)+ABS(AO18)+ABS(AQ18)+ABS(AS18)+ABS(AU18)+ABS(AW18)+ABS(AY18)+ABS(BA18)+ABS(BC18)+ABS(BE18)+ABS(BG18)+ABS(BI18)+ABS(BK18)+ABS(BM18)+ABS(BO18)+ABS(BQ18)+ABS(BS18)+ABS(BU18)+ABS(BW18)+ABS(BY18)+ABS(CA18)+ABS(CC18)+ABS(CE18)+ABS(CG18)+ABS(CI18)+ABS(CK18)+ABS(CM18)+ABS(CO18)+ABS(CQ18)+ABS(CS18)+ABS(CU18)+ABS(CW18)</f>
        <v>0</v>
      </c>
      <c r="DD18" s="86" t="n">
        <v>16</v>
      </c>
      <c r="DE18" s="84" t="n">
        <v>1</v>
      </c>
      <c r="DF18" s="43" t="n">
        <f aca="false">(ABS(W18)*X18+ABS(Y18)*Z18+ABS(AA18)*AB18+ABS(AC18)*AD18+ABS(AE18)*AF18+ABS(AG18)*AH18+ABS(AI18)*AJ18+ABS(AK18)*AL18+ABS(AM18)*AN18+ABS(AO18)*AP18+ABS(AQ18)*AR18+ABS(AS18)*AT18+ABS(AU18)*AV18+ABS(AW18)*AX18+ABS(AY18)*AZ18+ABS(BA18)*BB18+ABS(BC18)*BD18+ABS(BE18)*BF18+ABS(BG18)*BH18+ABS(BI18)*BJ18)</f>
        <v>0</v>
      </c>
      <c r="DG18" s="43" t="n">
        <f aca="false">ABS(BK18)*BL18+ABS(BM18)*BN18+ABS(BO18)*BP18+ABS(BQ18)*BR18+ABS(BS18)*BT18+ABS(BU18)*BV18+ABS(BW18)*BX18+ABS(BY18)*BZ18+ABS(CA18)*CB18+ABS(CC18)*CD18+ABS(CE18)*CF18+ABS(CG18)*CH18+ABS(CI18)*CJ18+ABS(CK18)*CL18+ABS(CM18)*CN18+ABS(CO18)*CP18+ABS(CQ18)*CR18+ABS(CS18)*CT18+ABS(CU18)*CV18+ABS(CW18)*CX18</f>
        <v>0</v>
      </c>
      <c r="DH18" s="43" t="n">
        <f aca="false">((H18-X18)*W18+(H18-Z18)*Y18+(H18-AB18)*AA18+(H18-AD18)*AC18+(H18-AF18)*AE18+(H18-AH18)*AG18+(H18-AJ18)*AI18+(H18-AL18)*AK18+(H18-AN18)*AM18+(H18-AP18)*AO18+(H18-AR18)*AQ18+(H18-AT18)*AS18+(H18-AV18)*AU18+(H18-AX18)*AW18+(H18-AZ18)*AY18+(H18-BB18)*BA18+(H18-BD18)*BC18+(H18-BF18)*BE18+(H18-BH18)*BG18+(H18-BJ18)*BI18)*DD18*DE18</f>
        <v>0</v>
      </c>
      <c r="DI18" s="43" t="n">
        <f aca="false">(((H18-BL18)*BK18+(H18-BN18)*BM18+(H18-BP18)*BO18+(H18-BR18)*BQ18+(H18-BT18)*BS18+(H18-BV18)*BU18+(H18-BX18)*BW18+(H18-BZ18)*BY18+(H18-CB18)*CA18+(H18-CD18)*CC18+(H18-CF18)*CE18+(H18-CH18)*CG18+(H18-CJ18)*CH18+(H18-CL18)*CK18+(H18-CN18)*CM18+(H18-CP18)*CO18+(H18-CR18)*CQ18+(H18-CT18)*CS18+(H18-CV18)*CU18+(H18-CX18)*CW18)*DD18*DE18)</f>
        <v>0</v>
      </c>
      <c r="DK18" s="85" t="n">
        <v>37141</v>
      </c>
      <c r="DL18" s="21" t="n">
        <v>0.178028106689453</v>
      </c>
      <c r="DN18" s="21" t="n">
        <f aca="false">IF(AND(WEEKDAY(DK18)&gt;1,WEEKDAY(DK18)&lt;7),1,0)</f>
        <v>1</v>
      </c>
    </row>
    <row r="19" customFormat="false" ht="19.5" hidden="false" customHeight="true" outlineLevel="0" collapsed="false">
      <c r="A19" s="58" t="n">
        <f aca="false">'NYISO A'!A19</f>
        <v>37142</v>
      </c>
      <c r="B19" s="59" t="n">
        <f aca="false">+[3]NYZoneG!$L10/16</f>
        <v>0</v>
      </c>
      <c r="C19" s="101" t="n">
        <f aca="false">CY19</f>
        <v>0</v>
      </c>
      <c r="D19" s="87" t="n">
        <f aca="false">(IF(MONTH(A19)=MONTH(EOMONTH(TradeDate,1)),$AP$70,0)*VLOOKUP(A19,$DK$12:$DN$43,4))</f>
        <v>0</v>
      </c>
      <c r="E19" s="62" t="n">
        <f aca="false">B19+C19+D19</f>
        <v>0</v>
      </c>
      <c r="F19" s="63" t="n">
        <f aca="false">[3]NYZoneG!$C10</f>
        <v>38</v>
      </c>
      <c r="G19" s="88" t="n">
        <f aca="false">IF($Q$9,Q19,P19)</f>
        <v>0</v>
      </c>
      <c r="H19" s="89" t="n">
        <f aca="false">F19+G19</f>
        <v>38</v>
      </c>
      <c r="I19" s="87" t="n">
        <f aca="false">B19*G19*DD19</f>
        <v>0</v>
      </c>
      <c r="J19" s="66" t="n">
        <f aca="false">DH19+DI19</f>
        <v>0</v>
      </c>
      <c r="K19" s="90" t="n">
        <f aca="false">I19+J19</f>
        <v>0</v>
      </c>
      <c r="L19" s="42"/>
      <c r="M19" s="67" t="n">
        <f aca="false">A19</f>
        <v>37142</v>
      </c>
      <c r="N19" s="92" t="n">
        <v>38</v>
      </c>
      <c r="O19" s="92" t="n">
        <v>38</v>
      </c>
      <c r="P19" s="69" t="n">
        <f aca="false">AVERAGE(N19:O19)-F19</f>
        <v>0</v>
      </c>
      <c r="Q19" s="70"/>
      <c r="R19" s="91" t="n">
        <f aca="false">H19</f>
        <v>38</v>
      </c>
      <c r="S19" s="24"/>
      <c r="T19" s="24"/>
      <c r="U19" s="72"/>
      <c r="V19" s="73" t="n">
        <f aca="false">A19</f>
        <v>37142</v>
      </c>
      <c r="W19" s="77"/>
      <c r="X19" s="76"/>
      <c r="Y19" s="77"/>
      <c r="Z19" s="78"/>
      <c r="AA19" s="77"/>
      <c r="AB19" s="78"/>
      <c r="AC19" s="77"/>
      <c r="AD19" s="76"/>
      <c r="AE19" s="77"/>
      <c r="AF19" s="76"/>
      <c r="AG19" s="77"/>
      <c r="AH19" s="76"/>
      <c r="AI19" s="74"/>
      <c r="AJ19" s="76"/>
      <c r="AK19" s="77"/>
      <c r="AL19" s="76"/>
      <c r="AM19" s="77"/>
      <c r="AN19" s="76"/>
      <c r="AO19" s="77"/>
      <c r="AP19" s="78"/>
      <c r="AQ19" s="77"/>
      <c r="AR19" s="78"/>
      <c r="AS19" s="77"/>
      <c r="AT19" s="78"/>
      <c r="AU19" s="77"/>
      <c r="AV19" s="76"/>
      <c r="AW19" s="96"/>
      <c r="AX19" s="75"/>
      <c r="AY19" s="81"/>
      <c r="AZ19" s="75"/>
      <c r="BA19" s="77"/>
      <c r="BB19" s="78"/>
      <c r="BC19" s="77"/>
      <c r="BD19" s="78"/>
      <c r="BE19" s="77"/>
      <c r="BF19" s="78"/>
      <c r="BG19" s="81"/>
      <c r="BH19" s="75"/>
      <c r="BI19" s="81"/>
      <c r="BJ19" s="75"/>
      <c r="BK19" s="81"/>
      <c r="BL19" s="75"/>
      <c r="BM19" s="81"/>
      <c r="BN19" s="75"/>
      <c r="BO19" s="81"/>
      <c r="BP19" s="75"/>
      <c r="BQ19" s="81"/>
      <c r="BR19" s="75"/>
      <c r="BS19" s="81"/>
      <c r="BT19" s="75"/>
      <c r="BU19" s="81"/>
      <c r="BV19" s="75"/>
      <c r="BW19" s="81"/>
      <c r="BX19" s="75"/>
      <c r="BY19" s="81"/>
      <c r="BZ19" s="75"/>
      <c r="CA19" s="81"/>
      <c r="CB19" s="75"/>
      <c r="CC19" s="81"/>
      <c r="CD19" s="75"/>
      <c r="CE19" s="81"/>
      <c r="CF19" s="75"/>
      <c r="CG19" s="81"/>
      <c r="CH19" s="75"/>
      <c r="CI19" s="81"/>
      <c r="CJ19" s="75"/>
      <c r="CK19" s="81"/>
      <c r="CL19" s="75"/>
      <c r="CM19" s="81"/>
      <c r="CN19" s="75"/>
      <c r="CO19" s="81"/>
      <c r="CP19" s="75"/>
      <c r="CQ19" s="81"/>
      <c r="CR19" s="75"/>
      <c r="CS19" s="81"/>
      <c r="CT19" s="75"/>
      <c r="CU19" s="81"/>
      <c r="CV19" s="75"/>
      <c r="CW19" s="81"/>
      <c r="CX19" s="75"/>
      <c r="CY19" s="82" t="n">
        <f aca="false">W19+Y19+AA19+AC19+AE19+AG19+AI19+AK19+AM19+AO19+AQ19+AS19+AU19+AW19+AY19+BA19+BC19+BE19+BG19+BI19+BK19+BM19+BO19+BQ19+BS19+BU19+BW19+BY19+CA19+CC19+CE19+CG19+CI19+CK19+CM19+CO19+CQ19+CS19+CU19+CW19</f>
        <v>0</v>
      </c>
      <c r="CZ19" s="83" t="n">
        <f aca="false">IF(AND(CY19=0,DC19=0),0,(DF19+DG19)/DC19)</f>
        <v>0</v>
      </c>
      <c r="DA19" s="84" t="n">
        <f aca="false">DC19*DD19</f>
        <v>0</v>
      </c>
      <c r="DB19" s="85" t="n">
        <f aca="false">V19</f>
        <v>37142</v>
      </c>
      <c r="DC19" s="84" t="n">
        <f aca="false">ABS(W19)+ABS(Y19)+ABS(AA19)+ABS(AC19)+ABS(AE19)+ABS(AG19)+ABS(AI19)+ABS(AK19)+ABS(AM19)+ABS(AO19)+ABS(AQ19)+ABS(AS19)+ABS(AU19)+ABS(AW19)+ABS(AY19)+ABS(BA19)+ABS(BC19)+ABS(BE19)+ABS(BG19)+ABS(BI19)+ABS(BK19)+ABS(BM19)+ABS(BO19)+ABS(BQ19)+ABS(BS19)+ABS(BU19)+ABS(BW19)+ABS(BY19)+ABS(CA19)+ABS(CC19)+ABS(CE19)+ABS(CG19)+ABS(CI19)+ABS(CK19)+ABS(CM19)+ABS(CO19)+ABS(CQ19)+ABS(CS19)+ABS(CU19)+ABS(CW19)</f>
        <v>0</v>
      </c>
      <c r="DD19" s="86" t="n">
        <v>16</v>
      </c>
      <c r="DE19" s="84" t="n">
        <v>1</v>
      </c>
      <c r="DF19" s="43" t="n">
        <f aca="false">(ABS(W19)*X19+ABS(Y19)*Z19+ABS(AA19)*AB19+ABS(AC19)*AD19+ABS(AE19)*AF19+ABS(AG19)*AH19+ABS(AI19)*AJ19+ABS(AK19)*AL19+ABS(AM19)*AN19+ABS(AO19)*AP19+ABS(AQ19)*AR19+ABS(AS19)*AT19+ABS(AU19)*AV19+ABS(AW19)*AX19+ABS(AY19)*AZ19+ABS(BA19)*BB19+ABS(BC19)*BD19+ABS(BE19)*BF19+ABS(BG19)*BH19+ABS(BI19)*BJ19)</f>
        <v>0</v>
      </c>
      <c r="DG19" s="43" t="n">
        <f aca="false">ABS(BK19)*BL19+ABS(BM19)*BN19+ABS(BO19)*BP19+ABS(BQ19)*BR19+ABS(BS19)*BT19+ABS(BU19)*BV19+ABS(BW19)*BX19+ABS(BY19)*BZ19+ABS(CA19)*CB19+ABS(CC19)*CD19+ABS(CE19)*CF19+ABS(CG19)*CH19+ABS(CI19)*CJ19+ABS(CK19)*CL19+ABS(CM19)*CN19+ABS(CO19)*CP19+ABS(CQ19)*CR19+ABS(CS19)*CT19+ABS(CU19)*CV19+ABS(CW19)*CX19</f>
        <v>0</v>
      </c>
      <c r="DH19" s="43" t="n">
        <f aca="false">((H19-X19)*W19+(H19-Z19)*Y19+(H19-AB19)*AA19+(H19-AD19)*AC19+(H19-AF19)*AE19+(H19-AH19)*AG19+(H19-AJ19)*AI19+(H19-AL19)*AK19+(H19-AN19)*AM19+(H19-AP19)*AO19+(H19-AR19)*AQ19+(H19-AT19)*AS19+(H19-AV19)*AU19+(H19-AX19)*AW19+(H19-AZ19)*AY19+(H19-BB19)*BA19+(H19-BD19)*BC19+(H19-BF19)*BE19+(H19-BH19)*BG19+(H19-BJ19)*BI19)*DD19*DE19</f>
        <v>0</v>
      </c>
      <c r="DI19" s="43" t="n">
        <f aca="false">(((H19-BL19)*BK19+(H19-BN19)*BM19+(H19-BP19)*BO19+(H19-BR19)*BQ19+(H19-BT19)*BS19+(H19-BV19)*BU19+(H19-BX19)*BW19+(H19-BZ19)*BY19+(H19-CB19)*CA19+(H19-CD19)*CC19+(H19-CF19)*CE19+(H19-CH19)*CG19+(H19-CJ19)*CH19+(H19-CL19)*CK19+(H19-CN19)*CM19+(H19-CP19)*CO19+(H19-CR19)*CQ19+(H19-CT19)*CS19+(H19-CV19)*CU19+(H19-CX19)*CW19)*DD19*DE19)</f>
        <v>0</v>
      </c>
      <c r="DK19" s="85" t="n">
        <v>37142</v>
      </c>
      <c r="DL19" s="21" t="n">
        <v>0</v>
      </c>
      <c r="DN19" s="21" t="n">
        <f aca="false">IF(AND(WEEKDAY(DK19)&gt;1,WEEKDAY(DK19)&lt;7),1,0)</f>
        <v>0</v>
      </c>
    </row>
    <row r="20" customFormat="false" ht="18.75" hidden="false" customHeight="false" outlineLevel="0" collapsed="false">
      <c r="A20" s="58" t="n">
        <f aca="false">'NYISO A'!A20</f>
        <v>37143</v>
      </c>
      <c r="B20" s="59" t="n">
        <f aca="false">+[3]NYZoneG!$L11/16</f>
        <v>0</v>
      </c>
      <c r="C20" s="60" t="n">
        <f aca="false">CY20</f>
        <v>0</v>
      </c>
      <c r="D20" s="61" t="n">
        <f aca="false">(IF(MONTH(A20)=MONTH(EOMONTH(TradeDate,1)),$AP$70,0)*VLOOKUP(A20,$DK$12:$DN$43,4))</f>
        <v>0</v>
      </c>
      <c r="E20" s="62" t="n">
        <f aca="false">B20+C20+D20</f>
        <v>0</v>
      </c>
      <c r="F20" s="63" t="n">
        <f aca="false">[3]NYZoneG!$C11</f>
        <v>38</v>
      </c>
      <c r="G20" s="63" t="n">
        <f aca="false">IF($Q$9,Q20,P20)</f>
        <v>0</v>
      </c>
      <c r="H20" s="64" t="n">
        <f aca="false">F20+G20</f>
        <v>38</v>
      </c>
      <c r="I20" s="65" t="n">
        <f aca="false">B20*G20*DD20</f>
        <v>0</v>
      </c>
      <c r="J20" s="66" t="n">
        <f aca="false">DH20+DI20</f>
        <v>0</v>
      </c>
      <c r="K20" s="66" t="n">
        <f aca="false">I20+J20</f>
        <v>0</v>
      </c>
      <c r="L20" s="42"/>
      <c r="M20" s="67" t="n">
        <f aca="false">A20</f>
        <v>37143</v>
      </c>
      <c r="N20" s="92" t="n">
        <v>38</v>
      </c>
      <c r="O20" s="92" t="n">
        <v>38</v>
      </c>
      <c r="P20" s="69" t="n">
        <f aca="false">AVERAGE(N20:O20)-F20</f>
        <v>0</v>
      </c>
      <c r="Q20" s="70"/>
      <c r="R20" s="91" t="n">
        <f aca="false">H20</f>
        <v>38</v>
      </c>
      <c r="S20" s="24"/>
      <c r="T20" s="24"/>
      <c r="U20" s="72"/>
      <c r="V20" s="73" t="n">
        <f aca="false">A20</f>
        <v>37143</v>
      </c>
      <c r="W20" s="77"/>
      <c r="X20" s="76"/>
      <c r="Y20" s="77"/>
      <c r="Z20" s="78"/>
      <c r="AA20" s="77"/>
      <c r="AB20" s="78"/>
      <c r="AC20" s="77"/>
      <c r="AD20" s="76"/>
      <c r="AE20" s="77"/>
      <c r="AF20" s="76"/>
      <c r="AG20" s="77"/>
      <c r="AH20" s="76"/>
      <c r="AI20" s="74"/>
      <c r="AJ20" s="76"/>
      <c r="AK20" s="77"/>
      <c r="AL20" s="76"/>
      <c r="AM20" s="77"/>
      <c r="AN20" s="76"/>
      <c r="AO20" s="77"/>
      <c r="AP20" s="78"/>
      <c r="AQ20" s="77"/>
      <c r="AR20" s="78"/>
      <c r="AS20" s="77"/>
      <c r="AT20" s="78"/>
      <c r="AU20" s="77"/>
      <c r="AV20" s="76"/>
      <c r="AW20" s="96"/>
      <c r="AX20" s="75"/>
      <c r="AY20" s="81"/>
      <c r="AZ20" s="75"/>
      <c r="BA20" s="77"/>
      <c r="BB20" s="78"/>
      <c r="BC20" s="77"/>
      <c r="BD20" s="78"/>
      <c r="BE20" s="77"/>
      <c r="BF20" s="78"/>
      <c r="BG20" s="81"/>
      <c r="BH20" s="75"/>
      <c r="BI20" s="81"/>
      <c r="BJ20" s="75"/>
      <c r="BK20" s="81"/>
      <c r="BL20" s="75"/>
      <c r="BM20" s="81"/>
      <c r="BN20" s="75"/>
      <c r="BO20" s="81"/>
      <c r="BP20" s="75"/>
      <c r="BQ20" s="81"/>
      <c r="BR20" s="75"/>
      <c r="BS20" s="81"/>
      <c r="BT20" s="75"/>
      <c r="BU20" s="81"/>
      <c r="BV20" s="75"/>
      <c r="BW20" s="81"/>
      <c r="BX20" s="75"/>
      <c r="BY20" s="81"/>
      <c r="BZ20" s="75"/>
      <c r="CA20" s="81"/>
      <c r="CB20" s="75"/>
      <c r="CC20" s="81"/>
      <c r="CD20" s="75"/>
      <c r="CE20" s="81"/>
      <c r="CF20" s="75"/>
      <c r="CG20" s="81"/>
      <c r="CH20" s="75"/>
      <c r="CI20" s="81"/>
      <c r="CJ20" s="75"/>
      <c r="CK20" s="81"/>
      <c r="CL20" s="75"/>
      <c r="CM20" s="81"/>
      <c r="CN20" s="75"/>
      <c r="CO20" s="81"/>
      <c r="CP20" s="75"/>
      <c r="CQ20" s="81"/>
      <c r="CR20" s="75"/>
      <c r="CS20" s="81"/>
      <c r="CT20" s="75"/>
      <c r="CU20" s="81"/>
      <c r="CV20" s="75"/>
      <c r="CW20" s="81"/>
      <c r="CX20" s="75"/>
      <c r="CY20" s="82" t="n">
        <f aca="false">W20+Y20+AA20+AC20+AE20+AG20+AI20+AK20+AM20+AO20+AQ20+AS20+AU20+AW20+AY20+BA20+BC20+BE20+BG20+BI20+BK20+BM20+BO20+BQ20+BS20+BU20+BW20+BY20+CA20+CC20+CE20+CG20+CI20+CK20+CM20+CO20+CQ20+CS20+CU20+CW20</f>
        <v>0</v>
      </c>
      <c r="CZ20" s="83" t="n">
        <f aca="false">IF(AND(CY20=0,DC20=0),0,(DF20+DG20)/DC20)</f>
        <v>0</v>
      </c>
      <c r="DA20" s="84" t="n">
        <f aca="false">DC20*DD20</f>
        <v>0</v>
      </c>
      <c r="DB20" s="85" t="n">
        <f aca="false">V20</f>
        <v>37143</v>
      </c>
      <c r="DC20" s="84" t="n">
        <f aca="false">ABS(W20)+ABS(Y20)+ABS(AA20)+ABS(AC20)+ABS(AE20)+ABS(AG20)+ABS(AI20)+ABS(AK20)+ABS(AM20)+ABS(AO20)+ABS(AQ20)+ABS(AS20)+ABS(AU20)+ABS(AW20)+ABS(AY20)+ABS(BA20)+ABS(BC20)+ABS(BE20)+ABS(BG20)+ABS(BI20)+ABS(BK20)+ABS(BM20)+ABS(BO20)+ABS(BQ20)+ABS(BS20)+ABS(BU20)+ABS(BW20)+ABS(BY20)+ABS(CA20)+ABS(CC20)+ABS(CE20)+ABS(CG20)+ABS(CI20)+ABS(CK20)+ABS(CM20)+ABS(CO20)+ABS(CQ20)+ABS(CS20)+ABS(CU20)+ABS(CW20)</f>
        <v>0</v>
      </c>
      <c r="DD20" s="86" t="n">
        <v>16</v>
      </c>
      <c r="DE20" s="84" t="n">
        <v>1</v>
      </c>
      <c r="DF20" s="43" t="n">
        <f aca="false">(ABS(W20)*X20+ABS(Y20)*Z20+ABS(AA20)*AB20+ABS(AC20)*AD20+ABS(AE20)*AF20+ABS(AG20)*AH20+ABS(AI20)*AJ20+ABS(AK20)*AL20+ABS(AM20)*AN20+ABS(AO20)*AP20+ABS(AQ20)*AR20+ABS(AS20)*AT20+ABS(AU20)*AV20+ABS(AW20)*AX20+ABS(AY20)*AZ20+ABS(BA20)*BB20+ABS(BC20)*BD20+ABS(BE20)*BF20+ABS(BG20)*BH20+ABS(BI20)*BJ20)</f>
        <v>0</v>
      </c>
      <c r="DG20" s="43" t="n">
        <f aca="false">ABS(BK20)*BL20+ABS(BM20)*BN20+ABS(BO20)*BP20+ABS(BQ20)*BR20+ABS(BS20)*BT20+ABS(BU20)*BV20+ABS(BW20)*BX20+ABS(BY20)*BZ20+ABS(CA20)*CB20+ABS(CC20)*CD20+ABS(CE20)*CF20+ABS(CG20)*CH20+ABS(CI20)*CJ20+ABS(CK20)*CL20+ABS(CM20)*CN20+ABS(CO20)*CP20+ABS(CQ20)*CR20+ABS(CS20)*CT20+ABS(CU20)*CV20+ABS(CW20)*CX20</f>
        <v>0</v>
      </c>
      <c r="DH20" s="43" t="n">
        <f aca="false">((H20-X20)*W20+(H20-Z20)*Y20+(H20-AB20)*AA20+(H20-AD20)*AC20+(H20-AF20)*AE20+(H20-AH20)*AG20+(H20-AJ20)*AI20+(H20-AL20)*AK20+(H20-AN20)*AM20+(H20-AP20)*AO20+(H20-AR20)*AQ20+(H20-AT20)*AS20+(H20-AV20)*AU20+(H20-AX20)*AW20+(H20-AZ20)*AY20+(H20-BB20)*BA20+(H20-BD20)*BC20+(H20-BF20)*BE20+(H20-BH20)*BG20+(H20-BJ20)*BI20)*DD20*DE20</f>
        <v>0</v>
      </c>
      <c r="DI20" s="43" t="n">
        <f aca="false">(((H20-BL20)*BK20+(H20-BN20)*BM20+(H20-BP20)*BO20+(H20-BR20)*BQ20+(H20-BT20)*BS20+(H20-BV20)*BU20+(H20-BX20)*BW20+(H20-BZ20)*BY20+(H20-CB20)*CA20+(H20-CD20)*CC20+(H20-CF20)*CE20+(H20-CH20)*CG20+(H20-CJ20)*CH20+(H20-CL20)*CK20+(H20-CN20)*CM20+(H20-CP20)*CO20+(H20-CR20)*CQ20+(H20-CT20)*CS20+(H20-CV20)*CU20+(H20-CX20)*CW20)*DD20*DE20)</f>
        <v>0</v>
      </c>
      <c r="DK20" s="85" t="n">
        <v>37143</v>
      </c>
      <c r="DL20" s="21" t="n">
        <v>0</v>
      </c>
      <c r="DN20" s="21" t="n">
        <f aca="false">IF(AND(WEEKDAY(DK20)&gt;1,WEEKDAY(DK20)&lt;7),1,0)</f>
        <v>0</v>
      </c>
    </row>
    <row r="21" customFormat="false" ht="18.75" hidden="false" customHeight="false" outlineLevel="0" collapsed="false">
      <c r="A21" s="58" t="n">
        <f aca="false">'NYISO A'!A21</f>
        <v>37144</v>
      </c>
      <c r="B21" s="59" t="n">
        <f aca="false">+[3]NYZoneG!$L12/16</f>
        <v>1.24999999500525E-013</v>
      </c>
      <c r="C21" s="101" t="n">
        <f aca="false">CY21</f>
        <v>0</v>
      </c>
      <c r="D21" s="87" t="n">
        <f aca="false">(IF(MONTH(A21)=MONTH(EOMONTH(TradeDate,1)),$AP$70,0)*VLOOKUP(A21,$DK$12:$DN$43,4))</f>
        <v>0</v>
      </c>
      <c r="E21" s="62" t="n">
        <f aca="false">B21+C21+D21</f>
        <v>1.24999999500525E-013</v>
      </c>
      <c r="F21" s="63" t="n">
        <f aca="false">[3]NYZoneG!$C12</f>
        <v>40.5</v>
      </c>
      <c r="G21" s="88" t="n">
        <f aca="false">IF($Q$9,Q21,P21)</f>
        <v>0</v>
      </c>
      <c r="H21" s="89" t="n">
        <f aca="false">F21+G21</f>
        <v>40.5</v>
      </c>
      <c r="I21" s="87" t="n">
        <f aca="false">B21*G21*DD21</f>
        <v>0</v>
      </c>
      <c r="J21" s="66" t="n">
        <f aca="false">DH21+DI21</f>
        <v>0</v>
      </c>
      <c r="K21" s="90" t="n">
        <f aca="false">I21+J21</f>
        <v>0</v>
      </c>
      <c r="L21" s="42"/>
      <c r="M21" s="67" t="n">
        <f aca="false">A21</f>
        <v>37144</v>
      </c>
      <c r="N21" s="92" t="n">
        <v>40.5</v>
      </c>
      <c r="O21" s="92" t="n">
        <v>40.5</v>
      </c>
      <c r="P21" s="69" t="n">
        <f aca="false">AVERAGE(N21:O21)-F21</f>
        <v>0</v>
      </c>
      <c r="Q21" s="70"/>
      <c r="R21" s="91" t="n">
        <f aca="false">H21</f>
        <v>40.5</v>
      </c>
      <c r="S21" s="24"/>
      <c r="T21" s="24"/>
      <c r="U21" s="72"/>
      <c r="V21" s="73" t="n">
        <f aca="false">A21</f>
        <v>37144</v>
      </c>
      <c r="W21" s="77"/>
      <c r="X21" s="76"/>
      <c r="Y21" s="77"/>
      <c r="Z21" s="99"/>
      <c r="AA21" s="77"/>
      <c r="AB21" s="78"/>
      <c r="AC21" s="77"/>
      <c r="AD21" s="76"/>
      <c r="AE21" s="77"/>
      <c r="AF21" s="76"/>
      <c r="AG21" s="77"/>
      <c r="AH21" s="76"/>
      <c r="AI21" s="77"/>
      <c r="AJ21" s="78"/>
      <c r="AK21" s="77"/>
      <c r="AL21" s="76"/>
      <c r="AM21" s="77"/>
      <c r="AN21" s="76"/>
      <c r="AO21" s="77"/>
      <c r="AP21" s="78"/>
      <c r="AQ21" s="77"/>
      <c r="AR21" s="78"/>
      <c r="AS21" s="77"/>
      <c r="AT21" s="78"/>
      <c r="AU21" s="77"/>
      <c r="AV21" s="76"/>
      <c r="AW21" s="96"/>
      <c r="AX21" s="75"/>
      <c r="AY21" s="81"/>
      <c r="AZ21" s="75"/>
      <c r="BA21" s="77"/>
      <c r="BB21" s="78"/>
      <c r="BC21" s="77"/>
      <c r="BD21" s="78"/>
      <c r="BE21" s="77"/>
      <c r="BF21" s="78"/>
      <c r="BG21" s="81"/>
      <c r="BH21" s="75"/>
      <c r="BI21" s="81"/>
      <c r="BJ21" s="75"/>
      <c r="BK21" s="81"/>
      <c r="BL21" s="75"/>
      <c r="BM21" s="81"/>
      <c r="BN21" s="75"/>
      <c r="BO21" s="81"/>
      <c r="BP21" s="75"/>
      <c r="BQ21" s="81"/>
      <c r="BR21" s="75"/>
      <c r="BS21" s="81"/>
      <c r="BT21" s="75"/>
      <c r="BU21" s="81"/>
      <c r="BV21" s="75"/>
      <c r="BW21" s="81"/>
      <c r="BX21" s="75"/>
      <c r="BY21" s="81"/>
      <c r="BZ21" s="75"/>
      <c r="CA21" s="81"/>
      <c r="CB21" s="75"/>
      <c r="CC21" s="81"/>
      <c r="CD21" s="75"/>
      <c r="CE21" s="81"/>
      <c r="CF21" s="75"/>
      <c r="CG21" s="81"/>
      <c r="CH21" s="75"/>
      <c r="CI21" s="81"/>
      <c r="CJ21" s="75"/>
      <c r="CK21" s="81"/>
      <c r="CL21" s="75"/>
      <c r="CM21" s="81"/>
      <c r="CN21" s="75"/>
      <c r="CO21" s="81"/>
      <c r="CP21" s="75"/>
      <c r="CQ21" s="81"/>
      <c r="CR21" s="75"/>
      <c r="CS21" s="81"/>
      <c r="CT21" s="75"/>
      <c r="CU21" s="81"/>
      <c r="CV21" s="75"/>
      <c r="CW21" s="81"/>
      <c r="CX21" s="75"/>
      <c r="CY21" s="82" t="n">
        <f aca="false">W21+Y21+AA21+AC21+AE21+AG21+AI21+AK21+AM21+AO21+AQ21+AS21+AU21+AW21+AY21+BA21+BC21+BE21+BG21+BI21+BK21+BM21+BO21+BQ21+BS21+BU21+BW21+BY21+CA21+CC21+CE21+CG21+CI21+CK21+CM21+CO21+CQ21+CS21+CU21+CW21</f>
        <v>0</v>
      </c>
      <c r="CZ21" s="83" t="n">
        <f aca="false">IF(AND(CY21=0,DC21=0),0,(DF21+DG21)/DC21)</f>
        <v>0</v>
      </c>
      <c r="DA21" s="84" t="n">
        <f aca="false">DC21*DD21</f>
        <v>0</v>
      </c>
      <c r="DB21" s="85" t="n">
        <f aca="false">V21</f>
        <v>37144</v>
      </c>
      <c r="DC21" s="84" t="n">
        <f aca="false">ABS(W21)+ABS(Y21)+ABS(AA21)+ABS(AC21)+ABS(AE21)+ABS(AG21)+ABS(AI21)+ABS(AK21)+ABS(AM21)+ABS(AO21)+ABS(AQ21)+ABS(AS21)+ABS(AU21)+ABS(AW21)+ABS(AY21)+ABS(BA21)+ABS(BC21)+ABS(BE21)+ABS(BG21)+ABS(BI21)+ABS(BK21)+ABS(BM21)+ABS(BO21)+ABS(BQ21)+ABS(BS21)+ABS(BU21)+ABS(BW21)+ABS(BY21)+ABS(CA21)+ABS(CC21)+ABS(CE21)+ABS(CG21)+ABS(CI21)+ABS(CK21)+ABS(CM21)+ABS(CO21)+ABS(CQ21)+ABS(CS21)+ABS(CU21)+ABS(CW21)</f>
        <v>0</v>
      </c>
      <c r="DD21" s="86" t="n">
        <v>16</v>
      </c>
      <c r="DE21" s="84" t="n">
        <v>1</v>
      </c>
      <c r="DF21" s="43" t="n">
        <f aca="false">(ABS(W21)*X21+ABS(Y21)*Z21+ABS(AA21)*AB21+ABS(AC21)*AD21+ABS(AE21)*AF21+ABS(AG21)*AH21+ABS(AI21)*AJ21+ABS(AK21)*AL21+ABS(AM21)*AN21+ABS(AO21)*AP21+ABS(AQ21)*AR21+ABS(AS21)*AT21+ABS(AU21)*AV21+ABS(AW21)*AX21+ABS(AY21)*AZ21+ABS(BA21)*BB21+ABS(BC21)*BD21+ABS(BE21)*BF21+ABS(BG21)*BH21+ABS(BI21)*BJ21)</f>
        <v>0</v>
      </c>
      <c r="DG21" s="43" t="n">
        <f aca="false">ABS(BK21)*BL21+ABS(BM21)*BN21+ABS(BO21)*BP21+ABS(BQ21)*BR21+ABS(BS21)*BT21+ABS(BU21)*BV21+ABS(BW21)*BX21+ABS(BY21)*BZ21+ABS(CA21)*CB21+ABS(CC21)*CD21+ABS(CE21)*CF21+ABS(CG21)*CH21+ABS(CI21)*CJ21+ABS(CK21)*CL21+ABS(CM21)*CN21+ABS(CO21)*CP21+ABS(CQ21)*CR21+ABS(CS21)*CT21+ABS(CU21)*CV21+ABS(CW21)*CX21</f>
        <v>0</v>
      </c>
      <c r="DH21" s="43" t="n">
        <f aca="false">((H21-X21)*W21+(H21-Z21)*Y21+(H21-AB21)*AA21+(H21-AD21)*AC21+(H21-AF21)*AE21+(H21-AH21)*AG21+(H21-AJ21)*AI21+(H21-AL21)*AK21+(H21-AN21)*AM21+(H21-AP21)*AO21+(H21-AR21)*AQ21+(H21-AT21)*AS21+(H21-AV21)*AU21+(H21-AX21)*AW21+(H21-AZ21)*AY21+(H21-BB21)*BA21+(H21-BD21)*BC21+(H21-BF21)*BE21+(H21-BH21)*BG21+(H21-BJ21)*BI21)*DD21*DE21</f>
        <v>0</v>
      </c>
      <c r="DI21" s="43" t="n">
        <f aca="false">(((H21-BL21)*BK21+(H21-BN21)*BM21+(H21-BP21)*BO21+(H21-BR21)*BQ21+(H21-BT21)*BS21+(H21-BV21)*BU21+(H21-BX21)*BW21+(H21-BZ21)*BY21+(H21-CB21)*CA21+(H21-CD21)*CC21+(H21-CF21)*CE21+(H21-CH21)*CG21+(H21-CJ21)*CH21+(H21-CL21)*CK21+(H21-CN21)*CM21+(H21-CP21)*CO21+(H21-CR21)*CQ21+(H21-CT21)*CS21+(H21-CV21)*CU21+(H21-CX21)*CW21)*DD21*DE21)</f>
        <v>0</v>
      </c>
      <c r="DK21" s="85" t="n">
        <v>37144</v>
      </c>
      <c r="DL21" s="21" t="n">
        <v>-49.9999999999999</v>
      </c>
      <c r="DN21" s="21" t="n">
        <f aca="false">IF(AND(WEEKDAY(DK21)&gt;1,WEEKDAY(DK21)&lt;7),1,0)</f>
        <v>1</v>
      </c>
    </row>
    <row r="22" customFormat="false" ht="18.75" hidden="false" customHeight="false" outlineLevel="0" collapsed="false">
      <c r="A22" s="58" t="n">
        <f aca="false">'NYISO A'!A22</f>
        <v>37145</v>
      </c>
      <c r="B22" s="59" t="n">
        <f aca="false">+[3]NYZoneG!$L13/16</f>
        <v>1.24999999500525E-013</v>
      </c>
      <c r="C22" s="60" t="n">
        <f aca="false">CY22</f>
        <v>0</v>
      </c>
      <c r="D22" s="61" t="n">
        <f aca="false">(IF(MONTH(A22)=MONTH(EOMONTH(TradeDate,1)),$AP$70,0)*VLOOKUP(A22,$DK$12:$DN$43,4))</f>
        <v>0</v>
      </c>
      <c r="E22" s="62" t="n">
        <f aca="false">B22+C22+D22</f>
        <v>1.24999999500525E-013</v>
      </c>
      <c r="F22" s="63" t="n">
        <f aca="false">[3]NYZoneG!$C13</f>
        <v>40.5</v>
      </c>
      <c r="G22" s="63" t="n">
        <f aca="false">IF($Q$9,Q22,P22)</f>
        <v>0</v>
      </c>
      <c r="H22" s="64" t="n">
        <f aca="false">F22+G22</f>
        <v>40.5</v>
      </c>
      <c r="I22" s="65" t="n">
        <f aca="false">B22*G22*DD22</f>
        <v>0</v>
      </c>
      <c r="J22" s="66" t="n">
        <f aca="false">DH22+DI22</f>
        <v>0</v>
      </c>
      <c r="K22" s="66" t="n">
        <f aca="false">I22+J22</f>
        <v>0</v>
      </c>
      <c r="L22" s="98"/>
      <c r="M22" s="67" t="n">
        <f aca="false">A22</f>
        <v>37145</v>
      </c>
      <c r="N22" s="92" t="n">
        <v>40.5</v>
      </c>
      <c r="O22" s="92" t="n">
        <v>40.5</v>
      </c>
      <c r="P22" s="69" t="n">
        <f aca="false">AVERAGE(N22:O22)-F22</f>
        <v>0</v>
      </c>
      <c r="Q22" s="70"/>
      <c r="R22" s="91" t="n">
        <f aca="false">H22</f>
        <v>40.5</v>
      </c>
      <c r="S22" s="24"/>
      <c r="T22" s="24"/>
      <c r="U22" s="72"/>
      <c r="V22" s="73" t="n">
        <f aca="false">A22</f>
        <v>37145</v>
      </c>
      <c r="W22" s="77"/>
      <c r="X22" s="76"/>
      <c r="Y22" s="77"/>
      <c r="Z22" s="78"/>
      <c r="AA22" s="77"/>
      <c r="AB22" s="78"/>
      <c r="AC22" s="77"/>
      <c r="AD22" s="76"/>
      <c r="AE22" s="77"/>
      <c r="AF22" s="76"/>
      <c r="AG22" s="77"/>
      <c r="AH22" s="76"/>
      <c r="AI22" s="77"/>
      <c r="AJ22" s="78"/>
      <c r="AK22" s="77"/>
      <c r="AL22" s="76"/>
      <c r="AM22" s="77"/>
      <c r="AN22" s="76"/>
      <c r="AO22" s="77"/>
      <c r="AP22" s="78"/>
      <c r="AQ22" s="77"/>
      <c r="AR22" s="78"/>
      <c r="AS22" s="77"/>
      <c r="AT22" s="78"/>
      <c r="AU22" s="77"/>
      <c r="AV22" s="76"/>
      <c r="AW22" s="96"/>
      <c r="AX22" s="75"/>
      <c r="AY22" s="81"/>
      <c r="AZ22" s="75"/>
      <c r="BA22" s="77"/>
      <c r="BB22" s="78"/>
      <c r="BC22" s="77"/>
      <c r="BD22" s="78"/>
      <c r="BE22" s="77"/>
      <c r="BF22" s="78"/>
      <c r="BG22" s="81"/>
      <c r="BH22" s="75"/>
      <c r="BI22" s="81"/>
      <c r="BJ22" s="75"/>
      <c r="BK22" s="81"/>
      <c r="BL22" s="75"/>
      <c r="BM22" s="81"/>
      <c r="BN22" s="75"/>
      <c r="BO22" s="81"/>
      <c r="BP22" s="75"/>
      <c r="BQ22" s="81"/>
      <c r="BR22" s="75"/>
      <c r="BS22" s="81"/>
      <c r="BT22" s="75"/>
      <c r="BU22" s="81"/>
      <c r="BV22" s="75"/>
      <c r="BW22" s="81"/>
      <c r="BX22" s="75"/>
      <c r="BY22" s="81"/>
      <c r="BZ22" s="75"/>
      <c r="CA22" s="81"/>
      <c r="CB22" s="75"/>
      <c r="CC22" s="81"/>
      <c r="CD22" s="75"/>
      <c r="CE22" s="81"/>
      <c r="CF22" s="75"/>
      <c r="CG22" s="81"/>
      <c r="CH22" s="75"/>
      <c r="CI22" s="81"/>
      <c r="CJ22" s="75"/>
      <c r="CK22" s="81"/>
      <c r="CL22" s="75"/>
      <c r="CM22" s="81"/>
      <c r="CN22" s="75"/>
      <c r="CO22" s="81"/>
      <c r="CP22" s="75"/>
      <c r="CQ22" s="81"/>
      <c r="CR22" s="75"/>
      <c r="CS22" s="81"/>
      <c r="CT22" s="75"/>
      <c r="CU22" s="81"/>
      <c r="CV22" s="75"/>
      <c r="CW22" s="81"/>
      <c r="CX22" s="75"/>
      <c r="CY22" s="82" t="n">
        <f aca="false">W22+Y22+AA22+AC22+AE22+AG22+AI22+AK22+AM22+AO22+AQ22+AS22+AU22+AW22+AY22+BA22+BC22+BE22+BG22+BI22+BK22+BM22+BO22+BQ22+BS22+BU22+BW22+BY22+CA22+CC22+CE22+CG22+CI22+CK22+CM22+CO22+CQ22+CS22+CU22+CW22</f>
        <v>0</v>
      </c>
      <c r="CZ22" s="83" t="n">
        <f aca="false">IF(AND(CY22=0,DC22=0),0,(DF22+DG22)/DC22)</f>
        <v>0</v>
      </c>
      <c r="DA22" s="84" t="n">
        <f aca="false">DC22*DD22</f>
        <v>0</v>
      </c>
      <c r="DB22" s="85" t="n">
        <f aca="false">V22</f>
        <v>37145</v>
      </c>
      <c r="DC22" s="84" t="n">
        <f aca="false">ABS(W22)+ABS(Y22)+ABS(AA22)+ABS(AC22)+ABS(AE22)+ABS(AG22)+ABS(AI22)+ABS(AK22)+ABS(AM22)+ABS(AO22)+ABS(AQ22)+ABS(AS22)+ABS(AU22)+ABS(AW22)+ABS(AY22)+ABS(BA22)+ABS(BC22)+ABS(BE22)+ABS(BG22)+ABS(BI22)+ABS(BK22)+ABS(BM22)+ABS(BO22)+ABS(BQ22)+ABS(BS22)+ABS(BU22)+ABS(BW22)+ABS(BY22)+ABS(CA22)+ABS(CC22)+ABS(CE22)+ABS(CG22)+ABS(CI22)+ABS(CK22)+ABS(CM22)+ABS(CO22)+ABS(CQ22)+ABS(CS22)+ABS(CU22)+ABS(CW22)</f>
        <v>0</v>
      </c>
      <c r="DD22" s="86" t="n">
        <v>16</v>
      </c>
      <c r="DE22" s="84" t="n">
        <v>1</v>
      </c>
      <c r="DF22" s="43" t="n">
        <f aca="false">(ABS(W22)*X22+ABS(Y22)*Z22+ABS(AA22)*AB22+ABS(AC22)*AD22+ABS(AE22)*AF22+ABS(AG22)*AH22+ABS(AI22)*AJ22+ABS(AK22)*AL22+ABS(AM22)*AN22+ABS(AO22)*AP22+ABS(AQ22)*AR22+ABS(AS22)*AT22+ABS(AU22)*AV22+ABS(AW22)*AX22+ABS(AY22)*AZ22+ABS(BA22)*BB22+ABS(BC22)*BD22+ABS(BE22)*BF22+ABS(BG22)*BH22+ABS(BI22)*BJ22)</f>
        <v>0</v>
      </c>
      <c r="DG22" s="43" t="n">
        <f aca="false">ABS(BK22)*BL22+ABS(BM22)*BN22+ABS(BO22)*BP22+ABS(BQ22)*BR22+ABS(BS22)*BT22+ABS(BU22)*BV22+ABS(BW22)*BX22+ABS(BY22)*BZ22+ABS(CA22)*CB22+ABS(CC22)*CD22+ABS(CE22)*CF22+ABS(CG22)*CH22+ABS(CI22)*CJ22+ABS(CK22)*CL22+ABS(CM22)*CN22+ABS(CO22)*CP22+ABS(CQ22)*CR22+ABS(CS22)*CT22+ABS(CU22)*CV22+ABS(CW22)*CX22</f>
        <v>0</v>
      </c>
      <c r="DH22" s="43" t="n">
        <f aca="false">((H22-X22)*W22+(H22-Z22)*Y22+(H22-AB22)*AA22+(H22-AD22)*AC22+(H22-AF22)*AE22+(H22-AH22)*AG22+(H22-AJ22)*AI22+(H22-AL22)*AK22+(H22-AN22)*AM22+(H22-AP22)*AO22+(H22-AR22)*AQ22+(H22-AT22)*AS22+(H22-AV22)*AU22+(H22-AX22)*AW22+(H22-AZ22)*AY22+(H22-BB22)*BA22+(H22-BD22)*BC22+(H22-BF22)*BE22+(H22-BH22)*BG22+(H22-BJ22)*BI22)*DD22*DE22</f>
        <v>0</v>
      </c>
      <c r="DI22" s="43" t="n">
        <f aca="false">(((H22-BL22)*BK22+(H22-BN22)*BM22+(H22-BP22)*BO22+(H22-BR22)*BQ22+(H22-BT22)*BS22+(H22-BV22)*BU22+(H22-BX22)*BW22+(H22-BZ22)*BY22+(H22-CB22)*CA22+(H22-CD22)*CC22+(H22-CF22)*CE22+(H22-CH22)*CG22+(H22-CJ22)*CH22+(H22-CL22)*CK22+(H22-CN22)*CM22+(H22-CP22)*CO22+(H22-CR22)*CQ22+(H22-CT22)*CS22+(H22-CV22)*CU22+(H22-CX22)*CW22)*DD22*DE22)</f>
        <v>0</v>
      </c>
      <c r="DK22" s="85" t="n">
        <v>37145</v>
      </c>
      <c r="DL22" s="21" t="n">
        <v>-49.9999999999999</v>
      </c>
      <c r="DN22" s="21" t="n">
        <f aca="false">IF(AND(WEEKDAY(DK22)&gt;1,WEEKDAY(DK22)&lt;7),1,0)</f>
        <v>1</v>
      </c>
    </row>
    <row r="23" customFormat="false" ht="18.75" hidden="false" customHeight="false" outlineLevel="0" collapsed="false">
      <c r="A23" s="58" t="n">
        <f aca="false">'NYISO A'!A23</f>
        <v>37146</v>
      </c>
      <c r="B23" s="59" t="n">
        <f aca="false">+[3]NYZoneG!$L14/16</f>
        <v>1.24999999500525E-013</v>
      </c>
      <c r="C23" s="101" t="n">
        <f aca="false">CY23</f>
        <v>0</v>
      </c>
      <c r="D23" s="87" t="n">
        <f aca="false">(IF(MONTH(A23)=MONTH(EOMONTH(TradeDate,1)),$AP$70,0)*VLOOKUP(A23,$DK$12:$DN$43,4))</f>
        <v>0</v>
      </c>
      <c r="E23" s="62" t="n">
        <f aca="false">B23+C23+D23</f>
        <v>1.24999999500525E-013</v>
      </c>
      <c r="F23" s="63" t="n">
        <f aca="false">[3]NYZoneG!$C14</f>
        <v>40.5</v>
      </c>
      <c r="G23" s="88" t="n">
        <f aca="false">IF($Q$9,Q23,P23)</f>
        <v>0</v>
      </c>
      <c r="H23" s="89" t="n">
        <f aca="false">F23+G23</f>
        <v>40.5</v>
      </c>
      <c r="I23" s="87" t="n">
        <f aca="false">B23*G23*DD23</f>
        <v>0</v>
      </c>
      <c r="J23" s="66" t="n">
        <f aca="false">DH23+DI23</f>
        <v>0</v>
      </c>
      <c r="K23" s="90" t="n">
        <f aca="false">I23+J23</f>
        <v>0</v>
      </c>
      <c r="L23" s="98"/>
      <c r="M23" s="67" t="n">
        <f aca="false">A23</f>
        <v>37146</v>
      </c>
      <c r="N23" s="92" t="n">
        <v>40.5</v>
      </c>
      <c r="O23" s="92" t="n">
        <v>40.5</v>
      </c>
      <c r="P23" s="69" t="n">
        <f aca="false">AVERAGE(N23:O23)-F23</f>
        <v>0</v>
      </c>
      <c r="Q23" s="70"/>
      <c r="R23" s="91" t="n">
        <f aca="false">H23</f>
        <v>40.5</v>
      </c>
      <c r="S23" s="24"/>
      <c r="T23" s="24"/>
      <c r="U23" s="72"/>
      <c r="V23" s="73" t="n">
        <f aca="false">A23</f>
        <v>37146</v>
      </c>
      <c r="W23" s="77"/>
      <c r="X23" s="76"/>
      <c r="Y23" s="77"/>
      <c r="Z23" s="78"/>
      <c r="AA23" s="77"/>
      <c r="AB23" s="78"/>
      <c r="AC23" s="77"/>
      <c r="AD23" s="76"/>
      <c r="AE23" s="77"/>
      <c r="AF23" s="76"/>
      <c r="AG23" s="77"/>
      <c r="AH23" s="78"/>
      <c r="AI23" s="74"/>
      <c r="AJ23" s="76"/>
      <c r="AK23" s="77"/>
      <c r="AL23" s="76"/>
      <c r="AM23" s="77"/>
      <c r="AN23" s="76"/>
      <c r="AO23" s="77"/>
      <c r="AP23" s="78"/>
      <c r="AQ23" s="77"/>
      <c r="AR23" s="78"/>
      <c r="AS23" s="77"/>
      <c r="AT23" s="78"/>
      <c r="AU23" s="77"/>
      <c r="AV23" s="76"/>
      <c r="AW23" s="96"/>
      <c r="AX23" s="75"/>
      <c r="AY23" s="81"/>
      <c r="AZ23" s="75"/>
      <c r="BA23" s="77"/>
      <c r="BB23" s="78"/>
      <c r="BC23" s="77"/>
      <c r="BD23" s="78"/>
      <c r="BE23" s="77"/>
      <c r="BF23" s="78"/>
      <c r="BG23" s="81"/>
      <c r="BH23" s="75"/>
      <c r="BI23" s="81"/>
      <c r="BJ23" s="75"/>
      <c r="BK23" s="81"/>
      <c r="BL23" s="75"/>
      <c r="BM23" s="81"/>
      <c r="BN23" s="75"/>
      <c r="BO23" s="81"/>
      <c r="BP23" s="75"/>
      <c r="BQ23" s="81"/>
      <c r="BR23" s="75"/>
      <c r="BS23" s="81"/>
      <c r="BT23" s="75"/>
      <c r="BU23" s="81"/>
      <c r="BV23" s="75"/>
      <c r="BW23" s="81"/>
      <c r="BX23" s="75"/>
      <c r="BY23" s="81"/>
      <c r="BZ23" s="75"/>
      <c r="CA23" s="81"/>
      <c r="CB23" s="75"/>
      <c r="CC23" s="81"/>
      <c r="CD23" s="75"/>
      <c r="CE23" s="81"/>
      <c r="CF23" s="75"/>
      <c r="CG23" s="81"/>
      <c r="CH23" s="75"/>
      <c r="CI23" s="81"/>
      <c r="CJ23" s="75"/>
      <c r="CK23" s="81"/>
      <c r="CL23" s="75"/>
      <c r="CM23" s="81"/>
      <c r="CN23" s="75"/>
      <c r="CO23" s="81"/>
      <c r="CP23" s="75"/>
      <c r="CQ23" s="81"/>
      <c r="CR23" s="75"/>
      <c r="CS23" s="81"/>
      <c r="CT23" s="75"/>
      <c r="CU23" s="81"/>
      <c r="CV23" s="75"/>
      <c r="CW23" s="81"/>
      <c r="CX23" s="75"/>
      <c r="CY23" s="82" t="n">
        <f aca="false">W23+Y23+AA23+AC23+AE23+AG23+AI23+AK23+AM23+AO23+AQ23+AS23+AU23+AW23+AY23+BA23+BC23+BE23+BG23+BI23+BK23+BM23+BO23+BQ23+BS23+BU23+BW23+BY23+CA23+CC23+CE23+CG23+CI23+CK23+CM23+CO23+CQ23+CS23+CU23+CW23</f>
        <v>0</v>
      </c>
      <c r="CZ23" s="83" t="n">
        <f aca="false">IF(AND(CY23=0,DC23=0),0,(DF23+DG23)/DC23)</f>
        <v>0</v>
      </c>
      <c r="DA23" s="84" t="n">
        <f aca="false">DC23*DD23</f>
        <v>0</v>
      </c>
      <c r="DB23" s="85" t="n">
        <f aca="false">V23</f>
        <v>37146</v>
      </c>
      <c r="DC23" s="84" t="n">
        <f aca="false">ABS(W23)+ABS(Y23)+ABS(AA23)+ABS(AC23)+ABS(AE23)+ABS(AG23)+ABS(AI23)+ABS(AK23)+ABS(AM23)+ABS(AO23)+ABS(AQ23)+ABS(AS23)+ABS(AU23)+ABS(AW23)+ABS(AY23)+ABS(BA23)+ABS(BC23)+ABS(BE23)+ABS(BG23)+ABS(BI23)+ABS(BK23)+ABS(BM23)+ABS(BO23)+ABS(BQ23)+ABS(BS23)+ABS(BU23)+ABS(BW23)+ABS(BY23)+ABS(CA23)+ABS(CC23)+ABS(CE23)+ABS(CG23)+ABS(CI23)+ABS(CK23)+ABS(CM23)+ABS(CO23)+ABS(CQ23)+ABS(CS23)+ABS(CU23)+ABS(CW23)</f>
        <v>0</v>
      </c>
      <c r="DD23" s="86" t="n">
        <v>16</v>
      </c>
      <c r="DE23" s="84" t="n">
        <v>1</v>
      </c>
      <c r="DF23" s="43" t="n">
        <f aca="false">(ABS(W23)*X23+ABS(Y23)*Z23+ABS(AA23)*AB23+ABS(AC23)*AD23+ABS(AE23)*AF23+ABS(AG23)*AH23+ABS(AI23)*AJ23+ABS(AK23)*AL23+ABS(AM23)*AN23+ABS(AO23)*AP23+ABS(AQ23)*AR23+ABS(AS23)*AT23+ABS(AU23)*AV23+ABS(AW23)*AX23+ABS(AY23)*AZ23+ABS(BA23)*BB23+ABS(BC23)*BD23+ABS(BE23)*BF23+ABS(BG23)*BH23+ABS(BI23)*BJ23)</f>
        <v>0</v>
      </c>
      <c r="DG23" s="43" t="n">
        <f aca="false">ABS(BK23)*BL23+ABS(BM23)*BN23+ABS(BO23)*BP23+ABS(BQ23)*BR23+ABS(BS23)*BT23+ABS(BU23)*BV23+ABS(BW23)*BX23+ABS(BY23)*BZ23+ABS(CA23)*CB23+ABS(CC23)*CD23+ABS(CE23)*CF23+ABS(CG23)*CH23+ABS(CI23)*CJ23+ABS(CK23)*CL23+ABS(CM23)*CN23+ABS(CO23)*CP23+ABS(CQ23)*CR23+ABS(CS23)*CT23+ABS(CU23)*CV23+ABS(CW23)*CX23</f>
        <v>0</v>
      </c>
      <c r="DH23" s="43" t="n">
        <f aca="false">((H23-X23)*W23+(H23-Z23)*Y23+(H23-AB23)*AA23+(H23-AD23)*AC23+(H23-AF23)*AE23+(H23-AH23)*AG23+(H23-AJ23)*AI23+(H23-AL23)*AK23+(H23-AN23)*AM23+(H23-AP23)*AO23+(H23-AR23)*AQ23+(H23-AT23)*AS23+(H23-AV23)*AU23+(H23-AX23)*AW23+(H23-AZ23)*AY23+(H23-BB23)*BA23+(H23-BD23)*BC23+(H23-BF23)*BE23+(H23-BH23)*BG23+(H23-BJ23)*BI23)*DD23*DE23</f>
        <v>0</v>
      </c>
      <c r="DI23" s="43" t="n">
        <f aca="false">(((H23-BL23)*BK23+(H23-BN23)*BM23+(H23-BP23)*BO23+(H23-BR23)*BQ23+(H23-BT23)*BS23+(H23-BV23)*BU23+(H23-BX23)*BW23+(H23-BZ23)*BY23+(H23-CB23)*CA23+(H23-CD23)*CC23+(H23-CF23)*CE23+(H23-CH23)*CG23+(H23-CJ23)*CH23+(H23-CL23)*CK23+(H23-CN23)*CM23+(H23-CP23)*CO23+(H23-CR23)*CQ23+(H23-CT23)*CS23+(H23-CV23)*CU23+(H23-CX23)*CW23)*DD23*DE23)</f>
        <v>0</v>
      </c>
      <c r="DK23" s="85" t="n">
        <v>37146</v>
      </c>
      <c r="DL23" s="21" t="n">
        <v>-49.9999999999999</v>
      </c>
      <c r="DM23" s="21" t="n">
        <f aca="false">[5]NEPOOL!$L10</f>
        <v>-1189.7</v>
      </c>
      <c r="DN23" s="21" t="n">
        <f aca="false">IF(AND(WEEKDAY(DK23)&gt;1,WEEKDAY(DK23)&lt;7),1,0)</f>
        <v>1</v>
      </c>
    </row>
    <row r="24" customFormat="false" ht="18.75" hidden="false" customHeight="false" outlineLevel="0" collapsed="false">
      <c r="A24" s="58" t="n">
        <f aca="false">'NYISO A'!A24</f>
        <v>37147</v>
      </c>
      <c r="B24" s="59" t="n">
        <f aca="false">+[3]NYZoneG!$L15/16</f>
        <v>1.24999999500525E-013</v>
      </c>
      <c r="C24" s="60" t="n">
        <f aca="false">CY24</f>
        <v>0</v>
      </c>
      <c r="D24" s="61" t="n">
        <f aca="false">(IF(MONTH(A24)=MONTH(EOMONTH(TradeDate,1)),$AP$70,0)*VLOOKUP(A24,$DK$12:$DN$43,4))</f>
        <v>0</v>
      </c>
      <c r="E24" s="62" t="n">
        <f aca="false">B24+C24+D24</f>
        <v>1.24999999500525E-013</v>
      </c>
      <c r="F24" s="63" t="n">
        <f aca="false">[3]NYZoneG!$C15</f>
        <v>40.5</v>
      </c>
      <c r="G24" s="63" t="n">
        <f aca="false">IF($Q$9,Q24,P24)</f>
        <v>0</v>
      </c>
      <c r="H24" s="64" t="n">
        <f aca="false">F24+G24</f>
        <v>40.5</v>
      </c>
      <c r="I24" s="65" t="n">
        <f aca="false">B24*G24*DD24</f>
        <v>0</v>
      </c>
      <c r="J24" s="66" t="n">
        <f aca="false">DH24+DI24</f>
        <v>0</v>
      </c>
      <c r="K24" s="66" t="n">
        <f aca="false">I24+J24</f>
        <v>0</v>
      </c>
      <c r="L24" s="98"/>
      <c r="M24" s="67" t="n">
        <f aca="false">A24</f>
        <v>37147</v>
      </c>
      <c r="N24" s="92" t="n">
        <v>40.5</v>
      </c>
      <c r="O24" s="92" t="n">
        <v>40.5</v>
      </c>
      <c r="P24" s="69" t="n">
        <f aca="false">AVERAGE(N24:O24)-F24</f>
        <v>0</v>
      </c>
      <c r="Q24" s="70"/>
      <c r="R24" s="91" t="n">
        <f aca="false">H24</f>
        <v>40.5</v>
      </c>
      <c r="S24" s="24"/>
      <c r="T24" s="24"/>
      <c r="U24" s="72"/>
      <c r="V24" s="73" t="n">
        <f aca="false">A24</f>
        <v>37147</v>
      </c>
      <c r="W24" s="77"/>
      <c r="X24" s="76"/>
      <c r="Y24" s="77"/>
      <c r="Z24" s="78"/>
      <c r="AA24" s="77"/>
      <c r="AB24" s="78"/>
      <c r="AC24" s="77"/>
      <c r="AD24" s="76"/>
      <c r="AE24" s="77"/>
      <c r="AF24" s="76"/>
      <c r="AG24" s="77"/>
      <c r="AH24" s="76"/>
      <c r="AI24" s="74"/>
      <c r="AJ24" s="76"/>
      <c r="AK24" s="77"/>
      <c r="AL24" s="76"/>
      <c r="AM24" s="77"/>
      <c r="AN24" s="76"/>
      <c r="AO24" s="77"/>
      <c r="AP24" s="78"/>
      <c r="AQ24" s="77"/>
      <c r="AR24" s="78"/>
      <c r="AS24" s="77"/>
      <c r="AT24" s="78"/>
      <c r="AU24" s="77"/>
      <c r="AV24" s="76"/>
      <c r="AW24" s="96"/>
      <c r="AX24" s="75"/>
      <c r="AY24" s="81"/>
      <c r="AZ24" s="75"/>
      <c r="BA24" s="77"/>
      <c r="BB24" s="78"/>
      <c r="BC24" s="77"/>
      <c r="BD24" s="78"/>
      <c r="BE24" s="77"/>
      <c r="BF24" s="78"/>
      <c r="BG24" s="81"/>
      <c r="BH24" s="75"/>
      <c r="BI24" s="81"/>
      <c r="BJ24" s="75"/>
      <c r="BK24" s="81"/>
      <c r="BL24" s="75"/>
      <c r="BM24" s="81"/>
      <c r="BN24" s="75"/>
      <c r="BO24" s="81"/>
      <c r="BP24" s="75"/>
      <c r="BQ24" s="81"/>
      <c r="BR24" s="75"/>
      <c r="BS24" s="81"/>
      <c r="BT24" s="75"/>
      <c r="BU24" s="81"/>
      <c r="BV24" s="75"/>
      <c r="BW24" s="81"/>
      <c r="BX24" s="75"/>
      <c r="BY24" s="81"/>
      <c r="BZ24" s="75"/>
      <c r="CA24" s="81"/>
      <c r="CB24" s="75"/>
      <c r="CC24" s="81"/>
      <c r="CD24" s="75"/>
      <c r="CE24" s="81"/>
      <c r="CF24" s="75"/>
      <c r="CG24" s="81"/>
      <c r="CH24" s="75"/>
      <c r="CI24" s="81"/>
      <c r="CJ24" s="75"/>
      <c r="CK24" s="81"/>
      <c r="CL24" s="75"/>
      <c r="CM24" s="81"/>
      <c r="CN24" s="75"/>
      <c r="CO24" s="81"/>
      <c r="CP24" s="75"/>
      <c r="CQ24" s="81"/>
      <c r="CR24" s="75"/>
      <c r="CS24" s="81"/>
      <c r="CT24" s="75"/>
      <c r="CU24" s="81"/>
      <c r="CV24" s="75"/>
      <c r="CW24" s="81"/>
      <c r="CX24" s="75"/>
      <c r="CY24" s="82" t="n">
        <f aca="false">W24+Y24+AA24+AC24+AE24+AG24+AI24+AK24+AM24+AO24+AQ24+AS24+AU24+AW24+AY24+BA24+BC24+BE24+BG24+BI24+BK24+BM24+BO24+BQ24+BS24+BU24+BW24+BY24+CA24+CC24+CE24+CG24+CI24+CK24+CM24+CO24+CQ24+CS24+CU24+CW24</f>
        <v>0</v>
      </c>
      <c r="CZ24" s="83" t="n">
        <f aca="false">IF(AND(CY24=0,DC24=0),0,(DF24+DG24)/DC24)</f>
        <v>0</v>
      </c>
      <c r="DA24" s="84" t="n">
        <f aca="false">DC24*DD24</f>
        <v>0</v>
      </c>
      <c r="DB24" s="85" t="n">
        <f aca="false">V24</f>
        <v>37147</v>
      </c>
      <c r="DC24" s="84" t="n">
        <f aca="false">ABS(W24)+ABS(Y24)+ABS(AA24)+ABS(AC24)+ABS(AE24)+ABS(AG24)+ABS(AI24)+ABS(AK24)+ABS(AM24)+ABS(AO24)+ABS(AQ24)+ABS(AS24)+ABS(AU24)+ABS(AW24)+ABS(AY24)+ABS(BA24)+ABS(BC24)+ABS(BE24)+ABS(BG24)+ABS(BI24)+ABS(BK24)+ABS(BM24)+ABS(BO24)+ABS(BQ24)+ABS(BS24)+ABS(BU24)+ABS(BW24)+ABS(BY24)+ABS(CA24)+ABS(CC24)+ABS(CE24)+ABS(CG24)+ABS(CI24)+ABS(CK24)+ABS(CM24)+ABS(CO24)+ABS(CQ24)+ABS(CS24)+ABS(CU24)+ABS(CW24)</f>
        <v>0</v>
      </c>
      <c r="DD24" s="86" t="n">
        <v>16</v>
      </c>
      <c r="DE24" s="84" t="n">
        <v>1</v>
      </c>
      <c r="DF24" s="43" t="n">
        <f aca="false">(ABS(W24)*X24+ABS(Y24)*Z24+ABS(AA24)*AB24+ABS(AC24)*AD24+ABS(AE24)*AF24+ABS(AG24)*AH24+ABS(AI24)*AJ24+ABS(AK24)*AL24+ABS(AM24)*AN24+ABS(AO24)*AP24+ABS(AQ24)*AR24+ABS(AS24)*AT24+ABS(AU24)*AV24+ABS(AW24)*AX24+ABS(AY24)*AZ24+ABS(BA24)*BB24+ABS(BC24)*BD24+ABS(BE24)*BF24+ABS(BG24)*BH24+ABS(BI24)*BJ24)</f>
        <v>0</v>
      </c>
      <c r="DG24" s="43" t="n">
        <f aca="false">ABS(BK24)*BL24+ABS(BM24)*BN24+ABS(BO24)*BP24+ABS(BQ24)*BR24+ABS(BS24)*BT24+ABS(BU24)*BV24+ABS(BW24)*BX24+ABS(BY24)*BZ24+ABS(CA24)*CB24+ABS(CC24)*CD24+ABS(CE24)*CF24+ABS(CG24)*CH24+ABS(CI24)*CJ24+ABS(CK24)*CL24+ABS(CM24)*CN24+ABS(CO24)*CP24+ABS(CQ24)*CR24+ABS(CS24)*CT24+ABS(CU24)*CV24+ABS(CW24)*CX24</f>
        <v>0</v>
      </c>
      <c r="DH24" s="43" t="n">
        <f aca="false">((H24-X24)*W24+(H24-Z24)*Y24+(H24-AB24)*AA24+(H24-AD24)*AC24+(H24-AF24)*AE24+(H24-AH24)*AG24+(H24-AJ24)*AI24+(H24-AL24)*AK24+(H24-AN24)*AM24+(H24-AP24)*AO24+(H24-AR24)*AQ24+(H24-AT24)*AS24+(H24-AV24)*AU24+(H24-AX24)*AW24+(H24-AZ24)*AY24+(H24-BB24)*BA24+(H24-BD24)*BC24+(H24-BF24)*BE24+(H24-BH24)*BG24+(H24-BJ24)*BI24)*DD24*DE24</f>
        <v>0</v>
      </c>
      <c r="DI24" s="43" t="n">
        <f aca="false">(((H24-BL24)*BK24+(H24-BN24)*BM24+(H24-BP24)*BO24+(H24-BR24)*BQ24+(H24-BT24)*BS24+(H24-BV24)*BU24+(H24-BX24)*BW24+(H24-BZ24)*BY24+(H24-CB24)*CA24+(H24-CD24)*CC24+(H24-CF24)*CE24+(H24-CH24)*CG24+(H24-CJ24)*CH24+(H24-CL24)*CK24+(H24-CN24)*CM24+(H24-CP24)*CO24+(H24-CR24)*CQ24+(H24-CT24)*CS24+(H24-CV24)*CU24+(H24-CX24)*CW24)*DD24*DE24)</f>
        <v>0</v>
      </c>
      <c r="DK24" s="85" t="n">
        <v>37147</v>
      </c>
      <c r="DL24" s="21" t="n">
        <v>-49.9999999999999</v>
      </c>
      <c r="DM24" s="21" t="n">
        <f aca="false">[5]NEPOOL!$L11</f>
        <v>-1189.7</v>
      </c>
      <c r="DN24" s="21" t="n">
        <f aca="false">IF(AND(WEEKDAY(DK24)&gt;1,WEEKDAY(DK24)&lt;7),1,0)</f>
        <v>1</v>
      </c>
    </row>
    <row r="25" customFormat="false" ht="18.75" hidden="false" customHeight="false" outlineLevel="0" collapsed="false">
      <c r="A25" s="58" t="n">
        <f aca="false">'NYISO A'!A25</f>
        <v>37148</v>
      </c>
      <c r="B25" s="59" t="n">
        <f aca="false">+[3]NYZoneG!$L16/16</f>
        <v>1.24999999500525E-013</v>
      </c>
      <c r="C25" s="101" t="n">
        <f aca="false">CY25</f>
        <v>0</v>
      </c>
      <c r="D25" s="87" t="n">
        <f aca="false">(IF(MONTH(A25)=MONTH(EOMONTH(TradeDate,1)),$AP$70,0)*VLOOKUP(A25,$DK$12:$DN$43,4))</f>
        <v>0</v>
      </c>
      <c r="E25" s="62" t="n">
        <f aca="false">B25+C25+D25</f>
        <v>1.24999999500525E-013</v>
      </c>
      <c r="F25" s="63" t="n">
        <f aca="false">[3]NYZoneG!$C16</f>
        <v>40.5</v>
      </c>
      <c r="G25" s="88" t="n">
        <f aca="false">IF($Q$9,Q25,P25)</f>
        <v>0</v>
      </c>
      <c r="H25" s="89" t="n">
        <f aca="false">F25+G25</f>
        <v>40.5</v>
      </c>
      <c r="I25" s="87" t="n">
        <f aca="false">B25*G25*DD25</f>
        <v>0</v>
      </c>
      <c r="J25" s="66" t="n">
        <f aca="false">DH25+DI25</f>
        <v>0</v>
      </c>
      <c r="K25" s="90" t="n">
        <f aca="false">I25+J25</f>
        <v>0</v>
      </c>
      <c r="L25" s="98"/>
      <c r="M25" s="67" t="n">
        <f aca="false">A25</f>
        <v>37148</v>
      </c>
      <c r="N25" s="92" t="n">
        <v>40.5</v>
      </c>
      <c r="O25" s="92" t="n">
        <v>40.5</v>
      </c>
      <c r="P25" s="69" t="n">
        <f aca="false">AVERAGE(N25:O25)-F25</f>
        <v>0</v>
      </c>
      <c r="Q25" s="70"/>
      <c r="R25" s="91" t="n">
        <f aca="false">H25</f>
        <v>40.5</v>
      </c>
      <c r="S25" s="24"/>
      <c r="T25" s="24"/>
      <c r="U25" s="72"/>
      <c r="V25" s="73" t="n">
        <f aca="false">A25</f>
        <v>37148</v>
      </c>
      <c r="W25" s="77"/>
      <c r="X25" s="76"/>
      <c r="Y25" s="77"/>
      <c r="Z25" s="78"/>
      <c r="AA25" s="77"/>
      <c r="AB25" s="78"/>
      <c r="AC25" s="77"/>
      <c r="AD25" s="76"/>
      <c r="AE25" s="77"/>
      <c r="AF25" s="76"/>
      <c r="AG25" s="77"/>
      <c r="AH25" s="76"/>
      <c r="AI25" s="74"/>
      <c r="AJ25" s="76"/>
      <c r="AK25" s="77"/>
      <c r="AL25" s="76"/>
      <c r="AM25" s="77"/>
      <c r="AN25" s="76"/>
      <c r="AO25" s="77"/>
      <c r="AP25" s="78"/>
      <c r="AQ25" s="77"/>
      <c r="AR25" s="78"/>
      <c r="AS25" s="77"/>
      <c r="AT25" s="78"/>
      <c r="AU25" s="77"/>
      <c r="AV25" s="76"/>
      <c r="AW25" s="96"/>
      <c r="AX25" s="75"/>
      <c r="AY25" s="81"/>
      <c r="AZ25" s="75"/>
      <c r="BA25" s="77"/>
      <c r="BB25" s="78"/>
      <c r="BC25" s="77"/>
      <c r="BD25" s="78"/>
      <c r="BE25" s="77"/>
      <c r="BF25" s="78"/>
      <c r="BG25" s="81"/>
      <c r="BH25" s="75"/>
      <c r="BI25" s="81"/>
      <c r="BJ25" s="75"/>
      <c r="BK25" s="81"/>
      <c r="BL25" s="75"/>
      <c r="BM25" s="81"/>
      <c r="BN25" s="75"/>
      <c r="BO25" s="81"/>
      <c r="BP25" s="75"/>
      <c r="BQ25" s="81"/>
      <c r="BR25" s="75"/>
      <c r="BS25" s="81"/>
      <c r="BT25" s="75"/>
      <c r="BU25" s="81"/>
      <c r="BV25" s="75"/>
      <c r="BW25" s="81"/>
      <c r="BX25" s="75"/>
      <c r="BY25" s="81"/>
      <c r="BZ25" s="75"/>
      <c r="CA25" s="81"/>
      <c r="CB25" s="75"/>
      <c r="CC25" s="81"/>
      <c r="CD25" s="75"/>
      <c r="CE25" s="81"/>
      <c r="CF25" s="75"/>
      <c r="CG25" s="81"/>
      <c r="CH25" s="75"/>
      <c r="CI25" s="81"/>
      <c r="CJ25" s="75"/>
      <c r="CK25" s="81"/>
      <c r="CL25" s="75"/>
      <c r="CM25" s="81"/>
      <c r="CN25" s="75"/>
      <c r="CO25" s="81"/>
      <c r="CP25" s="75"/>
      <c r="CQ25" s="81"/>
      <c r="CR25" s="75"/>
      <c r="CS25" s="81"/>
      <c r="CT25" s="75"/>
      <c r="CU25" s="81"/>
      <c r="CV25" s="75"/>
      <c r="CW25" s="81"/>
      <c r="CX25" s="75"/>
      <c r="CY25" s="82" t="n">
        <f aca="false">W25+Y25+AA25+AC25+AE25+AG25+AI25+AK25+AM25+AO25+AQ25+AS25+AU25+AW25+AY25+BA25+BC25+BE25+BG25+BI25+BK25+BM25+BO25+BQ25+BS25+BU25+BW25+BY25+CA25+CC25+CE25+CG25+CI25+CK25+CM25+CO25+CQ25+CS25+CU25+CW25</f>
        <v>0</v>
      </c>
      <c r="CZ25" s="83" t="n">
        <f aca="false">IF(AND(CY25=0,DC25=0),0,(DF25+DG25)/DC25)</f>
        <v>0</v>
      </c>
      <c r="DA25" s="84" t="n">
        <f aca="false">DC25*DD25</f>
        <v>0</v>
      </c>
      <c r="DB25" s="85" t="n">
        <f aca="false">V25</f>
        <v>37148</v>
      </c>
      <c r="DC25" s="84" t="n">
        <f aca="false">ABS(W25)+ABS(Y25)+ABS(AA25)+ABS(AC25)+ABS(AE25)+ABS(AG25)+ABS(AI25)+ABS(AK25)+ABS(AM25)+ABS(AO25)+ABS(AQ25)+ABS(AS25)+ABS(AU25)+ABS(AW25)+ABS(AY25)+ABS(BA25)+ABS(BC25)+ABS(BE25)+ABS(BG25)+ABS(BI25)+ABS(BK25)+ABS(BM25)+ABS(BO25)+ABS(BQ25)+ABS(BS25)+ABS(BU25)+ABS(BW25)+ABS(BY25)+ABS(CA25)+ABS(CC25)+ABS(CE25)+ABS(CG25)+ABS(CI25)+ABS(CK25)+ABS(CM25)+ABS(CO25)+ABS(CQ25)+ABS(CS25)+ABS(CU25)+ABS(CW25)</f>
        <v>0</v>
      </c>
      <c r="DD25" s="86" t="n">
        <v>16</v>
      </c>
      <c r="DE25" s="84" t="n">
        <v>1</v>
      </c>
      <c r="DF25" s="43" t="n">
        <f aca="false">(ABS(W25)*X25+ABS(Y25)*Z25+ABS(AA25)*AB25+ABS(AC25)*AD25+ABS(AE25)*AF25+ABS(AG25)*AH25+ABS(AI25)*AJ25+ABS(AK25)*AL25+ABS(AM25)*AN25+ABS(AO25)*AP25+ABS(AQ25)*AR25+ABS(AS25)*AT25+ABS(AU25)*AV25+ABS(AW25)*AX25+ABS(AY25)*AZ25+ABS(BA25)*BB25+ABS(BC25)*BD25+ABS(BE25)*BF25+ABS(BG25)*BH25+ABS(BI25)*BJ25)</f>
        <v>0</v>
      </c>
      <c r="DG25" s="43" t="n">
        <f aca="false">ABS(BK25)*BL25+ABS(BM25)*BN25+ABS(BO25)*BP25+ABS(BQ25)*BR25+ABS(BS25)*BT25+ABS(BU25)*BV25+ABS(BW25)*BX25+ABS(BY25)*BZ25+ABS(CA25)*CB25+ABS(CC25)*CD25+ABS(CE25)*CF25+ABS(CG25)*CH25+ABS(CI25)*CJ25+ABS(CK25)*CL25+ABS(CM25)*CN25+ABS(CO25)*CP25+ABS(CQ25)*CR25+ABS(CS25)*CT25+ABS(CU25)*CV25+ABS(CW25)*CX25</f>
        <v>0</v>
      </c>
      <c r="DH25" s="43" t="n">
        <f aca="false">((H25-X25)*W25+(H25-Z25)*Y25+(H25-AB25)*AA25+(H25-AD25)*AC25+(H25-AF25)*AE25+(H25-AH25)*AG25+(H25-AJ25)*AI25+(H25-AL25)*AK25+(H25-AN25)*AM25+(H25-AP25)*AO25+(H25-AR25)*AQ25+(H25-AT25)*AS25+(H25-AV25)*AU25+(H25-AX25)*AW25+(H25-AZ25)*AY25+(H25-BB25)*BA25+(H25-BD25)*BC25+(H25-BF25)*BE25+(H25-BH25)*BG25+(H25-BJ25)*BI25)*DD25*DE25</f>
        <v>0</v>
      </c>
      <c r="DI25" s="43" t="n">
        <f aca="false">(((H25-BL25)*BK25+(H25-BN25)*BM25+(H25-BP25)*BO25+(H25-BR25)*BQ25+(H25-BT25)*BS25+(H25-BV25)*BU25+(H25-BX25)*BW25+(H25-BZ25)*BY25+(H25-CB25)*CA25+(H25-CD25)*CC25+(H25-CF25)*CE25+(H25-CH25)*CG25+(H25-CJ25)*CH25+(H25-CL25)*CK25+(H25-CN25)*CM25+(H25-CP25)*CO25+(H25-CR25)*CQ25+(H25-CT25)*CS25+(H25-CV25)*CU25+(H25-CX25)*CW25)*DD25*DE25)</f>
        <v>0</v>
      </c>
      <c r="DK25" s="85" t="n">
        <v>37148</v>
      </c>
      <c r="DL25" s="21" t="n">
        <v>-49.9999999999999</v>
      </c>
      <c r="DM25" s="21" t="n">
        <f aca="false">[5]NEPOOL!$L12</f>
        <v>-1189.7</v>
      </c>
      <c r="DN25" s="21" t="n">
        <f aca="false">IF(AND(WEEKDAY(DK25)&gt;1,WEEKDAY(DK25)&lt;7),1,0)</f>
        <v>1</v>
      </c>
    </row>
    <row r="26" customFormat="false" ht="18.75" hidden="false" customHeight="false" outlineLevel="0" collapsed="false">
      <c r="A26" s="58" t="n">
        <f aca="false">'NYISO A'!A26</f>
        <v>37149</v>
      </c>
      <c r="B26" s="59" t="n">
        <f aca="false">+[3]NYZoneG!$L17/16</f>
        <v>0</v>
      </c>
      <c r="C26" s="60" t="n">
        <f aca="false">CY26</f>
        <v>0</v>
      </c>
      <c r="D26" s="61" t="n">
        <f aca="false">(IF(MONTH(A26)=MONTH(EOMONTH(TradeDate,1)),$AP$70,0)*VLOOKUP(A26,$DK$12:$DN$43,4))</f>
        <v>0</v>
      </c>
      <c r="E26" s="62" t="n">
        <f aca="false">B26+C26+D26</f>
        <v>0</v>
      </c>
      <c r="F26" s="63" t="n">
        <f aca="false">[3]NYZoneG!$C17</f>
        <v>38</v>
      </c>
      <c r="G26" s="63" t="n">
        <f aca="false">IF($Q$9,Q26,P26)</f>
        <v>0</v>
      </c>
      <c r="H26" s="64" t="n">
        <f aca="false">F26+G26</f>
        <v>38</v>
      </c>
      <c r="I26" s="65" t="n">
        <f aca="false">B26*G26*DD26</f>
        <v>0</v>
      </c>
      <c r="J26" s="66" t="n">
        <f aca="false">DH26+DI26</f>
        <v>0</v>
      </c>
      <c r="K26" s="66" t="n">
        <f aca="false">I26+J26</f>
        <v>0</v>
      </c>
      <c r="L26" s="98"/>
      <c r="M26" s="67" t="n">
        <f aca="false">A26</f>
        <v>37149</v>
      </c>
      <c r="N26" s="92" t="n">
        <v>38</v>
      </c>
      <c r="O26" s="92" t="n">
        <v>38</v>
      </c>
      <c r="P26" s="69" t="n">
        <f aca="false">AVERAGE(N26:O26)-F26</f>
        <v>0</v>
      </c>
      <c r="Q26" s="70"/>
      <c r="R26" s="91" t="n">
        <f aca="false">H26</f>
        <v>38</v>
      </c>
      <c r="S26" s="24"/>
      <c r="T26" s="24"/>
      <c r="U26" s="72"/>
      <c r="V26" s="73" t="n">
        <f aca="false">A26</f>
        <v>37149</v>
      </c>
      <c r="W26" s="77"/>
      <c r="X26" s="76"/>
      <c r="Y26" s="77"/>
      <c r="Z26" s="78"/>
      <c r="AA26" s="77"/>
      <c r="AB26" s="78"/>
      <c r="AC26" s="77"/>
      <c r="AD26" s="76"/>
      <c r="AE26" s="77"/>
      <c r="AF26" s="76"/>
      <c r="AG26" s="77"/>
      <c r="AH26" s="76"/>
      <c r="AI26" s="74"/>
      <c r="AJ26" s="76"/>
      <c r="AK26" s="77"/>
      <c r="AL26" s="76"/>
      <c r="AM26" s="77"/>
      <c r="AN26" s="76"/>
      <c r="AO26" s="77"/>
      <c r="AP26" s="78"/>
      <c r="AQ26" s="77"/>
      <c r="AR26" s="78"/>
      <c r="AS26" s="77"/>
      <c r="AT26" s="78"/>
      <c r="AU26" s="77"/>
      <c r="AV26" s="76"/>
      <c r="AW26" s="96"/>
      <c r="AX26" s="75"/>
      <c r="AY26" s="81"/>
      <c r="AZ26" s="75"/>
      <c r="BA26" s="77"/>
      <c r="BB26" s="78"/>
      <c r="BC26" s="77"/>
      <c r="BD26" s="78"/>
      <c r="BE26" s="77"/>
      <c r="BF26" s="78"/>
      <c r="BG26" s="81"/>
      <c r="BH26" s="75"/>
      <c r="BI26" s="81"/>
      <c r="BJ26" s="75"/>
      <c r="BK26" s="81"/>
      <c r="BL26" s="75"/>
      <c r="BM26" s="81"/>
      <c r="BN26" s="75"/>
      <c r="BO26" s="81"/>
      <c r="BP26" s="75"/>
      <c r="BQ26" s="81"/>
      <c r="BR26" s="75"/>
      <c r="BS26" s="81"/>
      <c r="BT26" s="75"/>
      <c r="BU26" s="81"/>
      <c r="BV26" s="75"/>
      <c r="BW26" s="81"/>
      <c r="BX26" s="75"/>
      <c r="BY26" s="81"/>
      <c r="BZ26" s="75"/>
      <c r="CA26" s="81"/>
      <c r="CB26" s="75"/>
      <c r="CC26" s="81"/>
      <c r="CD26" s="75"/>
      <c r="CE26" s="81"/>
      <c r="CF26" s="75"/>
      <c r="CG26" s="81"/>
      <c r="CH26" s="75"/>
      <c r="CI26" s="81"/>
      <c r="CJ26" s="75"/>
      <c r="CK26" s="81"/>
      <c r="CL26" s="75"/>
      <c r="CM26" s="81"/>
      <c r="CN26" s="75"/>
      <c r="CO26" s="81"/>
      <c r="CP26" s="75"/>
      <c r="CQ26" s="81"/>
      <c r="CR26" s="75"/>
      <c r="CS26" s="81"/>
      <c r="CT26" s="75"/>
      <c r="CU26" s="81"/>
      <c r="CV26" s="75"/>
      <c r="CW26" s="81"/>
      <c r="CX26" s="75"/>
      <c r="CY26" s="82" t="n">
        <f aca="false">W26+Y26+AA26+AC26+AE26+AG26+AI26+AK26+AM26+AO26+AQ26+AS26+AU26+AW26+AY26+BA26+BC26+BE26+BG26+BI26+BK26+BM26+BO26+BQ26+BS26+BU26+BW26+BY26+CA26+CC26+CE26+CG26+CI26+CK26+CM26+CO26+CQ26+CS26+CU26+CW26</f>
        <v>0</v>
      </c>
      <c r="CZ26" s="83" t="n">
        <f aca="false">IF(AND(CY26=0,DC26=0),0,(DF26+DG26)/DC26)</f>
        <v>0</v>
      </c>
      <c r="DA26" s="84" t="n">
        <f aca="false">DC26*DD26</f>
        <v>0</v>
      </c>
      <c r="DB26" s="85" t="n">
        <f aca="false">V26</f>
        <v>37149</v>
      </c>
      <c r="DC26" s="84" t="n">
        <f aca="false">ABS(W26)+ABS(Y26)+ABS(AA26)+ABS(AC26)+ABS(AE26)+ABS(AG26)+ABS(AI26)+ABS(AK26)+ABS(AM26)+ABS(AO26)+ABS(AQ26)+ABS(AS26)+ABS(AU26)+ABS(AW26)+ABS(AY26)+ABS(BA26)+ABS(BC26)+ABS(BE26)+ABS(BG26)+ABS(BI26)+ABS(BK26)+ABS(BM26)+ABS(BO26)+ABS(BQ26)+ABS(BS26)+ABS(BU26)+ABS(BW26)+ABS(BY26)+ABS(CA26)+ABS(CC26)+ABS(CE26)+ABS(CG26)+ABS(CI26)+ABS(CK26)+ABS(CM26)+ABS(CO26)+ABS(CQ26)+ABS(CS26)+ABS(CU26)+ABS(CW26)</f>
        <v>0</v>
      </c>
      <c r="DD26" s="86" t="n">
        <v>16</v>
      </c>
      <c r="DE26" s="84" t="n">
        <v>1</v>
      </c>
      <c r="DF26" s="43" t="n">
        <f aca="false">(ABS(W26)*X26+ABS(Y26)*Z26+ABS(AA26)*AB26+ABS(AC26)*AD26+ABS(AE26)*AF26+ABS(AG26)*AH26+ABS(AI26)*AJ26+ABS(AK26)*AL26+ABS(AM26)*AN26+ABS(AO26)*AP26+ABS(AQ26)*AR26+ABS(AS26)*AT26+ABS(AU26)*AV26+ABS(AW26)*AX26+ABS(AY26)*AZ26+ABS(BA26)*BB26+ABS(BC26)*BD26+ABS(BE26)*BF26+ABS(BG26)*BH26+ABS(BI26)*BJ26)</f>
        <v>0</v>
      </c>
      <c r="DG26" s="43" t="n">
        <f aca="false">ABS(BK26)*BL26+ABS(BM26)*BN26+ABS(BO26)*BP26+ABS(BQ26)*BR26+ABS(BS26)*BT26+ABS(BU26)*BV26+ABS(BW26)*BX26+ABS(BY26)*BZ26+ABS(CA26)*CB26+ABS(CC26)*CD26+ABS(CE26)*CF26+ABS(CG26)*CH26+ABS(CI26)*CJ26+ABS(CK26)*CL26+ABS(CM26)*CN26+ABS(CO26)*CP26+ABS(CQ26)*CR26+ABS(CS26)*CT26+ABS(CU26)*CV26+ABS(CW26)*CX26</f>
        <v>0</v>
      </c>
      <c r="DH26" s="43" t="n">
        <f aca="false">((H26-X26)*W26+(H26-Z26)*Y26+(H26-AB26)*AA26+(H26-AD26)*AC26+(H26-AF26)*AE26+(H26-AH26)*AG26+(H26-AJ26)*AI26+(H26-AL26)*AK26+(H26-AN26)*AM26+(H26-AP26)*AO26+(H26-AR26)*AQ26+(H26-AT26)*AS26+(H26-AV26)*AU26+(H26-AX26)*AW26+(H26-AZ26)*AY26+(H26-BB26)*BA26+(H26-BD26)*BC26+(H26-BF26)*BE26+(H26-BH26)*BG26+(H26-BJ26)*BI26)*DD26*DE26</f>
        <v>0</v>
      </c>
      <c r="DI26" s="43" t="n">
        <f aca="false">(((H26-BL26)*BK26+(H26-BN26)*BM26+(H26-BP26)*BO26+(H26-BR26)*BQ26+(H26-BT26)*BS26+(H26-BV26)*BU26+(H26-BX26)*BW26+(H26-BZ26)*BY26+(H26-CB26)*CA26+(H26-CD26)*CC26+(H26-CF26)*CE26+(H26-CH26)*CG26+(H26-CJ26)*CH26+(H26-CL26)*CK26+(H26-CN26)*CM26+(H26-CP26)*CO26+(H26-CR26)*CQ26+(H26-CT26)*CS26+(H26-CV26)*CU26+(H26-CX26)*CW26)*DD26*DE26)</f>
        <v>0</v>
      </c>
      <c r="DK26" s="85" t="n">
        <v>37149</v>
      </c>
      <c r="DL26" s="21" t="n">
        <v>0</v>
      </c>
      <c r="DM26" s="21" t="n">
        <f aca="false">[5]NEPOOL!$L13</f>
        <v>-1189.7</v>
      </c>
      <c r="DN26" s="21" t="n">
        <f aca="false">IF(AND(WEEKDAY(DK26)&gt;1,WEEKDAY(DK26)&lt;7),1,0)</f>
        <v>0</v>
      </c>
    </row>
    <row r="27" customFormat="false" ht="18.75" hidden="false" customHeight="false" outlineLevel="0" collapsed="false">
      <c r="A27" s="58" t="n">
        <f aca="false">'NYISO A'!A27</f>
        <v>37150</v>
      </c>
      <c r="B27" s="59" t="n">
        <f aca="false">+[3]NYZoneG!$L18/16</f>
        <v>0</v>
      </c>
      <c r="C27" s="101" t="n">
        <f aca="false">CY27</f>
        <v>0</v>
      </c>
      <c r="D27" s="87" t="n">
        <f aca="false">(IF(MONTH(A27)=MONTH(EOMONTH(TradeDate,1)),$AP$70,0)*VLOOKUP(A27,$DK$12:$DN$43,4))</f>
        <v>0</v>
      </c>
      <c r="E27" s="62" t="n">
        <f aca="false">B27+C27+D27</f>
        <v>0</v>
      </c>
      <c r="F27" s="63" t="n">
        <f aca="false">[3]NYZoneG!$C18</f>
        <v>38</v>
      </c>
      <c r="G27" s="88" t="n">
        <f aca="false">IF($Q$9,Q27,P27)</f>
        <v>0</v>
      </c>
      <c r="H27" s="89" t="n">
        <f aca="false">F27+G27</f>
        <v>38</v>
      </c>
      <c r="I27" s="87" t="n">
        <f aca="false">B27*G27*DD27</f>
        <v>0</v>
      </c>
      <c r="J27" s="66" t="n">
        <f aca="false">DH27+DI27</f>
        <v>0</v>
      </c>
      <c r="K27" s="90" t="n">
        <f aca="false">I27+J27</f>
        <v>0</v>
      </c>
      <c r="L27" s="98"/>
      <c r="M27" s="67" t="n">
        <f aca="false">A27</f>
        <v>37150</v>
      </c>
      <c r="N27" s="92" t="n">
        <v>38</v>
      </c>
      <c r="O27" s="92" t="n">
        <v>38</v>
      </c>
      <c r="P27" s="69" t="n">
        <f aca="false">AVERAGE(N27:O27)-F27</f>
        <v>0</v>
      </c>
      <c r="Q27" s="70"/>
      <c r="R27" s="91" t="n">
        <f aca="false">H27</f>
        <v>38</v>
      </c>
      <c r="S27" s="24"/>
      <c r="T27" s="24"/>
      <c r="U27" s="72"/>
      <c r="V27" s="73" t="n">
        <f aca="false">A27</f>
        <v>37150</v>
      </c>
      <c r="W27" s="77"/>
      <c r="X27" s="76"/>
      <c r="Y27" s="77"/>
      <c r="Z27" s="78"/>
      <c r="AA27" s="77"/>
      <c r="AB27" s="78"/>
      <c r="AC27" s="77"/>
      <c r="AD27" s="76"/>
      <c r="AE27" s="77"/>
      <c r="AF27" s="76"/>
      <c r="AG27" s="77"/>
      <c r="AH27" s="76"/>
      <c r="AI27" s="74"/>
      <c r="AJ27" s="76"/>
      <c r="AK27" s="77"/>
      <c r="AL27" s="76"/>
      <c r="AM27" s="77"/>
      <c r="AN27" s="76"/>
      <c r="AO27" s="77"/>
      <c r="AP27" s="78"/>
      <c r="AQ27" s="77"/>
      <c r="AR27" s="78"/>
      <c r="AS27" s="77"/>
      <c r="AT27" s="78"/>
      <c r="AU27" s="74"/>
      <c r="AV27" s="75"/>
      <c r="AW27" s="96"/>
      <c r="AX27" s="75"/>
      <c r="AY27" s="81"/>
      <c r="AZ27" s="75"/>
      <c r="BA27" s="77"/>
      <c r="BB27" s="78"/>
      <c r="BC27" s="77"/>
      <c r="BD27" s="78"/>
      <c r="BE27" s="77"/>
      <c r="BF27" s="78"/>
      <c r="BG27" s="81"/>
      <c r="BH27" s="75"/>
      <c r="BI27" s="81"/>
      <c r="BJ27" s="75"/>
      <c r="BK27" s="81"/>
      <c r="BL27" s="75"/>
      <c r="BM27" s="81"/>
      <c r="BN27" s="75"/>
      <c r="BO27" s="81"/>
      <c r="BP27" s="75"/>
      <c r="BQ27" s="81"/>
      <c r="BR27" s="75"/>
      <c r="BS27" s="81"/>
      <c r="BT27" s="75"/>
      <c r="BU27" s="81"/>
      <c r="BV27" s="75"/>
      <c r="BW27" s="81"/>
      <c r="BX27" s="75"/>
      <c r="BY27" s="81"/>
      <c r="BZ27" s="75"/>
      <c r="CA27" s="81"/>
      <c r="CB27" s="75"/>
      <c r="CC27" s="81"/>
      <c r="CD27" s="75"/>
      <c r="CE27" s="81"/>
      <c r="CF27" s="75"/>
      <c r="CG27" s="81"/>
      <c r="CH27" s="75"/>
      <c r="CI27" s="81"/>
      <c r="CJ27" s="75"/>
      <c r="CK27" s="81"/>
      <c r="CL27" s="75"/>
      <c r="CM27" s="81"/>
      <c r="CN27" s="75"/>
      <c r="CO27" s="81"/>
      <c r="CP27" s="75"/>
      <c r="CQ27" s="81"/>
      <c r="CR27" s="75"/>
      <c r="CS27" s="81"/>
      <c r="CT27" s="75"/>
      <c r="CU27" s="81"/>
      <c r="CV27" s="75"/>
      <c r="CW27" s="81"/>
      <c r="CX27" s="75"/>
      <c r="CY27" s="82" t="n">
        <f aca="false">W27+Y27+AA27+AC27+AE27+AG27+AI27+AK27+AM27+AO27+AQ27+AS27+AU27+AW27+AY27+BA27+BC27+BE27+BG27+BI27+BK27+BM27+BO27+BQ27+BS27+BU27+BW27+BY27+CA27+CC27+CE27+CG27+CI27+CK27+CM27+CO27+CQ27+CS27+CU27+CW27</f>
        <v>0</v>
      </c>
      <c r="CZ27" s="83" t="n">
        <f aca="false">IF(AND(CY27=0,DC27=0),0,(DF27+DG27)/DC27)</f>
        <v>0</v>
      </c>
      <c r="DA27" s="84" t="n">
        <f aca="false">DC27*DD27</f>
        <v>0</v>
      </c>
      <c r="DB27" s="85" t="n">
        <f aca="false">V27</f>
        <v>37150</v>
      </c>
      <c r="DC27" s="84" t="n">
        <f aca="false">ABS(W27)+ABS(Y27)+ABS(AA27)+ABS(AC27)+ABS(AE27)+ABS(AG27)+ABS(AI27)+ABS(AK27)+ABS(AM27)+ABS(AO27)+ABS(AQ27)+ABS(AS27)+ABS(AU27)+ABS(AW27)+ABS(AY27)+ABS(BA27)+ABS(BC27)+ABS(BE27)+ABS(BG27)+ABS(BI27)+ABS(BK27)+ABS(BM27)+ABS(BO27)+ABS(BQ27)+ABS(BS27)+ABS(BU27)+ABS(BW27)+ABS(BY27)+ABS(CA27)+ABS(CC27)+ABS(CE27)+ABS(CG27)+ABS(CI27)+ABS(CK27)+ABS(CM27)+ABS(CO27)+ABS(CQ27)+ABS(CS27)+ABS(CU27)+ABS(CW27)</f>
        <v>0</v>
      </c>
      <c r="DD27" s="86" t="n">
        <v>16</v>
      </c>
      <c r="DE27" s="84" t="n">
        <v>1</v>
      </c>
      <c r="DF27" s="43" t="n">
        <f aca="false">(ABS(W27)*X27+ABS(Y27)*Z27+ABS(AA27)*AB27+ABS(AC27)*AD27+ABS(AE27)*AF27+ABS(AG27)*AH27+ABS(AI27)*AJ27+ABS(AK27)*AL27+ABS(AM27)*AN27+ABS(AO27)*AP27+ABS(AQ27)*AR27+ABS(AS27)*AT27+ABS(AU27)*AV27+ABS(AW27)*AX27+ABS(AY27)*AZ27+ABS(BA27)*BB27+ABS(BC27)*BD27+ABS(BE27)*BF27+ABS(BG27)*BH27+ABS(BI27)*BJ27)</f>
        <v>0</v>
      </c>
      <c r="DG27" s="43" t="n">
        <f aca="false">ABS(BK27)*BL27+ABS(BM27)*BN27+ABS(BO27)*BP27+ABS(BQ27)*BR27+ABS(BS27)*BT27+ABS(BU27)*BV27+ABS(BW27)*BX27+ABS(BY27)*BZ27+ABS(CA27)*CB27+ABS(CC27)*CD27+ABS(CE27)*CF27+ABS(CG27)*CH27+ABS(CI27)*CJ27+ABS(CK27)*CL27+ABS(CM27)*CN27+ABS(CO27)*CP27+ABS(CQ27)*CR27+ABS(CS27)*CT27+ABS(CU27)*CV27+ABS(CW27)*CX27</f>
        <v>0</v>
      </c>
      <c r="DH27" s="43" t="n">
        <f aca="false">((H27-X27)*W27+(H27-Z27)*Y27+(H27-AB27)*AA27+(H27-AD27)*AC27+(H27-AF27)*AE27+(H27-AH27)*AG27+(H27-AJ27)*AI27+(H27-AL27)*AK27+(H27-AN27)*AM27+(H27-AP27)*AO27+(H27-AR27)*AQ27+(H27-AT27)*AS27+(H27-AV27)*AU27+(H27-AX27)*AW27+(H27-AZ27)*AY27+(H27-BB27)*BA27+(H27-BD27)*BC27+(H27-BF27)*BE27+(H27-BH27)*BG27+(H27-BJ27)*BI27)*DD27*DE27</f>
        <v>0</v>
      </c>
      <c r="DI27" s="43" t="n">
        <f aca="false">(((H27-BL27)*BK27+(H27-BN27)*BM27+(H27-BP27)*BO27+(H27-BR27)*BQ27+(H27-BT27)*BS27+(H27-BV27)*BU27+(H27-BX27)*BW27+(H27-BZ27)*BY27+(H27-CB27)*CA27+(H27-CD27)*CC27+(H27-CF27)*CE27+(H27-CH27)*CG27+(H27-CJ27)*CH27+(H27-CL27)*CK27+(H27-CN27)*CM27+(H27-CP27)*CO27+(H27-CR27)*CQ27+(H27-CT27)*CS27+(H27-CV27)*CU27+(H27-CX27)*CW27)*DD27*DE27)</f>
        <v>0</v>
      </c>
      <c r="DK27" s="85" t="n">
        <v>37150</v>
      </c>
      <c r="DL27" s="21" t="n">
        <v>0</v>
      </c>
      <c r="DM27" s="21" t="n">
        <f aca="false">[5]NEPOOL!$L14</f>
        <v>0</v>
      </c>
      <c r="DN27" s="21" t="n">
        <f aca="false">IF(AND(WEEKDAY(DK27)&gt;1,WEEKDAY(DK27)&lt;7),1,0)</f>
        <v>0</v>
      </c>
    </row>
    <row r="28" customFormat="false" ht="18.75" hidden="false" customHeight="false" outlineLevel="0" collapsed="false">
      <c r="A28" s="58" t="n">
        <f aca="false">'NYISO A'!A28</f>
        <v>37151</v>
      </c>
      <c r="B28" s="59" t="n">
        <f aca="false">+[3]NYZoneG!$L19/16</f>
        <v>1.24999999500525E-013</v>
      </c>
      <c r="C28" s="60" t="n">
        <f aca="false">CY28</f>
        <v>0</v>
      </c>
      <c r="D28" s="61" t="n">
        <f aca="false">(IF(MONTH(A28)=MONTH(EOMONTH(TradeDate,1)),$AP$70,0)*VLOOKUP(A28,$DK$12:$DN$43,4))</f>
        <v>0</v>
      </c>
      <c r="E28" s="62" t="n">
        <f aca="false">B28+C28+D28</f>
        <v>1.24999999500525E-013</v>
      </c>
      <c r="F28" s="63" t="n">
        <f aca="false">[3]NYZoneG!$C19</f>
        <v>40.5</v>
      </c>
      <c r="G28" s="63" t="n">
        <f aca="false">IF($Q$9,Q28,P28)</f>
        <v>0</v>
      </c>
      <c r="H28" s="64" t="n">
        <f aca="false">F28+G28</f>
        <v>40.5</v>
      </c>
      <c r="I28" s="65" t="n">
        <f aca="false">B28*G28*DD28</f>
        <v>0</v>
      </c>
      <c r="J28" s="66" t="n">
        <f aca="false">DH28+DI28</f>
        <v>0</v>
      </c>
      <c r="K28" s="66" t="n">
        <f aca="false">I28+J28</f>
        <v>0</v>
      </c>
      <c r="L28" s="24"/>
      <c r="M28" s="67" t="n">
        <f aca="false">A28</f>
        <v>37151</v>
      </c>
      <c r="N28" s="92" t="n">
        <v>40.5</v>
      </c>
      <c r="O28" s="92" t="n">
        <v>40.5</v>
      </c>
      <c r="P28" s="69" t="n">
        <f aca="false">AVERAGE(N28:O28)-F28</f>
        <v>0</v>
      </c>
      <c r="Q28" s="70"/>
      <c r="R28" s="91" t="n">
        <f aca="false">H28</f>
        <v>40.5</v>
      </c>
      <c r="S28" s="24"/>
      <c r="T28" s="24"/>
      <c r="U28" s="72"/>
      <c r="V28" s="73" t="n">
        <f aca="false">A28</f>
        <v>37151</v>
      </c>
      <c r="W28" s="77"/>
      <c r="X28" s="76"/>
      <c r="Y28" s="77"/>
      <c r="Z28" s="78"/>
      <c r="AA28" s="77"/>
      <c r="AB28" s="78"/>
      <c r="AC28" s="77"/>
      <c r="AD28" s="76"/>
      <c r="AE28" s="77"/>
      <c r="AF28" s="76"/>
      <c r="AG28" s="77"/>
      <c r="AH28" s="76"/>
      <c r="AI28" s="77"/>
      <c r="AJ28" s="78"/>
      <c r="AK28" s="77"/>
      <c r="AL28" s="76"/>
      <c r="AM28" s="77"/>
      <c r="AN28" s="76"/>
      <c r="AO28" s="77"/>
      <c r="AP28" s="78"/>
      <c r="AQ28" s="77"/>
      <c r="AR28" s="78"/>
      <c r="AS28" s="77"/>
      <c r="AT28" s="78"/>
      <c r="AU28" s="74"/>
      <c r="AV28" s="75"/>
      <c r="AW28" s="96"/>
      <c r="AX28" s="75"/>
      <c r="AY28" s="81"/>
      <c r="AZ28" s="75"/>
      <c r="BA28" s="77"/>
      <c r="BB28" s="78"/>
      <c r="BC28" s="77"/>
      <c r="BD28" s="78"/>
      <c r="BE28" s="77"/>
      <c r="BF28" s="78"/>
      <c r="BG28" s="81"/>
      <c r="BH28" s="75"/>
      <c r="BI28" s="81"/>
      <c r="BJ28" s="75"/>
      <c r="BK28" s="81"/>
      <c r="BL28" s="75"/>
      <c r="BM28" s="81"/>
      <c r="BN28" s="75"/>
      <c r="BO28" s="81"/>
      <c r="BP28" s="75"/>
      <c r="BQ28" s="81"/>
      <c r="BR28" s="75"/>
      <c r="BS28" s="81"/>
      <c r="BT28" s="75"/>
      <c r="BU28" s="81"/>
      <c r="BV28" s="75"/>
      <c r="BW28" s="81"/>
      <c r="BX28" s="75"/>
      <c r="BY28" s="81"/>
      <c r="BZ28" s="75"/>
      <c r="CA28" s="81"/>
      <c r="CB28" s="75"/>
      <c r="CC28" s="81"/>
      <c r="CD28" s="75"/>
      <c r="CE28" s="81"/>
      <c r="CF28" s="75"/>
      <c r="CG28" s="81"/>
      <c r="CH28" s="75"/>
      <c r="CI28" s="81"/>
      <c r="CJ28" s="75"/>
      <c r="CK28" s="81"/>
      <c r="CL28" s="75"/>
      <c r="CM28" s="81"/>
      <c r="CN28" s="75"/>
      <c r="CO28" s="81"/>
      <c r="CP28" s="75"/>
      <c r="CQ28" s="81"/>
      <c r="CR28" s="75"/>
      <c r="CS28" s="81"/>
      <c r="CT28" s="75"/>
      <c r="CU28" s="81"/>
      <c r="CV28" s="75"/>
      <c r="CW28" s="81"/>
      <c r="CX28" s="75"/>
      <c r="CY28" s="82" t="n">
        <f aca="false">W28+Y28+AA28+AC28+AE28+AG28+AI28+AK28+AM28+AO28+AQ28+AS28+AU28+AW28+AY28+BA28+BC28+BE28+BG28+BI28+BK28+BM28+BO28+BQ28+BS28+BU28+BW28+BY28+CA28+CC28+CE28+CG28+CI28+CK28+CM28+CO28+CQ28+CS28+CU28+CW28</f>
        <v>0</v>
      </c>
      <c r="CZ28" s="83" t="n">
        <f aca="false">IF(AND(CY28=0,DC28=0),0,(DF28+DG28)/DC28)</f>
        <v>0</v>
      </c>
      <c r="DA28" s="84" t="n">
        <f aca="false">DC28*DD28</f>
        <v>0</v>
      </c>
      <c r="DB28" s="85" t="n">
        <f aca="false">V28</f>
        <v>37151</v>
      </c>
      <c r="DC28" s="84" t="n">
        <f aca="false">ABS(W28)+ABS(Y28)+ABS(AA28)+ABS(AC28)+ABS(AE28)+ABS(AG28)+ABS(AI28)+ABS(AK28)+ABS(AM28)+ABS(AO28)+ABS(AQ28)+ABS(AS28)+ABS(AU28)+ABS(AW28)+ABS(AY28)+ABS(BA28)+ABS(BC28)+ABS(BE28)+ABS(BG28)+ABS(BI28)+ABS(BK28)+ABS(BM28)+ABS(BO28)+ABS(BQ28)+ABS(BS28)+ABS(BU28)+ABS(BW28)+ABS(BY28)+ABS(CA28)+ABS(CC28)+ABS(CE28)+ABS(CG28)+ABS(CI28)+ABS(CK28)+ABS(CM28)+ABS(CO28)+ABS(CQ28)+ABS(CS28)+ABS(CU28)+ABS(CW28)</f>
        <v>0</v>
      </c>
      <c r="DD28" s="86" t="n">
        <v>16</v>
      </c>
      <c r="DE28" s="84" t="n">
        <v>1</v>
      </c>
      <c r="DF28" s="43" t="n">
        <f aca="false">(ABS(W28)*X28+ABS(Y28)*Z28+ABS(AA28)*AB28+ABS(AC28)*AD28+ABS(AE28)*AF28+ABS(AG28)*AH28+ABS(AI28)*AJ28+ABS(AK28)*AL28+ABS(AM28)*AN28+ABS(AO28)*AP28+ABS(AQ28)*AR28+ABS(AS28)*AT28+ABS(AU28)*AV28+ABS(AW28)*AX28+ABS(AY28)*AZ28+ABS(BA28)*BB28+ABS(BC28)*BD28+ABS(BE28)*BF28+ABS(BG28)*BH28+ABS(BI28)*BJ28)</f>
        <v>0</v>
      </c>
      <c r="DG28" s="43" t="n">
        <f aca="false">ABS(BK28)*BL28+ABS(BM28)*BN28+ABS(BO28)*BP28+ABS(BQ28)*BR28+ABS(BS28)*BT28+ABS(BU28)*BV28+ABS(BW28)*BX28+ABS(BY28)*BZ28+ABS(CA28)*CB28+ABS(CC28)*CD28+ABS(CE28)*CF28+ABS(CG28)*CH28+ABS(CI28)*CJ28+ABS(CK28)*CL28+ABS(CM28)*CN28+ABS(CO28)*CP28+ABS(CQ28)*CR28+ABS(CS28)*CT28+ABS(CU28)*CV28+ABS(CW28)*CX28</f>
        <v>0</v>
      </c>
      <c r="DH28" s="43" t="n">
        <f aca="false">((H28-X28)*W28+(H28-Z28)*Y28+(H28-AB28)*AA28+(H28-AD28)*AC28+(H28-AF28)*AE28+(H28-AH28)*AG28+(H28-AJ28)*AI28+(H28-AL28)*AK28+(H28-AN28)*AM28+(H28-AP28)*AO28+(H28-AR28)*AQ28+(H28-AT28)*AS28+(H28-AV28)*AU28+(H28-AX28)*AW28+(H28-AZ28)*AY28+(H28-BB28)*BA28+(H28-BD28)*BC28+(H28-BF28)*BE28+(H28-BH28)*BG28+(H28-BJ28)*BI28)*DD28*DE28</f>
        <v>0</v>
      </c>
      <c r="DI28" s="43" t="n">
        <f aca="false">(((H28-BL28)*BK28+(H28-BN28)*BM28+(H28-BP28)*BO28+(H28-BR28)*BQ28+(H28-BT28)*BS28+(H28-BV28)*BU28+(H28-BX28)*BW28+(H28-BZ28)*BY28+(H28-CB28)*CA28+(H28-CD28)*CC28+(H28-CF28)*CE28+(H28-CH28)*CG28+(H28-CJ28)*CH28+(H28-CL28)*CK28+(H28-CN28)*CM28+(H28-CP28)*CO28+(H28-CR28)*CQ28+(H28-CT28)*CS28+(H28-CV28)*CU28+(H28-CX28)*CW28)*DD28*DE28)</f>
        <v>0</v>
      </c>
      <c r="DK28" s="85" t="n">
        <v>37151</v>
      </c>
      <c r="DL28" s="21" t="n">
        <v>-49.9999999999999</v>
      </c>
      <c r="DM28" s="21" t="n">
        <f aca="false">[5]NEPOOL!$L15</f>
        <v>0</v>
      </c>
      <c r="DN28" s="21" t="n">
        <f aca="false">IF(AND(WEEKDAY(DK28)&gt;1,WEEKDAY(DK28)&lt;7),1,0)</f>
        <v>1</v>
      </c>
    </row>
    <row r="29" customFormat="false" ht="18.75" hidden="false" customHeight="false" outlineLevel="0" collapsed="false">
      <c r="A29" s="58" t="n">
        <f aca="false">'NYISO A'!A29</f>
        <v>37152</v>
      </c>
      <c r="B29" s="59" t="n">
        <f aca="false">+[3]NYZoneG!$L20/16</f>
        <v>0</v>
      </c>
      <c r="C29" s="101" t="n">
        <f aca="false">CY29</f>
        <v>0</v>
      </c>
      <c r="D29" s="87" t="n">
        <f aca="false">(IF(MONTH(A29)=MONTH(EOMONTH(TradeDate,1)),$AP$70,0)*VLOOKUP(A29,$DK$12:$DN$43,4))</f>
        <v>0</v>
      </c>
      <c r="E29" s="62" t="n">
        <f aca="false">B29+C29+D29</f>
        <v>0</v>
      </c>
      <c r="F29" s="63" t="n">
        <f aca="false">[3]NYZoneG!$C20</f>
        <v>40.5</v>
      </c>
      <c r="G29" s="88" t="n">
        <f aca="false">IF($Q$9,Q29,P29)</f>
        <v>0</v>
      </c>
      <c r="H29" s="89" t="n">
        <f aca="false">F29+G29</f>
        <v>40.5</v>
      </c>
      <c r="I29" s="87" t="n">
        <f aca="false">B29*G29*DD29</f>
        <v>0</v>
      </c>
      <c r="J29" s="66" t="n">
        <f aca="false">DH29+DI29</f>
        <v>0</v>
      </c>
      <c r="K29" s="90" t="n">
        <f aca="false">I29+J29</f>
        <v>0</v>
      </c>
      <c r="L29" s="24"/>
      <c r="M29" s="67" t="n">
        <f aca="false">A29</f>
        <v>37152</v>
      </c>
      <c r="N29" s="92" t="n">
        <v>40.5</v>
      </c>
      <c r="O29" s="92" t="n">
        <v>40.5</v>
      </c>
      <c r="P29" s="69" t="n">
        <f aca="false">AVERAGE(N29:O29)-F29</f>
        <v>0</v>
      </c>
      <c r="Q29" s="70"/>
      <c r="R29" s="91" t="n">
        <f aca="false">H29</f>
        <v>40.5</v>
      </c>
      <c r="S29" s="24"/>
      <c r="T29" s="24"/>
      <c r="U29" s="72"/>
      <c r="V29" s="73" t="n">
        <f aca="false">A29</f>
        <v>37152</v>
      </c>
      <c r="W29" s="77"/>
      <c r="X29" s="76"/>
      <c r="Y29" s="77"/>
      <c r="Z29" s="76"/>
      <c r="AA29" s="77"/>
      <c r="AB29" s="78"/>
      <c r="AC29" s="77"/>
      <c r="AD29" s="76"/>
      <c r="AE29" s="77"/>
      <c r="AF29" s="76"/>
      <c r="AG29" s="77"/>
      <c r="AH29" s="76"/>
      <c r="AI29" s="77"/>
      <c r="AJ29" s="78"/>
      <c r="AK29" s="77"/>
      <c r="AL29" s="76"/>
      <c r="AM29" s="77"/>
      <c r="AN29" s="76"/>
      <c r="AO29" s="77"/>
      <c r="AP29" s="78"/>
      <c r="AQ29" s="77"/>
      <c r="AR29" s="78"/>
      <c r="AS29" s="77"/>
      <c r="AT29" s="78"/>
      <c r="AU29" s="74"/>
      <c r="AV29" s="75"/>
      <c r="AW29" s="96"/>
      <c r="AX29" s="75"/>
      <c r="AY29" s="81"/>
      <c r="AZ29" s="75"/>
      <c r="BA29" s="77"/>
      <c r="BB29" s="78"/>
      <c r="BC29" s="77"/>
      <c r="BD29" s="78"/>
      <c r="BE29" s="77"/>
      <c r="BF29" s="78"/>
      <c r="BG29" s="81"/>
      <c r="BH29" s="75"/>
      <c r="BI29" s="81"/>
      <c r="BJ29" s="75"/>
      <c r="BK29" s="81"/>
      <c r="BL29" s="75"/>
      <c r="BM29" s="81"/>
      <c r="BN29" s="75"/>
      <c r="BO29" s="81"/>
      <c r="BP29" s="75"/>
      <c r="BQ29" s="81"/>
      <c r="BR29" s="75"/>
      <c r="BS29" s="81"/>
      <c r="BT29" s="75"/>
      <c r="BU29" s="81"/>
      <c r="BV29" s="75"/>
      <c r="BW29" s="81"/>
      <c r="BX29" s="75"/>
      <c r="BY29" s="81"/>
      <c r="BZ29" s="75"/>
      <c r="CA29" s="81"/>
      <c r="CB29" s="75"/>
      <c r="CC29" s="81"/>
      <c r="CD29" s="75"/>
      <c r="CE29" s="81"/>
      <c r="CF29" s="75"/>
      <c r="CG29" s="81"/>
      <c r="CH29" s="75"/>
      <c r="CI29" s="81"/>
      <c r="CJ29" s="75"/>
      <c r="CK29" s="81"/>
      <c r="CL29" s="75"/>
      <c r="CM29" s="81"/>
      <c r="CN29" s="75"/>
      <c r="CO29" s="81"/>
      <c r="CP29" s="75"/>
      <c r="CQ29" s="81"/>
      <c r="CR29" s="75"/>
      <c r="CS29" s="81"/>
      <c r="CT29" s="75"/>
      <c r="CU29" s="81"/>
      <c r="CV29" s="75"/>
      <c r="CW29" s="81"/>
      <c r="CX29" s="75"/>
      <c r="CY29" s="82" t="n">
        <f aca="false">W29+Y29+AA29+AC29+AE29+AG29+AI29+AK29+AM29+AO29+AQ29+AS29+AU29+AW29+AY29+BA29+BC29+BE29+BG29+BI29+BK29+BM29+BO29+BQ29+BS29+BU29+BW29+BY29+CA29+CC29+CE29+CG29+CI29+CK29+CM29+CO29+CQ29+CS29+CU29+CW29</f>
        <v>0</v>
      </c>
      <c r="CZ29" s="83" t="n">
        <f aca="false">IF(AND(CY29=0,DC29=0),0,(DF29+DG29)/DC29)</f>
        <v>0</v>
      </c>
      <c r="DA29" s="84" t="n">
        <f aca="false">DC29*DD29</f>
        <v>0</v>
      </c>
      <c r="DB29" s="85" t="n">
        <f aca="false">V29</f>
        <v>37152</v>
      </c>
      <c r="DC29" s="84" t="n">
        <f aca="false">ABS(W29)+ABS(Y29)+ABS(AA29)+ABS(AC29)+ABS(AE29)+ABS(AG29)+ABS(AI29)+ABS(AK29)+ABS(AM29)+ABS(AO29)+ABS(AQ29)+ABS(AS29)+ABS(AU29)+ABS(AW29)+ABS(AY29)+ABS(BA29)+ABS(BC29)+ABS(BE29)+ABS(BG29)+ABS(BI29)+ABS(BK29)+ABS(BM29)+ABS(BO29)+ABS(BQ29)+ABS(BS29)+ABS(BU29)+ABS(BW29)+ABS(BY29)+ABS(CA29)+ABS(CC29)+ABS(CE29)+ABS(CG29)+ABS(CI29)+ABS(CK29)+ABS(CM29)+ABS(CO29)+ABS(CQ29)+ABS(CS29)+ABS(CU29)+ABS(CW29)</f>
        <v>0</v>
      </c>
      <c r="DD29" s="86" t="n">
        <v>16</v>
      </c>
      <c r="DE29" s="84" t="n">
        <v>1</v>
      </c>
      <c r="DF29" s="43" t="n">
        <f aca="false">(ABS(W29)*X29+ABS(Y29)*Z29+ABS(AA29)*AB29+ABS(AC29)*AD29+ABS(AE29)*AF29+ABS(AG29)*AH29+ABS(AI29)*AJ29+ABS(AK29)*AL29+ABS(AM29)*AN29+ABS(AO29)*AP29+ABS(AQ29)*AR29+ABS(AS29)*AT29+ABS(AU29)*AV29+ABS(AW29)*AX29+ABS(AY29)*AZ29+ABS(BA29)*BB29+ABS(BC29)*BD29+ABS(BE29)*BF29+ABS(BG29)*BH29+ABS(BI29)*BJ29)</f>
        <v>0</v>
      </c>
      <c r="DG29" s="43" t="n">
        <f aca="false">ABS(BK29)*BL29+ABS(BM29)*BN29+ABS(BO29)*BP29+ABS(BQ29)*BR29+ABS(BS29)*BT29+ABS(BU29)*BV29+ABS(BW29)*BX29+ABS(BY29)*BZ29+ABS(CA29)*CB29+ABS(CC29)*CD29+ABS(CE29)*CF29+ABS(CG29)*CH29+ABS(CI29)*CJ29+ABS(CK29)*CL29+ABS(CM29)*CN29+ABS(CO29)*CP29+ABS(CQ29)*CR29+ABS(CS29)*CT29+ABS(CU29)*CV29+ABS(CW29)*CX29</f>
        <v>0</v>
      </c>
      <c r="DH29" s="43" t="n">
        <f aca="false">((H29-X29)*W29+(H29-Z29)*Y29+(H29-AB29)*AA29+(H29-AD29)*AC29+(H29-AF29)*AE29+(H29-AH29)*AG29+(H29-AJ29)*AI29+(H29-AL29)*AK29+(H29-AN29)*AM29+(H29-AP29)*AO29+(H29-AR29)*AQ29+(H29-AT29)*AS29+(H29-AV29)*AU29+(H29-AX29)*AW29+(H29-AZ29)*AY29+(H29-BB29)*BA29+(H29-BD29)*BC29+(H29-BF29)*BE29+(H29-BH29)*BG29+(H29-BJ29)*BI29)*DD29*DE29</f>
        <v>0</v>
      </c>
      <c r="DI29" s="43" t="n">
        <f aca="false">(((H29-BL29)*BK29+(H29-BN29)*BM29+(H29-BP29)*BO29+(H29-BR29)*BQ29+(H29-BT29)*BS29+(H29-BV29)*BU29+(H29-BX29)*BW29+(H29-BZ29)*BY29+(H29-CB29)*CA29+(H29-CD29)*CC29+(H29-CF29)*CE29+(H29-CH29)*CG29+(H29-CJ29)*CH29+(H29-CL29)*CK29+(H29-CN29)*CM29+(H29-CP29)*CO29+(H29-CR29)*CQ29+(H29-CT29)*CS29+(H29-CV29)*CU29+(H29-CX29)*CW29)*DD29*DE29)</f>
        <v>0</v>
      </c>
      <c r="DK29" s="85" t="n">
        <v>37152</v>
      </c>
      <c r="DL29" s="21" t="n">
        <v>-50</v>
      </c>
      <c r="DM29" s="21" t="n">
        <f aca="false">[5]NEPOOL!$L16</f>
        <v>-1189.7</v>
      </c>
      <c r="DN29" s="21" t="n">
        <f aca="false">IF(AND(WEEKDAY(DK29)&gt;1,WEEKDAY(DK29)&lt;7),1,0)</f>
        <v>1</v>
      </c>
    </row>
    <row r="30" customFormat="false" ht="18.75" hidden="false" customHeight="false" outlineLevel="0" collapsed="false">
      <c r="A30" s="58" t="n">
        <f aca="false">'NYISO A'!A30</f>
        <v>37153</v>
      </c>
      <c r="B30" s="59" t="n">
        <f aca="false">+[3]NYZoneG!$L21/16</f>
        <v>2.49999999001049E-013</v>
      </c>
      <c r="C30" s="60" t="n">
        <f aca="false">CY30</f>
        <v>0</v>
      </c>
      <c r="D30" s="61" t="n">
        <f aca="false">(IF(MONTH(A30)=MONTH(EOMONTH(TradeDate,1)),$AP$70,0)*VLOOKUP(A30,$DK$12:$DN$43,4))</f>
        <v>0</v>
      </c>
      <c r="E30" s="62" t="n">
        <f aca="false">B30+C30+D30</f>
        <v>2.49999999001049E-013</v>
      </c>
      <c r="F30" s="63" t="n">
        <f aca="false">[3]NYZoneG!$C21</f>
        <v>40.5</v>
      </c>
      <c r="G30" s="63" t="n">
        <f aca="false">IF($Q$9,Q30,P30)</f>
        <v>0</v>
      </c>
      <c r="H30" s="64" t="n">
        <f aca="false">F30+G30</f>
        <v>40.5</v>
      </c>
      <c r="I30" s="65" t="n">
        <f aca="false">B30*G30*DD30</f>
        <v>0</v>
      </c>
      <c r="J30" s="66" t="n">
        <f aca="false">DH30+DI30</f>
        <v>0</v>
      </c>
      <c r="K30" s="66" t="n">
        <f aca="false">I30+J30</f>
        <v>0</v>
      </c>
      <c r="L30" s="100"/>
      <c r="M30" s="67" t="n">
        <f aca="false">A30</f>
        <v>37153</v>
      </c>
      <c r="N30" s="92" t="n">
        <v>40.5</v>
      </c>
      <c r="O30" s="92" t="n">
        <v>40.5</v>
      </c>
      <c r="P30" s="69" t="n">
        <f aca="false">AVERAGE(N30:O30)-F30</f>
        <v>0</v>
      </c>
      <c r="Q30" s="70"/>
      <c r="R30" s="91" t="n">
        <f aca="false">H30</f>
        <v>40.5</v>
      </c>
      <c r="S30" s="24"/>
      <c r="T30" s="24"/>
      <c r="U30" s="72"/>
      <c r="V30" s="73" t="n">
        <f aca="false">A30</f>
        <v>37153</v>
      </c>
      <c r="W30" s="77"/>
      <c r="X30" s="76"/>
      <c r="Y30" s="77"/>
      <c r="Z30" s="78"/>
      <c r="AA30" s="77"/>
      <c r="AB30" s="78"/>
      <c r="AC30" s="77"/>
      <c r="AD30" s="76"/>
      <c r="AE30" s="77"/>
      <c r="AF30" s="76"/>
      <c r="AG30" s="77"/>
      <c r="AH30" s="78"/>
      <c r="AI30" s="74"/>
      <c r="AJ30" s="76"/>
      <c r="AK30" s="77"/>
      <c r="AL30" s="76"/>
      <c r="AM30" s="77"/>
      <c r="AN30" s="76"/>
      <c r="AO30" s="77"/>
      <c r="AP30" s="78"/>
      <c r="AQ30" s="77"/>
      <c r="AR30" s="78"/>
      <c r="AS30" s="77"/>
      <c r="AT30" s="78"/>
      <c r="AU30" s="74"/>
      <c r="AV30" s="75"/>
      <c r="AW30" s="96"/>
      <c r="AX30" s="75"/>
      <c r="AY30" s="81"/>
      <c r="AZ30" s="75"/>
      <c r="BA30" s="77"/>
      <c r="BB30" s="78"/>
      <c r="BC30" s="77"/>
      <c r="BD30" s="78"/>
      <c r="BE30" s="77"/>
      <c r="BF30" s="78"/>
      <c r="BG30" s="81"/>
      <c r="BH30" s="75"/>
      <c r="BI30" s="81"/>
      <c r="BJ30" s="75"/>
      <c r="BK30" s="81"/>
      <c r="BL30" s="75"/>
      <c r="BM30" s="81"/>
      <c r="BN30" s="75"/>
      <c r="BO30" s="81"/>
      <c r="BP30" s="75"/>
      <c r="BQ30" s="81"/>
      <c r="BR30" s="75"/>
      <c r="BS30" s="81"/>
      <c r="BT30" s="75"/>
      <c r="BU30" s="81"/>
      <c r="BV30" s="75"/>
      <c r="BW30" s="81"/>
      <c r="BX30" s="75"/>
      <c r="BY30" s="81"/>
      <c r="BZ30" s="75"/>
      <c r="CA30" s="81"/>
      <c r="CB30" s="75"/>
      <c r="CC30" s="81"/>
      <c r="CD30" s="75"/>
      <c r="CE30" s="81"/>
      <c r="CF30" s="75"/>
      <c r="CG30" s="81"/>
      <c r="CH30" s="75"/>
      <c r="CI30" s="81"/>
      <c r="CJ30" s="75"/>
      <c r="CK30" s="81"/>
      <c r="CL30" s="75"/>
      <c r="CM30" s="81"/>
      <c r="CN30" s="75"/>
      <c r="CO30" s="81"/>
      <c r="CP30" s="75"/>
      <c r="CQ30" s="81"/>
      <c r="CR30" s="75"/>
      <c r="CS30" s="81"/>
      <c r="CT30" s="75"/>
      <c r="CU30" s="81"/>
      <c r="CV30" s="75"/>
      <c r="CW30" s="81"/>
      <c r="CX30" s="75"/>
      <c r="CY30" s="82" t="n">
        <f aca="false">W30+Y30+AA30+AC30+AE30+AG30+AI30+AK30+AM30+AO30+AQ30+AS30+AU30+AW30+AY30+BA30+BC30+BE30+BG30+BI30+BK30+BM30+BO30+BQ30+BS30+BU30+BW30+BY30+CA30+CC30+CE30+CG30+CI30+CK30+CM30+CO30+CQ30+CS30+CU30+CW30</f>
        <v>0</v>
      </c>
      <c r="CZ30" s="83" t="n">
        <f aca="false">IF(AND(CY30=0,DC30=0),0,(DF30+DG30)/DC30)</f>
        <v>0</v>
      </c>
      <c r="DA30" s="84" t="n">
        <f aca="false">DC30*DD30</f>
        <v>0</v>
      </c>
      <c r="DB30" s="85" t="n">
        <f aca="false">V30</f>
        <v>37153</v>
      </c>
      <c r="DC30" s="84" t="n">
        <f aca="false">ABS(W30)+ABS(Y30)+ABS(AA30)+ABS(AC30)+ABS(AE30)+ABS(AG30)+ABS(AI30)+ABS(AK30)+ABS(AM30)+ABS(AO30)+ABS(AQ30)+ABS(AS30)+ABS(AU30)+ABS(AW30)+ABS(AY30)+ABS(BA30)+ABS(BC30)+ABS(BE30)+ABS(BG30)+ABS(BI30)+ABS(BK30)+ABS(BM30)+ABS(BO30)+ABS(BQ30)+ABS(BS30)+ABS(BU30)+ABS(BW30)+ABS(BY30)+ABS(CA30)+ABS(CC30)+ABS(CE30)+ABS(CG30)+ABS(CI30)+ABS(CK30)+ABS(CM30)+ABS(CO30)+ABS(CQ30)+ABS(CS30)+ABS(CU30)+ABS(CW30)</f>
        <v>0</v>
      </c>
      <c r="DD30" s="86" t="n">
        <v>16</v>
      </c>
      <c r="DE30" s="84" t="n">
        <v>1</v>
      </c>
      <c r="DF30" s="43" t="n">
        <f aca="false">(ABS(W30)*X30+ABS(Y30)*Z30+ABS(AA30)*AB30+ABS(AC30)*AD30+ABS(AE30)*AF30+ABS(AG30)*AH30+ABS(AI30)*AJ30+ABS(AK30)*AL30+ABS(AM30)*AN30+ABS(AO30)*AP30+ABS(AQ30)*AR30+ABS(AS30)*AT30+ABS(AU30)*AV30+ABS(AW30)*AX30+ABS(AY30)*AZ30+ABS(BA30)*BB30+ABS(BC30)*BD30+ABS(BE30)*BF30+ABS(BG30)*BH30+ABS(BI30)*BJ30)</f>
        <v>0</v>
      </c>
      <c r="DG30" s="43" t="n">
        <f aca="false">ABS(BK30)*BL30+ABS(BM30)*BN30+ABS(BO30)*BP30+ABS(BQ30)*BR30+ABS(BS30)*BT30+ABS(BU30)*BV30+ABS(BW30)*BX30+ABS(BY30)*BZ30+ABS(CA30)*CB30+ABS(CC30)*CD30+ABS(CE30)*CF30+ABS(CG30)*CH30+ABS(CI30)*CJ30+ABS(CK30)*CL30+ABS(CM30)*CN30+ABS(CO30)*CP30+ABS(CQ30)*CR30+ABS(CS30)*CT30+ABS(CU30)*CV30+ABS(CW30)*CX30</f>
        <v>0</v>
      </c>
      <c r="DH30" s="43" t="n">
        <f aca="false">((H30-X30)*W30+(H30-Z30)*Y30+(H30-AB30)*AA30+(H30-AD30)*AC30+(H30-AF30)*AE30+(H30-AH30)*AG30+(H30-AJ30)*AI30+(H30-AL30)*AK30+(H30-AN30)*AM30+(H30-AP30)*AO30+(H30-AR30)*AQ30+(H30-AT30)*AS30+(H30-AV30)*AU30+(H30-AX30)*AW30+(H30-AZ30)*AY30+(H30-BB30)*BA30+(H30-BD30)*BC30+(H30-BF30)*BE30+(H30-BH30)*BG30+(H30-BJ30)*BI30)*DD30*DE30</f>
        <v>0</v>
      </c>
      <c r="DI30" s="43" t="n">
        <f aca="false">(((H30-BL30)*BK30+(H30-BN30)*BM30+(H30-BP30)*BO30+(H30-BR30)*BQ30+(H30-BT30)*BS30+(H30-BV30)*BU30+(H30-BX30)*BW30+(H30-BZ30)*BY30+(H30-CB30)*CA30+(H30-CD30)*CC30+(H30-CF30)*CE30+(H30-CH30)*CG30+(H30-CJ30)*CH30+(H30-CL30)*CK30+(H30-CN30)*CM30+(H30-CP30)*CO30+(H30-CR30)*CQ30+(H30-CT30)*CS30+(H30-CV30)*CU30+(H30-CX30)*CW30)*DD30*DE30)</f>
        <v>0</v>
      </c>
      <c r="DK30" s="85" t="n">
        <v>37153</v>
      </c>
      <c r="DL30" s="21" t="n">
        <v>-49.9999999999998</v>
      </c>
      <c r="DM30" s="21" t="n">
        <f aca="false">[5]NEPOOL!$L17</f>
        <v>-1189.7</v>
      </c>
      <c r="DN30" s="21" t="n">
        <f aca="false">IF(AND(WEEKDAY(DK30)&gt;1,WEEKDAY(DK30)&lt;7),1,0)</f>
        <v>1</v>
      </c>
    </row>
    <row r="31" customFormat="false" ht="18.75" hidden="false" customHeight="false" outlineLevel="0" collapsed="false">
      <c r="A31" s="58" t="n">
        <f aca="false">'NYISO A'!A31</f>
        <v>37154</v>
      </c>
      <c r="B31" s="59" t="n">
        <f aca="false">+[3]NYZoneG!$L22/16</f>
        <v>2.49999999001049E-013</v>
      </c>
      <c r="C31" s="101" t="n">
        <f aca="false">CY31</f>
        <v>0</v>
      </c>
      <c r="D31" s="87" t="n">
        <f aca="false">(IF(MONTH(A31)=MONTH(EOMONTH(TradeDate,1)),$AP$70,0)*VLOOKUP(A31,$DK$12:$DN$43,4))</f>
        <v>0</v>
      </c>
      <c r="E31" s="62" t="n">
        <f aca="false">B31+C31+D31</f>
        <v>2.49999999001049E-013</v>
      </c>
      <c r="F31" s="63" t="n">
        <f aca="false">[3]NYZoneG!$C22</f>
        <v>40.5</v>
      </c>
      <c r="G31" s="88" t="n">
        <f aca="false">IF($Q$9,Q31,P31)</f>
        <v>0</v>
      </c>
      <c r="H31" s="89" t="n">
        <f aca="false">F31+G31</f>
        <v>40.5</v>
      </c>
      <c r="I31" s="87" t="n">
        <f aca="false">B31*G31*DD31</f>
        <v>0</v>
      </c>
      <c r="J31" s="66" t="n">
        <f aca="false">DH31+DI31</f>
        <v>0</v>
      </c>
      <c r="K31" s="90" t="n">
        <f aca="false">I31+J31</f>
        <v>0</v>
      </c>
      <c r="L31" s="100"/>
      <c r="M31" s="67" t="n">
        <f aca="false">A31</f>
        <v>37154</v>
      </c>
      <c r="N31" s="92" t="n">
        <v>40.5</v>
      </c>
      <c r="O31" s="92" t="n">
        <v>40.5</v>
      </c>
      <c r="P31" s="69" t="n">
        <f aca="false">AVERAGE(N31:O31)-F31</f>
        <v>0</v>
      </c>
      <c r="Q31" s="70"/>
      <c r="R31" s="91" t="n">
        <f aca="false">H31</f>
        <v>40.5</v>
      </c>
      <c r="S31" s="24"/>
      <c r="T31" s="24"/>
      <c r="U31" s="72"/>
      <c r="V31" s="73" t="n">
        <f aca="false">A31</f>
        <v>37154</v>
      </c>
      <c r="W31" s="77"/>
      <c r="X31" s="76"/>
      <c r="Y31" s="77"/>
      <c r="Z31" s="78"/>
      <c r="AA31" s="77"/>
      <c r="AB31" s="78"/>
      <c r="AC31" s="77"/>
      <c r="AD31" s="76"/>
      <c r="AE31" s="77"/>
      <c r="AF31" s="76"/>
      <c r="AG31" s="77"/>
      <c r="AH31" s="76"/>
      <c r="AI31" s="74"/>
      <c r="AJ31" s="76"/>
      <c r="AK31" s="77"/>
      <c r="AL31" s="76"/>
      <c r="AM31" s="77"/>
      <c r="AN31" s="76"/>
      <c r="AO31" s="77"/>
      <c r="AP31" s="78"/>
      <c r="AQ31" s="77"/>
      <c r="AR31" s="78"/>
      <c r="AS31" s="77"/>
      <c r="AT31" s="78"/>
      <c r="AU31" s="77"/>
      <c r="AV31" s="78"/>
      <c r="AW31" s="96"/>
      <c r="AX31" s="75"/>
      <c r="AY31" s="81"/>
      <c r="AZ31" s="75"/>
      <c r="BA31" s="77"/>
      <c r="BB31" s="78"/>
      <c r="BC31" s="77"/>
      <c r="BD31" s="78"/>
      <c r="BE31" s="77"/>
      <c r="BF31" s="78"/>
      <c r="BG31" s="81"/>
      <c r="BH31" s="75"/>
      <c r="BI31" s="81"/>
      <c r="BJ31" s="75"/>
      <c r="BK31" s="81"/>
      <c r="BL31" s="75"/>
      <c r="BM31" s="81"/>
      <c r="BN31" s="75"/>
      <c r="BO31" s="81"/>
      <c r="BP31" s="75"/>
      <c r="BQ31" s="81"/>
      <c r="BR31" s="75"/>
      <c r="BS31" s="81"/>
      <c r="BT31" s="75"/>
      <c r="BU31" s="81"/>
      <c r="BV31" s="75"/>
      <c r="BW31" s="81"/>
      <c r="BX31" s="75"/>
      <c r="BY31" s="81"/>
      <c r="BZ31" s="75"/>
      <c r="CA31" s="81"/>
      <c r="CB31" s="75"/>
      <c r="CC31" s="81"/>
      <c r="CD31" s="75"/>
      <c r="CE31" s="81"/>
      <c r="CF31" s="75"/>
      <c r="CG31" s="81"/>
      <c r="CH31" s="75"/>
      <c r="CI31" s="81"/>
      <c r="CJ31" s="75"/>
      <c r="CK31" s="81"/>
      <c r="CL31" s="75"/>
      <c r="CM31" s="81"/>
      <c r="CN31" s="75"/>
      <c r="CO31" s="81"/>
      <c r="CP31" s="75"/>
      <c r="CQ31" s="81"/>
      <c r="CR31" s="75"/>
      <c r="CS31" s="81"/>
      <c r="CT31" s="75"/>
      <c r="CU31" s="81"/>
      <c r="CV31" s="75"/>
      <c r="CW31" s="81"/>
      <c r="CX31" s="75"/>
      <c r="CY31" s="82" t="n">
        <f aca="false">W31+Y31+AA31+AC31+AE31+AG31+AI31+AK31+AM31+AO31+AQ31+AS31+AU31+AW31+AY31+BA31+BC31+BE31+BG31+BI31+BK31+BM31+BO31+BQ31+BS31+BU31+BW31+BY31+CA31+CC31+CE31+CG31+CI31+CK31+CM31+CO31+CQ31+CS31+CU31+CW31</f>
        <v>0</v>
      </c>
      <c r="CZ31" s="83" t="n">
        <f aca="false">IF(AND(CY31=0,DC31=0),0,(DF31+DG31)/DC31)</f>
        <v>0</v>
      </c>
      <c r="DA31" s="84" t="n">
        <f aca="false">DC31*DD31</f>
        <v>0</v>
      </c>
      <c r="DB31" s="85" t="n">
        <f aca="false">V31</f>
        <v>37154</v>
      </c>
      <c r="DC31" s="84" t="n">
        <f aca="false">ABS(W31)+ABS(Y31)+ABS(AA31)+ABS(AC31)+ABS(AE31)+ABS(AG31)+ABS(AI31)+ABS(AK31)+ABS(AM31)+ABS(AO31)+ABS(AQ31)+ABS(AS31)+ABS(AU31)+ABS(AW31)+ABS(AY31)+ABS(BA31)+ABS(BC31)+ABS(BE31)+ABS(BG31)+ABS(BI31)+ABS(BK31)+ABS(BM31)+ABS(BO31)+ABS(BQ31)+ABS(BS31)+ABS(BU31)+ABS(BW31)+ABS(BY31)+ABS(CA31)+ABS(CC31)+ABS(CE31)+ABS(CG31)+ABS(CI31)+ABS(CK31)+ABS(CM31)+ABS(CO31)+ABS(CQ31)+ABS(CS31)+ABS(CU31)+ABS(CW31)</f>
        <v>0</v>
      </c>
      <c r="DD31" s="86" t="n">
        <v>16</v>
      </c>
      <c r="DE31" s="84" t="n">
        <v>1</v>
      </c>
      <c r="DF31" s="43" t="n">
        <f aca="false">(ABS(W31)*X31+ABS(Y31)*Z31+ABS(AA31)*AB31+ABS(AC31)*AD31+ABS(AE31)*AF31+ABS(AG31)*AH31+ABS(AI31)*AJ31+ABS(AK31)*AL31+ABS(AM31)*AN31+ABS(AO31)*AP31+ABS(AQ31)*AR31+ABS(AS31)*AT31+ABS(AU31)*AV31+ABS(AW31)*AX31+ABS(AY31)*AZ31+ABS(BA31)*BB31+ABS(BC31)*BD31+ABS(BE31)*BF31+ABS(BG31)*BH31+ABS(BI31)*BJ31)</f>
        <v>0</v>
      </c>
      <c r="DG31" s="43" t="n">
        <f aca="false">ABS(BK31)*BL31+ABS(BM31)*BN31+ABS(BO31)*BP31+ABS(BQ31)*BR31+ABS(BS31)*BT31+ABS(BU31)*BV31+ABS(BW31)*BX31+ABS(BY31)*BZ31+ABS(CA31)*CB31+ABS(CC31)*CD31+ABS(CE31)*CF31+ABS(CG31)*CH31+ABS(CI31)*CJ31+ABS(CK31)*CL31+ABS(CM31)*CN31+ABS(CO31)*CP31+ABS(CQ31)*CR31+ABS(CS31)*CT31+ABS(CU31)*CV31+ABS(CW31)*CX31</f>
        <v>0</v>
      </c>
      <c r="DH31" s="43" t="n">
        <f aca="false">((H31-X31)*W31+(H31-Z31)*Y31+(H31-AB31)*AA31+(H31-AD31)*AC31+(H31-AF31)*AE31+(H31-AH31)*AG31+(H31-AJ31)*AI31+(H31-AL31)*AK31+(H31-AN31)*AM31+(H31-AP31)*AO31+(H31-AR31)*AQ31+(H31-AT31)*AS31+(H31-AV31)*AU31+(H31-AX31)*AW31+(H31-AZ31)*AY31+(H31-BB31)*BA31+(H31-BD31)*BC31+(H31-BF31)*BE31+(H31-BH31)*BG31+(H31-BJ31)*BI31)*DD31*DE31</f>
        <v>0</v>
      </c>
      <c r="DI31" s="43" t="n">
        <f aca="false">(((H31-BL31)*BK31+(H31-BN31)*BM31+(H31-BP31)*BO31+(H31-BR31)*BQ31+(H31-BT31)*BS31+(H31-BV31)*BU31+(H31-BX31)*BW31+(H31-BZ31)*BY31+(H31-CB31)*CA31+(H31-CD31)*CC31+(H31-CF31)*CE31+(H31-CH31)*CG31+(H31-CJ31)*CH31+(H31-CL31)*CK31+(H31-CN31)*CM31+(H31-CP31)*CO31+(H31-CR31)*CQ31+(H31-CT31)*CS31+(H31-CV31)*CU31+(H31-CX31)*CW31)*DD31*DE31)</f>
        <v>0</v>
      </c>
      <c r="DK31" s="85" t="n">
        <v>37154</v>
      </c>
      <c r="DL31" s="21" t="n">
        <v>-49.9999999999998</v>
      </c>
      <c r="DM31" s="21" t="n">
        <f aca="false">[5]NEPOOL!$L18</f>
        <v>-1189.7</v>
      </c>
      <c r="DN31" s="21" t="n">
        <f aca="false">IF(AND(WEEKDAY(DK31)&gt;1,WEEKDAY(DK31)&lt;7),1,0)</f>
        <v>1</v>
      </c>
    </row>
    <row r="32" customFormat="false" ht="18.75" hidden="false" customHeight="false" outlineLevel="0" collapsed="false">
      <c r="A32" s="58" t="n">
        <f aca="false">'NYISO A'!A32</f>
        <v>37155</v>
      </c>
      <c r="B32" s="59" t="n">
        <f aca="false">+[3]NYZoneG!$L23/16</f>
        <v>2.49999999001049E-013</v>
      </c>
      <c r="C32" s="60" t="n">
        <f aca="false">CY32</f>
        <v>0</v>
      </c>
      <c r="D32" s="61" t="n">
        <f aca="false">(IF(MONTH(A32)=MONTH(EOMONTH(TradeDate,1)),$AP$70,0)*VLOOKUP(A32,$DK$12:$DN$43,4))</f>
        <v>0</v>
      </c>
      <c r="E32" s="62" t="n">
        <f aca="false">B32+C32+D32</f>
        <v>2.49999999001049E-013</v>
      </c>
      <c r="F32" s="63" t="n">
        <f aca="false">[3]NYZoneG!$C23</f>
        <v>40.5</v>
      </c>
      <c r="G32" s="63" t="n">
        <f aca="false">IF($Q$9,Q32,P32)</f>
        <v>0</v>
      </c>
      <c r="H32" s="64" t="n">
        <f aca="false">F32+G32</f>
        <v>40.5</v>
      </c>
      <c r="I32" s="65" t="n">
        <f aca="false">B32*G32*DD32</f>
        <v>0</v>
      </c>
      <c r="J32" s="66" t="n">
        <f aca="false">DH32+DI32</f>
        <v>0</v>
      </c>
      <c r="K32" s="66" t="n">
        <f aca="false">I32+J32</f>
        <v>0</v>
      </c>
      <c r="L32" s="100"/>
      <c r="M32" s="67" t="n">
        <f aca="false">A32</f>
        <v>37155</v>
      </c>
      <c r="N32" s="92" t="n">
        <v>40.5</v>
      </c>
      <c r="O32" s="92" t="n">
        <v>40.5</v>
      </c>
      <c r="P32" s="69" t="n">
        <f aca="false">AVERAGE(N32:O32)-F32</f>
        <v>0</v>
      </c>
      <c r="Q32" s="70"/>
      <c r="R32" s="91" t="n">
        <f aca="false">H32</f>
        <v>40.5</v>
      </c>
      <c r="S32" s="24"/>
      <c r="T32" s="24"/>
      <c r="U32" s="72"/>
      <c r="V32" s="73" t="n">
        <f aca="false">A32</f>
        <v>37155</v>
      </c>
      <c r="W32" s="77"/>
      <c r="X32" s="76"/>
      <c r="Y32" s="77"/>
      <c r="Z32" s="78"/>
      <c r="AA32" s="77"/>
      <c r="AB32" s="78"/>
      <c r="AC32" s="77"/>
      <c r="AD32" s="76"/>
      <c r="AE32" s="77"/>
      <c r="AF32" s="76"/>
      <c r="AG32" s="77"/>
      <c r="AH32" s="76"/>
      <c r="AI32" s="74"/>
      <c r="AJ32" s="76"/>
      <c r="AK32" s="77"/>
      <c r="AL32" s="76"/>
      <c r="AM32" s="77"/>
      <c r="AN32" s="76"/>
      <c r="AO32" s="77"/>
      <c r="AP32" s="78"/>
      <c r="AQ32" s="77"/>
      <c r="AR32" s="78"/>
      <c r="AS32" s="77"/>
      <c r="AT32" s="78"/>
      <c r="AU32" s="74"/>
      <c r="AV32" s="75"/>
      <c r="AW32" s="96"/>
      <c r="AX32" s="75"/>
      <c r="AY32" s="81"/>
      <c r="AZ32" s="75"/>
      <c r="BA32" s="77"/>
      <c r="BB32" s="78"/>
      <c r="BC32" s="77"/>
      <c r="BD32" s="78"/>
      <c r="BE32" s="77"/>
      <c r="BF32" s="78"/>
      <c r="BG32" s="81"/>
      <c r="BH32" s="75"/>
      <c r="BI32" s="81"/>
      <c r="BJ32" s="75"/>
      <c r="BK32" s="81"/>
      <c r="BL32" s="75"/>
      <c r="BM32" s="81"/>
      <c r="BN32" s="75"/>
      <c r="BO32" s="81"/>
      <c r="BP32" s="75"/>
      <c r="BQ32" s="81"/>
      <c r="BR32" s="75"/>
      <c r="BS32" s="81"/>
      <c r="BT32" s="75"/>
      <c r="BU32" s="81"/>
      <c r="BV32" s="75"/>
      <c r="BW32" s="81"/>
      <c r="BX32" s="75"/>
      <c r="BY32" s="81"/>
      <c r="BZ32" s="75"/>
      <c r="CA32" s="81"/>
      <c r="CB32" s="75"/>
      <c r="CC32" s="81"/>
      <c r="CD32" s="75"/>
      <c r="CE32" s="81"/>
      <c r="CF32" s="75"/>
      <c r="CG32" s="81"/>
      <c r="CH32" s="75"/>
      <c r="CI32" s="81"/>
      <c r="CJ32" s="75"/>
      <c r="CK32" s="81"/>
      <c r="CL32" s="75"/>
      <c r="CM32" s="81"/>
      <c r="CN32" s="75"/>
      <c r="CO32" s="81"/>
      <c r="CP32" s="75"/>
      <c r="CQ32" s="81"/>
      <c r="CR32" s="75"/>
      <c r="CS32" s="81"/>
      <c r="CT32" s="75"/>
      <c r="CU32" s="81"/>
      <c r="CV32" s="75"/>
      <c r="CW32" s="81"/>
      <c r="CX32" s="75"/>
      <c r="CY32" s="82" t="n">
        <f aca="false">W32+Y32+AA32+AC32+AE32+AG32+AI32+AK32+AM32+AO32+AQ32+AS32+AU32+AW32+AY32+BA32+BC32+BE32+BG32+BI32+BK32+BM32+BO32+BQ32+BS32+BU32+BW32+BY32+CA32+CC32+CE32+CG32+CI32+CK32+CM32+CO32+CQ32+CS32+CU32+CW32</f>
        <v>0</v>
      </c>
      <c r="CZ32" s="83" t="n">
        <f aca="false">IF(AND(CY32=0,DC32=0),0,(DF32+DG32)/DC32)</f>
        <v>0</v>
      </c>
      <c r="DA32" s="84" t="n">
        <f aca="false">DC32*DD32</f>
        <v>0</v>
      </c>
      <c r="DB32" s="85" t="n">
        <f aca="false">V32</f>
        <v>37155</v>
      </c>
      <c r="DC32" s="84" t="n">
        <f aca="false">ABS(W32)+ABS(Y32)+ABS(AA32)+ABS(AC32)+ABS(AE32)+ABS(AG32)+ABS(AI32)+ABS(AK32)+ABS(AM32)+ABS(AO32)+ABS(AQ32)+ABS(AS32)+ABS(AU32)+ABS(AW32)+ABS(AY32)+ABS(BA32)+ABS(BC32)+ABS(BE32)+ABS(BG32)+ABS(BI32)+ABS(BK32)+ABS(BM32)+ABS(BO32)+ABS(BQ32)+ABS(BS32)+ABS(BU32)+ABS(BW32)+ABS(BY32)+ABS(CA32)+ABS(CC32)+ABS(CE32)+ABS(CG32)+ABS(CI32)+ABS(CK32)+ABS(CM32)+ABS(CO32)+ABS(CQ32)+ABS(CS32)+ABS(CU32)+ABS(CW32)</f>
        <v>0</v>
      </c>
      <c r="DD32" s="86" t="n">
        <v>16</v>
      </c>
      <c r="DE32" s="84" t="n">
        <v>1</v>
      </c>
      <c r="DF32" s="43" t="n">
        <f aca="false">(ABS(W32)*X32+ABS(Y32)*Z32+ABS(AA32)*AB32+ABS(AC32)*AD32+ABS(AE32)*AF32+ABS(AG32)*AH32+ABS(AI32)*AJ32+ABS(AK32)*AL32+ABS(AM32)*AN32+ABS(AO32)*AP32+ABS(AQ32)*AR32+ABS(AS32)*AT32+ABS(AU32)*AV32+ABS(AW32)*AX32+ABS(AY32)*AZ32+ABS(BA32)*BB32+ABS(BC32)*BD32+ABS(BE32)*BF32+ABS(BG32)*BH32+ABS(BI32)*BJ32)</f>
        <v>0</v>
      </c>
      <c r="DG32" s="43" t="n">
        <f aca="false">ABS(BK32)*BL32+ABS(BM32)*BN32+ABS(BO32)*BP32+ABS(BQ32)*BR32+ABS(BS32)*BT32+ABS(BU32)*BV32+ABS(BW32)*BX32+ABS(BY32)*BZ32+ABS(CA32)*CB32+ABS(CC32)*CD32+ABS(CE32)*CF32+ABS(CG32)*CH32+ABS(CI32)*CJ32+ABS(CK32)*CL32+ABS(CM32)*CN32+ABS(CO32)*CP32+ABS(CQ32)*CR32+ABS(CS32)*CT32+ABS(CU32)*CV32+ABS(CW32)*CX32</f>
        <v>0</v>
      </c>
      <c r="DH32" s="43" t="n">
        <f aca="false">((H32-X32)*W32+(H32-Z32)*Y32+(H32-AB32)*AA32+(H32-AD32)*AC32+(H32-AF32)*AE32+(H32-AH32)*AG32+(H32-AJ32)*AI32+(H32-AL32)*AK32+(H32-AN32)*AM32+(H32-AP32)*AO32+(H32-AR32)*AQ32+(H32-AT32)*AS32+(H32-AV32)*AU32+(H32-AX32)*AW32+(H32-AZ32)*AY32+(H32-BB32)*BA32+(H32-BD32)*BC32+(H32-BF32)*BE32+(H32-BH32)*BG32+(H32-BJ32)*BI32)*DD32*DE32</f>
        <v>0</v>
      </c>
      <c r="DI32" s="43" t="n">
        <f aca="false">(((H32-BL32)*BK32+(H32-BN32)*BM32+(H32-BP32)*BO32+(H32-BR32)*BQ32+(H32-BT32)*BS32+(H32-BV32)*BU32+(H32-BX32)*BW32+(H32-BZ32)*BY32+(H32-CB32)*CA32+(H32-CD32)*CC32+(H32-CF32)*CE32+(H32-CH32)*CG32+(H32-CJ32)*CH32+(H32-CL32)*CK32+(H32-CN32)*CM32+(H32-CP32)*CO32+(H32-CR32)*CQ32+(H32-CT32)*CS32+(H32-CV32)*CU32+(H32-CX32)*CW32)*DD32*DE32)</f>
        <v>0</v>
      </c>
      <c r="DK32" s="85" t="n">
        <v>37155</v>
      </c>
      <c r="DL32" s="21" t="n">
        <v>-49.9999999999998</v>
      </c>
      <c r="DM32" s="21" t="n">
        <f aca="false">[5]NEPOOL!$L19</f>
        <v>-1189.7</v>
      </c>
      <c r="DN32" s="21" t="n">
        <f aca="false">IF(AND(WEEKDAY(DK32)&gt;1,WEEKDAY(DK32)&lt;7),1,0)</f>
        <v>1</v>
      </c>
    </row>
    <row r="33" customFormat="false" ht="18.75" hidden="false" customHeight="false" outlineLevel="0" collapsed="false">
      <c r="A33" s="58" t="n">
        <f aca="false">'NYISO A'!A33</f>
        <v>37156</v>
      </c>
      <c r="B33" s="59" t="n">
        <f aca="false">+[3]NYZoneG!$L24/16</f>
        <v>0</v>
      </c>
      <c r="C33" s="101" t="n">
        <f aca="false">CY33</f>
        <v>0</v>
      </c>
      <c r="D33" s="87" t="n">
        <f aca="false">(IF(MONTH(A33)=MONTH(EOMONTH(TradeDate,1)),$AP$70,0)*VLOOKUP(A33,$DK$12:$DN$43,4))</f>
        <v>0</v>
      </c>
      <c r="E33" s="62" t="n">
        <f aca="false">B33+C33+D33</f>
        <v>0</v>
      </c>
      <c r="F33" s="63" t="n">
        <f aca="false">[3]NYZoneG!$C24</f>
        <v>38</v>
      </c>
      <c r="G33" s="88" t="n">
        <f aca="false">IF($Q$9,Q33,P33)</f>
        <v>0</v>
      </c>
      <c r="H33" s="89" t="n">
        <f aca="false">F33+G33</f>
        <v>38</v>
      </c>
      <c r="I33" s="87" t="n">
        <f aca="false">B33*G33*DD33</f>
        <v>0</v>
      </c>
      <c r="J33" s="66" t="n">
        <f aca="false">DH33+DI33</f>
        <v>0</v>
      </c>
      <c r="K33" s="90" t="n">
        <f aca="false">I33+J33</f>
        <v>0</v>
      </c>
      <c r="L33" s="100"/>
      <c r="M33" s="67" t="n">
        <f aca="false">A33</f>
        <v>37156</v>
      </c>
      <c r="N33" s="92" t="n">
        <v>38</v>
      </c>
      <c r="O33" s="92" t="n">
        <v>38</v>
      </c>
      <c r="P33" s="69" t="n">
        <f aca="false">AVERAGE(N33:O33)-F33</f>
        <v>0</v>
      </c>
      <c r="Q33" s="70"/>
      <c r="R33" s="91" t="n">
        <f aca="false">H33</f>
        <v>38</v>
      </c>
      <c r="S33" s="24"/>
      <c r="T33" s="24"/>
      <c r="U33" s="72"/>
      <c r="V33" s="73" t="n">
        <f aca="false">A33</f>
        <v>37156</v>
      </c>
      <c r="W33" s="77"/>
      <c r="X33" s="76"/>
      <c r="Y33" s="77"/>
      <c r="Z33" s="78"/>
      <c r="AA33" s="77"/>
      <c r="AB33" s="78"/>
      <c r="AC33" s="77"/>
      <c r="AD33" s="76"/>
      <c r="AE33" s="77"/>
      <c r="AF33" s="76"/>
      <c r="AG33" s="77"/>
      <c r="AH33" s="76"/>
      <c r="AI33" s="74"/>
      <c r="AJ33" s="76"/>
      <c r="AK33" s="77"/>
      <c r="AL33" s="76"/>
      <c r="AM33" s="77"/>
      <c r="AN33" s="76"/>
      <c r="AO33" s="77"/>
      <c r="AP33" s="78"/>
      <c r="AQ33" s="77"/>
      <c r="AR33" s="78"/>
      <c r="AS33" s="77"/>
      <c r="AT33" s="78"/>
      <c r="AU33" s="74"/>
      <c r="AV33" s="75"/>
      <c r="AW33" s="96"/>
      <c r="AX33" s="75"/>
      <c r="AY33" s="81"/>
      <c r="AZ33" s="75"/>
      <c r="BA33" s="77"/>
      <c r="BB33" s="78"/>
      <c r="BC33" s="77"/>
      <c r="BD33" s="78"/>
      <c r="BE33" s="77"/>
      <c r="BF33" s="78"/>
      <c r="BG33" s="81"/>
      <c r="BH33" s="75"/>
      <c r="BI33" s="81"/>
      <c r="BJ33" s="75"/>
      <c r="BK33" s="81"/>
      <c r="BL33" s="75"/>
      <c r="BM33" s="81"/>
      <c r="BN33" s="75"/>
      <c r="BO33" s="81"/>
      <c r="BP33" s="75"/>
      <c r="BQ33" s="81"/>
      <c r="BR33" s="75"/>
      <c r="BS33" s="81"/>
      <c r="BT33" s="75"/>
      <c r="BU33" s="81"/>
      <c r="BV33" s="75"/>
      <c r="BW33" s="81"/>
      <c r="BX33" s="75"/>
      <c r="BY33" s="81"/>
      <c r="BZ33" s="75"/>
      <c r="CA33" s="81"/>
      <c r="CB33" s="75"/>
      <c r="CC33" s="81"/>
      <c r="CD33" s="75"/>
      <c r="CE33" s="81"/>
      <c r="CF33" s="75"/>
      <c r="CG33" s="81"/>
      <c r="CH33" s="75"/>
      <c r="CI33" s="81"/>
      <c r="CJ33" s="75"/>
      <c r="CK33" s="81"/>
      <c r="CL33" s="75"/>
      <c r="CM33" s="81"/>
      <c r="CN33" s="75"/>
      <c r="CO33" s="81"/>
      <c r="CP33" s="75"/>
      <c r="CQ33" s="81"/>
      <c r="CR33" s="75"/>
      <c r="CS33" s="81"/>
      <c r="CT33" s="75"/>
      <c r="CU33" s="81"/>
      <c r="CV33" s="75"/>
      <c r="CW33" s="81"/>
      <c r="CX33" s="75"/>
      <c r="CY33" s="82" t="n">
        <f aca="false">W33+Y33+AA33+AC33+AE33+AG33+AI33+AK33+AM33+AO33+AQ33+AS33+AU33+AW33+AY33+BA33+BC33+BE33+BG33+BI33+BK33+BM33+BO33+BQ33+BS33+BU33+BW33+BY33+CA33+CC33+CE33+CG33+CI33+CK33+CM33+CO33+CQ33+CS33+CU33+CW33</f>
        <v>0</v>
      </c>
      <c r="CZ33" s="83" t="n">
        <f aca="false">IF(AND(CY33=0,DC33=0),0,(DF33+DG33)/DC33)</f>
        <v>0</v>
      </c>
      <c r="DA33" s="84" t="n">
        <f aca="false">DC33*DD33</f>
        <v>0</v>
      </c>
      <c r="DB33" s="85" t="n">
        <f aca="false">V33</f>
        <v>37156</v>
      </c>
      <c r="DC33" s="84" t="n">
        <f aca="false">ABS(W33)+ABS(Y33)+ABS(AA33)+ABS(AC33)+ABS(AE33)+ABS(AG33)+ABS(AI33)+ABS(AK33)+ABS(AM33)+ABS(AO33)+ABS(AQ33)+ABS(AS33)+ABS(AU33)+ABS(AW33)+ABS(AY33)+ABS(BA33)+ABS(BC33)+ABS(BE33)+ABS(BG33)+ABS(BI33)+ABS(BK33)+ABS(BM33)+ABS(BO33)+ABS(BQ33)+ABS(BS33)+ABS(BU33)+ABS(BW33)+ABS(BY33)+ABS(CA33)+ABS(CC33)+ABS(CE33)+ABS(CG33)+ABS(CI33)+ABS(CK33)+ABS(CM33)+ABS(CO33)+ABS(CQ33)+ABS(CS33)+ABS(CU33)+ABS(CW33)</f>
        <v>0</v>
      </c>
      <c r="DD33" s="86" t="n">
        <v>16</v>
      </c>
      <c r="DE33" s="84" t="n">
        <v>1</v>
      </c>
      <c r="DF33" s="43" t="n">
        <f aca="false">(ABS(W33)*X33+ABS(Y33)*Z33+ABS(AA33)*AB33+ABS(AC33)*AD33+ABS(AE33)*AF33+ABS(AG33)*AH33+ABS(AI33)*AJ33+ABS(AK33)*AL33+ABS(AM33)*AN33+ABS(AO33)*AP33+ABS(AQ33)*AR33+ABS(AS33)*AT33+ABS(AU33)*AV33+ABS(AW33)*AX33+ABS(AY33)*AZ33+ABS(BA33)*BB33+ABS(BC33)*BD33+ABS(BE33)*BF33+ABS(BG33)*BH33+ABS(BI33)*BJ33)</f>
        <v>0</v>
      </c>
      <c r="DG33" s="43" t="n">
        <f aca="false">ABS(BK33)*BL33+ABS(BM33)*BN33+ABS(BO33)*BP33+ABS(BQ33)*BR33+ABS(BS33)*BT33+ABS(BU33)*BV33+ABS(BW33)*BX33+ABS(BY33)*BZ33+ABS(CA33)*CB33+ABS(CC33)*CD33+ABS(CE33)*CF33+ABS(CG33)*CH33+ABS(CI33)*CJ33+ABS(CK33)*CL33+ABS(CM33)*CN33+ABS(CO33)*CP33+ABS(CQ33)*CR33+ABS(CS33)*CT33+ABS(CU33)*CV33+ABS(CW33)*CX33</f>
        <v>0</v>
      </c>
      <c r="DH33" s="43" t="n">
        <f aca="false">((H33-X33)*W33+(H33-Z33)*Y33+(H33-AB33)*AA33+(H33-AD33)*AC33+(H33-AF33)*AE33+(H33-AH33)*AG33+(H33-AJ33)*AI33+(H33-AL33)*AK33+(H33-AN33)*AM33+(H33-AP33)*AO33+(H33-AR33)*AQ33+(H33-AT33)*AS33+(H33-AV33)*AU33+(H33-AX33)*AW33+(H33-AZ33)*AY33+(H33-BB33)*BA33+(H33-BD33)*BC33+(H33-BF33)*BE33+(H33-BH33)*BG33+(H33-BJ33)*BI33)*DD33*DE33</f>
        <v>0</v>
      </c>
      <c r="DI33" s="43" t="n">
        <f aca="false">(((H33-BL33)*BK33+(H33-BN33)*BM33+(H33-BP33)*BO33+(H33-BR33)*BQ33+(H33-BT33)*BS33+(H33-BV33)*BU33+(H33-BX33)*BW33+(H33-BZ33)*BY33+(H33-CB33)*CA33+(H33-CD33)*CC33+(H33-CF33)*CE33+(H33-CH33)*CG33+(H33-CJ33)*CH33+(H33-CL33)*CK33+(H33-CN33)*CM33+(H33-CP33)*CO33+(H33-CR33)*CQ33+(H33-CT33)*CS33+(H33-CV33)*CU33+(H33-CX33)*CW33)*DD33*DE33)</f>
        <v>0</v>
      </c>
      <c r="DK33" s="85" t="n">
        <v>37156</v>
      </c>
      <c r="DL33" s="21" t="n">
        <v>0</v>
      </c>
      <c r="DM33" s="21" t="n">
        <f aca="false">[5]NEPOOL!$L20</f>
        <v>-1189.7</v>
      </c>
      <c r="DN33" s="21" t="n">
        <f aca="false">IF(AND(WEEKDAY(DK33)&gt;1,WEEKDAY(DK33)&lt;7),1,0)</f>
        <v>0</v>
      </c>
    </row>
    <row r="34" customFormat="false" ht="18.75" hidden="false" customHeight="false" outlineLevel="0" collapsed="false">
      <c r="A34" s="58" t="n">
        <f aca="false">'NYISO A'!A34</f>
        <v>37157</v>
      </c>
      <c r="B34" s="59" t="n">
        <f aca="false">+[3]NYZoneG!$L25/16</f>
        <v>0</v>
      </c>
      <c r="C34" s="60" t="n">
        <f aca="false">CY34</f>
        <v>0</v>
      </c>
      <c r="D34" s="61" t="n">
        <f aca="false">(IF(MONTH(A34)=MONTH(EOMONTH(TradeDate,1)),$AP$70,0)*VLOOKUP(A34,$DK$12:$DN$43,4))</f>
        <v>0</v>
      </c>
      <c r="E34" s="62" t="n">
        <f aca="false">B34+C34+D34</f>
        <v>0</v>
      </c>
      <c r="F34" s="63" t="n">
        <f aca="false">[3]NYZoneG!$C25</f>
        <v>38</v>
      </c>
      <c r="G34" s="63" t="n">
        <f aca="false">IF($Q$9,Q34,P34)</f>
        <v>0</v>
      </c>
      <c r="H34" s="64" t="n">
        <f aca="false">F34+G34</f>
        <v>38</v>
      </c>
      <c r="I34" s="65" t="n">
        <f aca="false">B34*G34*DD34</f>
        <v>0</v>
      </c>
      <c r="J34" s="66" t="n">
        <f aca="false">DH34+DI34</f>
        <v>0</v>
      </c>
      <c r="K34" s="66" t="n">
        <f aca="false">I34+J34</f>
        <v>0</v>
      </c>
      <c r="L34" s="24"/>
      <c r="M34" s="67" t="n">
        <f aca="false">A34</f>
        <v>37157</v>
      </c>
      <c r="N34" s="92" t="n">
        <v>38</v>
      </c>
      <c r="O34" s="92" t="n">
        <v>38</v>
      </c>
      <c r="P34" s="69" t="n">
        <f aca="false">AVERAGE(N34:O34)-F34</f>
        <v>0</v>
      </c>
      <c r="Q34" s="70"/>
      <c r="R34" s="91" t="n">
        <f aca="false">H34</f>
        <v>38</v>
      </c>
      <c r="S34" s="24"/>
      <c r="T34" s="24"/>
      <c r="U34" s="72"/>
      <c r="V34" s="73" t="n">
        <f aca="false">A34</f>
        <v>37157</v>
      </c>
      <c r="W34" s="77"/>
      <c r="X34" s="76"/>
      <c r="Y34" s="77"/>
      <c r="Z34" s="78"/>
      <c r="AA34" s="77"/>
      <c r="AB34" s="78"/>
      <c r="AC34" s="77"/>
      <c r="AD34" s="76"/>
      <c r="AE34" s="77"/>
      <c r="AF34" s="76"/>
      <c r="AG34" s="77"/>
      <c r="AH34" s="76"/>
      <c r="AI34" s="74"/>
      <c r="AJ34" s="76"/>
      <c r="AK34" s="77"/>
      <c r="AL34" s="76"/>
      <c r="AM34" s="77"/>
      <c r="AN34" s="76"/>
      <c r="AO34" s="77"/>
      <c r="AP34" s="78"/>
      <c r="AQ34" s="77"/>
      <c r="AR34" s="78"/>
      <c r="AS34" s="77"/>
      <c r="AT34" s="78"/>
      <c r="AU34" s="74"/>
      <c r="AV34" s="75"/>
      <c r="AW34" s="96"/>
      <c r="AX34" s="75"/>
      <c r="AY34" s="81"/>
      <c r="AZ34" s="75"/>
      <c r="BA34" s="77"/>
      <c r="BB34" s="78"/>
      <c r="BC34" s="77"/>
      <c r="BD34" s="78"/>
      <c r="BE34" s="77"/>
      <c r="BF34" s="78"/>
      <c r="BG34" s="81"/>
      <c r="BH34" s="75"/>
      <c r="BI34" s="81"/>
      <c r="BJ34" s="75"/>
      <c r="BK34" s="81"/>
      <c r="BL34" s="75"/>
      <c r="BM34" s="81"/>
      <c r="BN34" s="75"/>
      <c r="BO34" s="81"/>
      <c r="BP34" s="75"/>
      <c r="BQ34" s="81"/>
      <c r="BR34" s="75"/>
      <c r="BS34" s="81"/>
      <c r="BT34" s="75"/>
      <c r="BU34" s="81"/>
      <c r="BV34" s="75"/>
      <c r="BW34" s="81"/>
      <c r="BX34" s="75"/>
      <c r="BY34" s="81"/>
      <c r="BZ34" s="75"/>
      <c r="CA34" s="81"/>
      <c r="CB34" s="75"/>
      <c r="CC34" s="81"/>
      <c r="CD34" s="75"/>
      <c r="CE34" s="81"/>
      <c r="CF34" s="75"/>
      <c r="CG34" s="81"/>
      <c r="CH34" s="75"/>
      <c r="CI34" s="81"/>
      <c r="CJ34" s="75"/>
      <c r="CK34" s="81"/>
      <c r="CL34" s="75"/>
      <c r="CM34" s="81"/>
      <c r="CN34" s="75"/>
      <c r="CO34" s="81"/>
      <c r="CP34" s="75"/>
      <c r="CQ34" s="81"/>
      <c r="CR34" s="75"/>
      <c r="CS34" s="81"/>
      <c r="CT34" s="75"/>
      <c r="CU34" s="81"/>
      <c r="CV34" s="75"/>
      <c r="CW34" s="81"/>
      <c r="CX34" s="75"/>
      <c r="CY34" s="82" t="n">
        <f aca="false">W34+Y34+AA34+AC34+AE34+AG34+AI34+AK34+AM34+AO34+AQ34+AS34+AU34+AW34+AY34+BA34+BC34+BE34+BG34+BI34+BK34+BM34+BO34+BQ34+BS34+BU34+BW34+BY34+CA34+CC34+CE34+CG34+CI34+CK34+CM34+CO34+CQ34+CS34+CU34+CW34</f>
        <v>0</v>
      </c>
      <c r="CZ34" s="83" t="n">
        <f aca="false">IF(AND(CY34=0,DC34=0),0,(DF34+DG34)/DC34)</f>
        <v>0</v>
      </c>
      <c r="DA34" s="84" t="n">
        <f aca="false">DC34*DD34</f>
        <v>0</v>
      </c>
      <c r="DB34" s="85" t="n">
        <f aca="false">V34</f>
        <v>37157</v>
      </c>
      <c r="DC34" s="84" t="n">
        <f aca="false">ABS(W34)+ABS(Y34)+ABS(AA34)+ABS(AC34)+ABS(AE34)+ABS(AG34)+ABS(AI34)+ABS(AK34)+ABS(AM34)+ABS(AO34)+ABS(AQ34)+ABS(AS34)+ABS(AU34)+ABS(AW34)+ABS(AY34)+ABS(BA34)+ABS(BC34)+ABS(BE34)+ABS(BG34)+ABS(BI34)+ABS(BK34)+ABS(BM34)+ABS(BO34)+ABS(BQ34)+ABS(BS34)+ABS(BU34)+ABS(BW34)+ABS(BY34)+ABS(CA34)+ABS(CC34)+ABS(CE34)+ABS(CG34)+ABS(CI34)+ABS(CK34)+ABS(CM34)+ABS(CO34)+ABS(CQ34)+ABS(CS34)+ABS(CU34)+ABS(CW34)</f>
        <v>0</v>
      </c>
      <c r="DD34" s="86" t="n">
        <v>16</v>
      </c>
      <c r="DE34" s="84" t="n">
        <v>1</v>
      </c>
      <c r="DF34" s="43" t="n">
        <f aca="false">(ABS(W34)*X34+ABS(Y34)*Z34+ABS(AA34)*AB34+ABS(AC34)*AD34+ABS(AE34)*AF34+ABS(AG34)*AH34+ABS(AI34)*AJ34+ABS(AK34)*AL34+ABS(AM34)*AN34+ABS(AO34)*AP34+ABS(AQ34)*AR34+ABS(AS34)*AT34+ABS(AU34)*AV34+ABS(AW34)*AX34+ABS(AY34)*AZ34+ABS(BA34)*BB34+ABS(BC34)*BD34+ABS(BE34)*BF34+ABS(BG34)*BH34+ABS(BI34)*BJ34)</f>
        <v>0</v>
      </c>
      <c r="DG34" s="43" t="n">
        <f aca="false">ABS(BK34)*BL34+ABS(BM34)*BN34+ABS(BO34)*BP34+ABS(BQ34)*BR34+ABS(BS34)*BT34+ABS(BU34)*BV34+ABS(BW34)*BX34+ABS(BY34)*BZ34+ABS(CA34)*CB34+ABS(CC34)*CD34+ABS(CE34)*CF34+ABS(CG34)*CH34+ABS(CI34)*CJ34+ABS(CK34)*CL34+ABS(CM34)*CN34+ABS(CO34)*CP34+ABS(CQ34)*CR34+ABS(CS34)*CT34+ABS(CU34)*CV34+ABS(CW34)*CX34</f>
        <v>0</v>
      </c>
      <c r="DH34" s="43" t="n">
        <f aca="false">((H34-X34)*W34+(H34-Z34)*Y34+(H34-AB34)*AA34+(H34-AD34)*AC34+(H34-AF34)*AE34+(H34-AH34)*AG34+(H34-AJ34)*AI34+(H34-AL34)*AK34+(H34-AN34)*AM34+(H34-AP34)*AO34+(H34-AR34)*AQ34+(H34-AT34)*AS34+(H34-AV34)*AU34+(H34-AX34)*AW34+(H34-AZ34)*AY34+(H34-BB34)*BA34+(H34-BD34)*BC34+(H34-BF34)*BE34+(H34-BH34)*BG34+(H34-BJ34)*BI34)*DD34*DE34</f>
        <v>0</v>
      </c>
      <c r="DI34" s="43" t="n">
        <f aca="false">(((H34-BL34)*BK34+(H34-BN34)*BM34+(H34-BP34)*BO34+(H34-BR34)*BQ34+(H34-BT34)*BS34+(H34-BV34)*BU34+(H34-BX34)*BW34+(H34-BZ34)*BY34+(H34-CB34)*CA34+(H34-CD34)*CC34+(H34-CF34)*CE34+(H34-CH34)*CG34+(H34-CJ34)*CH34+(H34-CL34)*CK34+(H34-CN34)*CM34+(H34-CP34)*CO34+(H34-CR34)*CQ34+(H34-CT34)*CS34+(H34-CV34)*CU34+(H34-CX34)*CW34)*DD34*DE34)</f>
        <v>0</v>
      </c>
      <c r="DK34" s="85" t="n">
        <v>37157</v>
      </c>
      <c r="DL34" s="21" t="n">
        <v>0</v>
      </c>
      <c r="DM34" s="21" t="n">
        <f aca="false">[5]NEPOOL!$L21</f>
        <v>0</v>
      </c>
      <c r="DN34" s="21" t="n">
        <f aca="false">IF(AND(WEEKDAY(DK34)&gt;1,WEEKDAY(DK34)&lt;7),1,0)</f>
        <v>0</v>
      </c>
    </row>
    <row r="35" customFormat="false" ht="18.75" hidden="false" customHeight="false" outlineLevel="0" collapsed="false">
      <c r="A35" s="58" t="n">
        <f aca="false">'NYISO A'!A35</f>
        <v>37158</v>
      </c>
      <c r="B35" s="59" t="n">
        <f aca="false">+[3]NYZoneG!$L26/16</f>
        <v>2.49999999001049E-013</v>
      </c>
      <c r="C35" s="101" t="n">
        <f aca="false">CY35</f>
        <v>0</v>
      </c>
      <c r="D35" s="87" t="n">
        <f aca="false">(IF(MONTH(A35)=MONTH(EOMONTH(TradeDate,1)),$AP$70,0)*VLOOKUP(A35,$DK$12:$DN$43,4))</f>
        <v>0</v>
      </c>
      <c r="E35" s="62" t="n">
        <f aca="false">B35+C35+D35</f>
        <v>2.49999999001049E-013</v>
      </c>
      <c r="F35" s="63" t="n">
        <f aca="false">[3]NYZoneG!$C26</f>
        <v>40.5</v>
      </c>
      <c r="G35" s="88" t="n">
        <f aca="false">IF($Q$9,Q35,P35)</f>
        <v>0</v>
      </c>
      <c r="H35" s="89" t="n">
        <f aca="false">F35+G35</f>
        <v>40.5</v>
      </c>
      <c r="I35" s="87" t="n">
        <f aca="false">B35*G35*DD35</f>
        <v>0</v>
      </c>
      <c r="J35" s="66" t="n">
        <f aca="false">DH35+DI35</f>
        <v>0</v>
      </c>
      <c r="K35" s="90" t="n">
        <f aca="false">I35+J35</f>
        <v>0</v>
      </c>
      <c r="L35" s="24"/>
      <c r="M35" s="67" t="n">
        <f aca="false">A35</f>
        <v>37158</v>
      </c>
      <c r="N35" s="92" t="n">
        <v>40.5</v>
      </c>
      <c r="O35" s="92" t="n">
        <v>40.5</v>
      </c>
      <c r="P35" s="69" t="n">
        <f aca="false">AVERAGE(N35:O35)-F35</f>
        <v>0</v>
      </c>
      <c r="Q35" s="70"/>
      <c r="R35" s="91" t="n">
        <f aca="false">H35</f>
        <v>40.5</v>
      </c>
      <c r="S35" s="24"/>
      <c r="T35" s="24"/>
      <c r="U35" s="72"/>
      <c r="V35" s="73" t="n">
        <f aca="false">A35</f>
        <v>37158</v>
      </c>
      <c r="W35" s="77"/>
      <c r="X35" s="76"/>
      <c r="Y35" s="77"/>
      <c r="Z35" s="78"/>
      <c r="AA35" s="77"/>
      <c r="AB35" s="78"/>
      <c r="AC35" s="77"/>
      <c r="AD35" s="76"/>
      <c r="AE35" s="77"/>
      <c r="AF35" s="76"/>
      <c r="AG35" s="77"/>
      <c r="AH35" s="76"/>
      <c r="AI35" s="77"/>
      <c r="AJ35" s="78"/>
      <c r="AK35" s="77"/>
      <c r="AL35" s="76"/>
      <c r="AM35" s="77"/>
      <c r="AN35" s="76"/>
      <c r="AO35" s="77"/>
      <c r="AP35" s="78"/>
      <c r="AQ35" s="77"/>
      <c r="AR35" s="78"/>
      <c r="AS35" s="77"/>
      <c r="AT35" s="78"/>
      <c r="AU35" s="77"/>
      <c r="AV35" s="78"/>
      <c r="AW35" s="96"/>
      <c r="AX35" s="75"/>
      <c r="AY35" s="81"/>
      <c r="AZ35" s="75"/>
      <c r="BA35" s="77"/>
      <c r="BB35" s="78"/>
      <c r="BC35" s="77"/>
      <c r="BD35" s="78"/>
      <c r="BE35" s="77"/>
      <c r="BF35" s="78"/>
      <c r="BG35" s="81"/>
      <c r="BH35" s="75"/>
      <c r="BI35" s="81"/>
      <c r="BJ35" s="75"/>
      <c r="BK35" s="81"/>
      <c r="BL35" s="75"/>
      <c r="BM35" s="81"/>
      <c r="BN35" s="75"/>
      <c r="BO35" s="81"/>
      <c r="BP35" s="75"/>
      <c r="BQ35" s="81"/>
      <c r="BR35" s="75"/>
      <c r="BS35" s="81"/>
      <c r="BT35" s="75"/>
      <c r="BU35" s="81"/>
      <c r="BV35" s="75"/>
      <c r="BW35" s="81"/>
      <c r="BX35" s="75"/>
      <c r="BY35" s="81"/>
      <c r="BZ35" s="75"/>
      <c r="CA35" s="81"/>
      <c r="CB35" s="75"/>
      <c r="CC35" s="81"/>
      <c r="CD35" s="75"/>
      <c r="CE35" s="81"/>
      <c r="CF35" s="75"/>
      <c r="CG35" s="81"/>
      <c r="CH35" s="75"/>
      <c r="CI35" s="81"/>
      <c r="CJ35" s="75"/>
      <c r="CK35" s="81"/>
      <c r="CL35" s="75"/>
      <c r="CM35" s="81"/>
      <c r="CN35" s="75"/>
      <c r="CO35" s="81"/>
      <c r="CP35" s="75"/>
      <c r="CQ35" s="81"/>
      <c r="CR35" s="75"/>
      <c r="CS35" s="81"/>
      <c r="CT35" s="75"/>
      <c r="CU35" s="81"/>
      <c r="CV35" s="75"/>
      <c r="CW35" s="81"/>
      <c r="CX35" s="75"/>
      <c r="CY35" s="82" t="n">
        <f aca="false">W35+Y35+AA35+AC35+AE35+AG35+AI35+AK35+AM35+AO35+AQ35+AS35+AU35+AW35+AY35+BA35+BC35+BE35+BG35+BI35+BK35+BM35+BO35+BQ35+BS35+BU35+BW35+BY35+CA35+CC35+CE35+CG35+CI35+CK35+CM35+CO35+CQ35+CS35+CU35+CW35</f>
        <v>0</v>
      </c>
      <c r="CZ35" s="83" t="n">
        <f aca="false">IF(AND(CY35=0,DC35=0),0,(DF35+DG35)/DC35)</f>
        <v>0</v>
      </c>
      <c r="DA35" s="84" t="n">
        <f aca="false">DC35*DD35</f>
        <v>0</v>
      </c>
      <c r="DB35" s="85" t="n">
        <f aca="false">V35</f>
        <v>37158</v>
      </c>
      <c r="DC35" s="84" t="n">
        <f aca="false">ABS(W35)+ABS(Y35)+ABS(AA35)+ABS(AC35)+ABS(AE35)+ABS(AG35)+ABS(AI35)+ABS(AK35)+ABS(AM35)+ABS(AO35)+ABS(AQ35)+ABS(AS35)+ABS(AU35)+ABS(AW35)+ABS(AY35)+ABS(BA35)+ABS(BC35)+ABS(BE35)+ABS(BG35)+ABS(BI35)+ABS(BK35)+ABS(BM35)+ABS(BO35)+ABS(BQ35)+ABS(BS35)+ABS(BU35)+ABS(BW35)+ABS(BY35)+ABS(CA35)+ABS(CC35)+ABS(CE35)+ABS(CG35)+ABS(CI35)+ABS(CK35)+ABS(CM35)+ABS(CO35)+ABS(CQ35)+ABS(CS35)+ABS(CU35)+ABS(CW35)</f>
        <v>0</v>
      </c>
      <c r="DD35" s="86" t="n">
        <v>16</v>
      </c>
      <c r="DE35" s="84" t="n">
        <v>1</v>
      </c>
      <c r="DF35" s="43" t="n">
        <f aca="false">(ABS(W35)*X35+ABS(Y35)*Z35+ABS(AA35)*AB35+ABS(AC35)*AD35+ABS(AE35)*AF35+ABS(AG35)*AH35+ABS(AI35)*AJ35+ABS(AK35)*AL35+ABS(AM35)*AN35+ABS(AO35)*AP35+ABS(AQ35)*AR35+ABS(AS35)*AT35+ABS(AU35)*AV35+ABS(AW35)*AX35+ABS(AY35)*AZ35+ABS(BA35)*BB35+ABS(BC35)*BD35+ABS(BE35)*BF35+ABS(BG35)*BH35+ABS(BI35)*BJ35)</f>
        <v>0</v>
      </c>
      <c r="DG35" s="43" t="n">
        <f aca="false">ABS(BK35)*BL35+ABS(BM35)*BN35+ABS(BO35)*BP35+ABS(BQ35)*BR35+ABS(BS35)*BT35+ABS(BU35)*BV35+ABS(BW35)*BX35+ABS(BY35)*BZ35+ABS(CA35)*CB35+ABS(CC35)*CD35+ABS(CE35)*CF35+ABS(CG35)*CH35+ABS(CI35)*CJ35+ABS(CK35)*CL35+ABS(CM35)*CN35+ABS(CO35)*CP35+ABS(CQ35)*CR35+ABS(CS35)*CT35+ABS(CU35)*CV35+ABS(CW35)*CX35</f>
        <v>0</v>
      </c>
      <c r="DH35" s="43" t="n">
        <f aca="false">((H35-X35)*W35+(H35-Z35)*Y35+(H35-AB35)*AA35+(H35-AD35)*AC35+(H35-AF35)*AE35+(H35-AH35)*AG35+(H35-AJ35)*AI35+(H35-AL35)*AK35+(H35-AN35)*AM35+(H35-AP35)*AO35+(H35-AR35)*AQ35+(H35-AT35)*AS35+(H35-AV35)*AU35+(H35-AX35)*AW35+(H35-AZ35)*AY35+(H35-BB35)*BA35+(H35-BD35)*BC35+(H35-BF35)*BE35+(H35-BH35)*BG35+(H35-BJ35)*BI35)*DD35*DE35</f>
        <v>0</v>
      </c>
      <c r="DI35" s="43" t="n">
        <f aca="false">(((H35-BL35)*BK35+(H35-BN35)*BM35+(H35-BP35)*BO35+(H35-BR35)*BQ35+(H35-BT35)*BS35+(H35-BV35)*BU35+(H35-BX35)*BW35+(H35-BZ35)*BY35+(H35-CB35)*CA35+(H35-CD35)*CC35+(H35-CF35)*CE35+(H35-CH35)*CG35+(H35-CJ35)*CH35+(H35-CL35)*CK35+(H35-CN35)*CM35+(H35-CP35)*CO35+(H35-CR35)*CQ35+(H35-CT35)*CS35+(H35-CV35)*CU35+(H35-CX35)*CW35)*DD35*DE35)</f>
        <v>0</v>
      </c>
      <c r="DK35" s="85" t="n">
        <v>37158</v>
      </c>
      <c r="DL35" s="21" t="n">
        <v>-49.9999999999998</v>
      </c>
      <c r="DM35" s="21" t="n">
        <f aca="false">[5]NEPOOL!$L22</f>
        <v>0</v>
      </c>
      <c r="DN35" s="21" t="n">
        <f aca="false">IF(AND(WEEKDAY(DK35)&gt;1,WEEKDAY(DK35)&lt;7),1,0)</f>
        <v>1</v>
      </c>
    </row>
    <row r="36" customFormat="false" ht="18.75" hidden="false" customHeight="false" outlineLevel="0" collapsed="false">
      <c r="A36" s="58" t="n">
        <f aca="false">'NYISO A'!A36</f>
        <v>37159</v>
      </c>
      <c r="B36" s="59" t="n">
        <f aca="false">+[3]NYZoneG!$L27/16</f>
        <v>2.49999999001049E-013</v>
      </c>
      <c r="C36" s="60" t="n">
        <f aca="false">CY36</f>
        <v>0</v>
      </c>
      <c r="D36" s="61" t="n">
        <f aca="false">(IF(MONTH(A36)=MONTH(EOMONTH(TradeDate,1)),$AP$70,0)*VLOOKUP(A36,$DK$12:$DN$43,4))</f>
        <v>0</v>
      </c>
      <c r="E36" s="62" t="n">
        <f aca="false">B36+C36+D36</f>
        <v>2.49999999001049E-013</v>
      </c>
      <c r="F36" s="63" t="n">
        <f aca="false">[3]NYZoneG!$C27</f>
        <v>40.5</v>
      </c>
      <c r="G36" s="63" t="n">
        <f aca="false">IF($Q$9,Q36,P36)</f>
        <v>0</v>
      </c>
      <c r="H36" s="64" t="n">
        <f aca="false">F36+G36</f>
        <v>40.5</v>
      </c>
      <c r="I36" s="65" t="n">
        <f aca="false">B36*G36*DD36</f>
        <v>0</v>
      </c>
      <c r="J36" s="66" t="n">
        <f aca="false">DH36+DI36</f>
        <v>0</v>
      </c>
      <c r="K36" s="66" t="n">
        <f aca="false">I36+J36</f>
        <v>0</v>
      </c>
      <c r="L36" s="24"/>
      <c r="M36" s="67" t="n">
        <f aca="false">A36</f>
        <v>37159</v>
      </c>
      <c r="N36" s="92" t="n">
        <v>40.5</v>
      </c>
      <c r="O36" s="92" t="n">
        <v>40.5</v>
      </c>
      <c r="P36" s="69" t="n">
        <f aca="false">AVERAGE(N36:O36)-F36</f>
        <v>0</v>
      </c>
      <c r="Q36" s="70"/>
      <c r="R36" s="91" t="n">
        <f aca="false">H36</f>
        <v>40.5</v>
      </c>
      <c r="S36" s="24"/>
      <c r="T36" s="24"/>
      <c r="U36" s="72"/>
      <c r="V36" s="73" t="n">
        <f aca="false">A36</f>
        <v>37159</v>
      </c>
      <c r="W36" s="77"/>
      <c r="X36" s="76"/>
      <c r="Y36" s="77"/>
      <c r="Z36" s="76"/>
      <c r="AA36" s="77"/>
      <c r="AB36" s="78"/>
      <c r="AC36" s="77"/>
      <c r="AD36" s="76"/>
      <c r="AE36" s="77"/>
      <c r="AF36" s="76"/>
      <c r="AG36" s="77"/>
      <c r="AH36" s="76"/>
      <c r="AI36" s="77"/>
      <c r="AJ36" s="78"/>
      <c r="AK36" s="77"/>
      <c r="AL36" s="76"/>
      <c r="AM36" s="77"/>
      <c r="AN36" s="76"/>
      <c r="AO36" s="77"/>
      <c r="AP36" s="78"/>
      <c r="AQ36" s="77"/>
      <c r="AR36" s="78"/>
      <c r="AS36" s="77"/>
      <c r="AT36" s="78"/>
      <c r="AU36" s="77"/>
      <c r="AV36" s="78"/>
      <c r="AW36" s="96"/>
      <c r="AX36" s="75"/>
      <c r="AY36" s="81"/>
      <c r="AZ36" s="75"/>
      <c r="BA36" s="81"/>
      <c r="BB36" s="75"/>
      <c r="BC36" s="81"/>
      <c r="BD36" s="75"/>
      <c r="BE36" s="81"/>
      <c r="BF36" s="75"/>
      <c r="BG36" s="81"/>
      <c r="BH36" s="75"/>
      <c r="BI36" s="81"/>
      <c r="BJ36" s="75"/>
      <c r="BK36" s="81"/>
      <c r="BL36" s="75"/>
      <c r="BM36" s="81"/>
      <c r="BN36" s="75"/>
      <c r="BO36" s="81"/>
      <c r="BP36" s="75"/>
      <c r="BQ36" s="81"/>
      <c r="BR36" s="75"/>
      <c r="BS36" s="81"/>
      <c r="BT36" s="75"/>
      <c r="BU36" s="81"/>
      <c r="BV36" s="75"/>
      <c r="BW36" s="81"/>
      <c r="BX36" s="75"/>
      <c r="BY36" s="81"/>
      <c r="BZ36" s="75"/>
      <c r="CA36" s="81"/>
      <c r="CB36" s="75"/>
      <c r="CC36" s="81"/>
      <c r="CD36" s="75"/>
      <c r="CE36" s="81"/>
      <c r="CF36" s="75"/>
      <c r="CG36" s="81"/>
      <c r="CH36" s="75"/>
      <c r="CI36" s="81"/>
      <c r="CJ36" s="75"/>
      <c r="CK36" s="81"/>
      <c r="CL36" s="75"/>
      <c r="CM36" s="81"/>
      <c r="CN36" s="75"/>
      <c r="CO36" s="81"/>
      <c r="CP36" s="75"/>
      <c r="CQ36" s="81"/>
      <c r="CR36" s="75"/>
      <c r="CS36" s="81"/>
      <c r="CT36" s="75"/>
      <c r="CU36" s="81"/>
      <c r="CV36" s="75"/>
      <c r="CW36" s="81"/>
      <c r="CX36" s="75"/>
      <c r="CY36" s="82" t="n">
        <f aca="false">W36+Y36+AA36+AC36+AE36+AG36+AI36+AK36+AM36+AO36+AQ36+AS36+AU36+AW36+AY36+BA36+BC36+BE36+BG36+BI36+BK36+BM36+BO36+BQ36+BS36+BU36+BW36+BY36+CA36+CC36+CE36+CG36+CI36+CK36+CM36+CO36+CQ36+CS36+CU36+CW36</f>
        <v>0</v>
      </c>
      <c r="CZ36" s="83" t="n">
        <f aca="false">IF(AND(CY36=0,DC36=0),0,(DF36+DG36)/DC36)</f>
        <v>0</v>
      </c>
      <c r="DA36" s="84" t="n">
        <f aca="false">DC36*DD36</f>
        <v>0</v>
      </c>
      <c r="DB36" s="85" t="n">
        <f aca="false">V36</f>
        <v>37159</v>
      </c>
      <c r="DC36" s="84" t="n">
        <f aca="false">ABS(W36)+ABS(Y36)+ABS(AA36)+ABS(AC36)+ABS(AE36)+ABS(AG36)+ABS(AI36)+ABS(AK36)+ABS(AM36)+ABS(AO36)+ABS(AQ36)+ABS(AS36)+ABS(AU36)+ABS(AW36)+ABS(AY36)+ABS(BA36)+ABS(BC36)+ABS(BE36)+ABS(BG36)+ABS(BI36)+ABS(BK36)+ABS(BM36)+ABS(BO36)+ABS(BQ36)+ABS(BS36)+ABS(BU36)+ABS(BW36)+ABS(BY36)+ABS(CA36)+ABS(CC36)+ABS(CE36)+ABS(CG36)+ABS(CI36)+ABS(CK36)+ABS(CM36)+ABS(CO36)+ABS(CQ36)+ABS(CS36)+ABS(CU36)+ABS(CW36)</f>
        <v>0</v>
      </c>
      <c r="DD36" s="86" t="n">
        <v>16</v>
      </c>
      <c r="DE36" s="84" t="n">
        <v>1</v>
      </c>
      <c r="DF36" s="43" t="n">
        <f aca="false">(ABS(W36)*X36+ABS(Y36)*Z36+ABS(AA36)*AB36+ABS(AC36)*AD36+ABS(AE36)*AF36+ABS(AG36)*AH36+ABS(AI36)*AJ36+ABS(AK36)*AL36+ABS(AM36)*AN36+ABS(AO36)*AP36+ABS(AQ36)*AR36+ABS(AS36)*AT36+ABS(AU36)*AV36+ABS(AW36)*AX36+ABS(AY36)*AZ36+ABS(BA36)*BB36+ABS(BC36)*BD36+ABS(BE36)*BF36+ABS(BG36)*BH36+ABS(BI36)*BJ36)</f>
        <v>0</v>
      </c>
      <c r="DG36" s="43" t="n">
        <f aca="false">ABS(BK36)*BL36+ABS(BM36)*BN36+ABS(BO36)*BP36+ABS(BQ36)*BR36+ABS(BS36)*BT36+ABS(BU36)*BV36+ABS(BW36)*BX36+ABS(BY36)*BZ36+ABS(CA36)*CB36+ABS(CC36)*CD36+ABS(CE36)*CF36+ABS(CG36)*CH36+ABS(CI36)*CJ36+ABS(CK36)*CL36+ABS(CM36)*CN36+ABS(CO36)*CP36+ABS(CQ36)*CR36+ABS(CS36)*CT36+ABS(CU36)*CV36+ABS(CW36)*CX36</f>
        <v>0</v>
      </c>
      <c r="DH36" s="43" t="n">
        <f aca="false">((H36-X36)*W36+(H36-Z36)*Y36+(H36-AB36)*AA36+(H36-AD36)*AC36+(H36-AF36)*AE36+(H36-AH36)*AG36+(H36-AJ36)*AI36+(H36-AL36)*AK36+(H36-AN36)*AM36+(H36-AP36)*AO36+(H36-AR36)*AQ36+(H36-AT36)*AS36+(H36-AV36)*AU36+(H36-AX36)*AW36+(H36-AZ36)*AY36+(H36-BB36)*BA36+(H36-BD36)*BC36+(H36-BF36)*BE36+(H36-BH36)*BG36+(H36-BJ36)*BI36)*DD36*DE36</f>
        <v>0</v>
      </c>
      <c r="DI36" s="43" t="n">
        <f aca="false">(((H36-BL36)*BK36+(H36-BN36)*BM36+(H36-BP36)*BO36+(H36-BR36)*BQ36+(H36-BT36)*BS36+(H36-BV36)*BU36+(H36-BX36)*BW36+(H36-BZ36)*BY36+(H36-CB36)*CA36+(H36-CD36)*CC36+(H36-CF36)*CE36+(H36-CH36)*CG36+(H36-CJ36)*CH36+(H36-CL36)*CK36+(H36-CN36)*CM36+(H36-CP36)*CO36+(H36-CR36)*CQ36+(H36-CT36)*CS36+(H36-CV36)*CU36+(H36-CX36)*CW36)*DD36*DE36)</f>
        <v>0</v>
      </c>
      <c r="DK36" s="85" t="n">
        <v>37159</v>
      </c>
      <c r="DL36" s="21" t="n">
        <v>-49.9999999999998</v>
      </c>
      <c r="DM36" s="21" t="n">
        <f aca="false">[5]NEPOOL!$L23</f>
        <v>-1189.7</v>
      </c>
      <c r="DN36" s="21" t="n">
        <f aca="false">IF(AND(WEEKDAY(DK36)&gt;1,WEEKDAY(DK36)&lt;7),1,0)</f>
        <v>1</v>
      </c>
    </row>
    <row r="37" customFormat="false" ht="18.75" hidden="false" customHeight="false" outlineLevel="0" collapsed="false">
      <c r="A37" s="58" t="n">
        <f aca="false">'NYISO A'!A37</f>
        <v>37160</v>
      </c>
      <c r="B37" s="59" t="n">
        <f aca="false">+[3]NYZoneG!$L28/16</f>
        <v>2.49999999001049E-013</v>
      </c>
      <c r="C37" s="101" t="n">
        <f aca="false">CY37</f>
        <v>0</v>
      </c>
      <c r="D37" s="87" t="n">
        <f aca="false">(IF(MONTH(A37)=MONTH(EOMONTH(TradeDate,1)),$AP$70,0)*VLOOKUP(A37,$DK$12:$DN$43,4))</f>
        <v>0</v>
      </c>
      <c r="E37" s="62" t="n">
        <f aca="false">B37+C37+D37</f>
        <v>2.49999999001049E-013</v>
      </c>
      <c r="F37" s="63" t="n">
        <f aca="false">[3]NYZoneG!$C28</f>
        <v>40.5</v>
      </c>
      <c r="G37" s="88" t="n">
        <f aca="false">IF($Q$9,Q37,P37)</f>
        <v>0</v>
      </c>
      <c r="H37" s="89" t="n">
        <f aca="false">F37+G37</f>
        <v>40.5</v>
      </c>
      <c r="I37" s="87" t="n">
        <f aca="false">B37*G37*DD37</f>
        <v>0</v>
      </c>
      <c r="J37" s="66" t="n">
        <f aca="false">DH37+DI37</f>
        <v>0</v>
      </c>
      <c r="K37" s="90" t="n">
        <f aca="false">I37+J37</f>
        <v>0</v>
      </c>
      <c r="L37" s="24"/>
      <c r="M37" s="67" t="n">
        <f aca="false">A37</f>
        <v>37160</v>
      </c>
      <c r="N37" s="92" t="n">
        <v>40.5</v>
      </c>
      <c r="O37" s="92" t="n">
        <v>40.5</v>
      </c>
      <c r="P37" s="69" t="n">
        <f aca="false">AVERAGE(N37:O37)-F37</f>
        <v>0</v>
      </c>
      <c r="Q37" s="70"/>
      <c r="R37" s="91" t="n">
        <f aca="false">H37</f>
        <v>40.5</v>
      </c>
      <c r="S37" s="24"/>
      <c r="T37" s="24"/>
      <c r="U37" s="72"/>
      <c r="V37" s="73" t="n">
        <f aca="false">A37</f>
        <v>37160</v>
      </c>
      <c r="W37" s="77"/>
      <c r="X37" s="76"/>
      <c r="Y37" s="77"/>
      <c r="Z37" s="78"/>
      <c r="AA37" s="77"/>
      <c r="AB37" s="78"/>
      <c r="AC37" s="77"/>
      <c r="AD37" s="76"/>
      <c r="AE37" s="77"/>
      <c r="AF37" s="76"/>
      <c r="AG37" s="77"/>
      <c r="AH37" s="76"/>
      <c r="AI37" s="74"/>
      <c r="AJ37" s="76"/>
      <c r="AK37" s="77"/>
      <c r="AL37" s="78"/>
      <c r="AM37" s="77"/>
      <c r="AN37" s="78"/>
      <c r="AO37" s="77"/>
      <c r="AP37" s="78"/>
      <c r="AQ37" s="77"/>
      <c r="AR37" s="78"/>
      <c r="AS37" s="77"/>
      <c r="AT37" s="78"/>
      <c r="AU37" s="77"/>
      <c r="AV37" s="78"/>
      <c r="AW37" s="96"/>
      <c r="AX37" s="75"/>
      <c r="AY37" s="81"/>
      <c r="AZ37" s="75"/>
      <c r="BA37" s="81"/>
      <c r="BB37" s="75"/>
      <c r="BC37" s="81"/>
      <c r="BD37" s="75"/>
      <c r="BE37" s="81"/>
      <c r="BF37" s="75"/>
      <c r="BG37" s="81"/>
      <c r="BH37" s="75"/>
      <c r="BI37" s="81"/>
      <c r="BJ37" s="75"/>
      <c r="BK37" s="81"/>
      <c r="BL37" s="75"/>
      <c r="BM37" s="81"/>
      <c r="BN37" s="75"/>
      <c r="BO37" s="81"/>
      <c r="BP37" s="75"/>
      <c r="BQ37" s="81"/>
      <c r="BR37" s="75"/>
      <c r="BS37" s="81"/>
      <c r="BT37" s="75"/>
      <c r="BU37" s="81"/>
      <c r="BV37" s="75"/>
      <c r="BW37" s="81"/>
      <c r="BX37" s="75"/>
      <c r="BY37" s="81"/>
      <c r="BZ37" s="75"/>
      <c r="CA37" s="81"/>
      <c r="CB37" s="75"/>
      <c r="CC37" s="81"/>
      <c r="CD37" s="75"/>
      <c r="CE37" s="81"/>
      <c r="CF37" s="75"/>
      <c r="CG37" s="81"/>
      <c r="CH37" s="75"/>
      <c r="CI37" s="81"/>
      <c r="CJ37" s="75"/>
      <c r="CK37" s="81"/>
      <c r="CL37" s="75"/>
      <c r="CM37" s="81"/>
      <c r="CN37" s="75"/>
      <c r="CO37" s="81"/>
      <c r="CP37" s="75"/>
      <c r="CQ37" s="81"/>
      <c r="CR37" s="75"/>
      <c r="CS37" s="81"/>
      <c r="CT37" s="75"/>
      <c r="CU37" s="81"/>
      <c r="CV37" s="75"/>
      <c r="CW37" s="81"/>
      <c r="CX37" s="75"/>
      <c r="CY37" s="82" t="n">
        <f aca="false">W37+Y37+AA37+AC37+AE37+AG37+AI37+AK37+AM37+AO37+AQ37+AS37+AU37+AW37+AY37+BA37+BC37+BE37+BG37+BI37+BK37+BM37+BO37+BQ37+BS37+BU37+BW37+BY37+CA37+CC37+CE37+CG37+CI37+CK37+CM37+CO37+CQ37+CS37+CU37+CW37</f>
        <v>0</v>
      </c>
      <c r="CZ37" s="83" t="n">
        <f aca="false">IF(AND(CY37=0,DC37=0),0,(DF37+DG37)/DC37)</f>
        <v>0</v>
      </c>
      <c r="DA37" s="84" t="n">
        <f aca="false">DC37*DD37</f>
        <v>0</v>
      </c>
      <c r="DB37" s="85" t="n">
        <f aca="false">V37</f>
        <v>37160</v>
      </c>
      <c r="DC37" s="84" t="n">
        <f aca="false">ABS(W37)+ABS(Y37)+ABS(AA37)+ABS(AC37)+ABS(AE37)+ABS(AG37)+ABS(AI37)+ABS(AK37)+ABS(AM37)+ABS(AO37)+ABS(AQ37)+ABS(AS37)+ABS(AU37)+ABS(AW37)+ABS(AY37)+ABS(BA37)+ABS(BC37)+ABS(BE37)+ABS(BG37)+ABS(BI37)+ABS(BK37)+ABS(BM37)+ABS(BO37)+ABS(BQ37)+ABS(BS37)+ABS(BU37)+ABS(BW37)+ABS(BY37)+ABS(CA37)+ABS(CC37)+ABS(CE37)+ABS(CG37)+ABS(CI37)+ABS(CK37)+ABS(CM37)+ABS(CO37)+ABS(CQ37)+ABS(CS37)+ABS(CU37)+ABS(CW37)</f>
        <v>0</v>
      </c>
      <c r="DD37" s="86" t="n">
        <v>16</v>
      </c>
      <c r="DE37" s="84" t="n">
        <v>1</v>
      </c>
      <c r="DF37" s="43" t="n">
        <f aca="false">(ABS(W37)*X37+ABS(Y37)*Z37+ABS(AA37)*AB37+ABS(AC37)*AD37+ABS(AE37)*AF37+ABS(AG37)*AH37+ABS(AI37)*AJ37+ABS(AK37)*AL37+ABS(AM37)*AN37+ABS(AO37)*AP37+ABS(AQ37)*AR37+ABS(AS37)*AT37+ABS(AU37)*AV37+ABS(AW37)*AX37+ABS(AY37)*AZ37+ABS(BA37)*BB37+ABS(BC37)*BD37+ABS(BE37)*BF37+ABS(BG37)*BH37+ABS(BI37)*BJ37)</f>
        <v>0</v>
      </c>
      <c r="DG37" s="43" t="n">
        <f aca="false">ABS(BK37)*BL37+ABS(BM37)*BN37+ABS(BO37)*BP37+ABS(BQ37)*BR37+ABS(BS37)*BT37+ABS(BU37)*BV37+ABS(BW37)*BX37+ABS(BY37)*BZ37+ABS(CA37)*CB37+ABS(CC37)*CD37+ABS(CE37)*CF37+ABS(CG37)*CH37+ABS(CI37)*CJ37+ABS(CK37)*CL37+ABS(CM37)*CN37+ABS(CO37)*CP37+ABS(CQ37)*CR37+ABS(CS37)*CT37+ABS(CU37)*CV37+ABS(CW37)*CX37</f>
        <v>0</v>
      </c>
      <c r="DH37" s="43" t="n">
        <f aca="false">((H37-X37)*W37+(H37-Z37)*Y37+(H37-AB37)*AA37+(H37-AD37)*AC37+(H37-AF37)*AE37+(H37-AH37)*AG37+(H37-AJ37)*AI37+(H37-AL37)*AK37+(H37-AN37)*AM37+(H37-AP37)*AO37+(H37-AR37)*AQ37+(H37-AT37)*AS37+(H37-AV37)*AU37+(H37-AX37)*AW37+(H37-AZ37)*AY37+(H37-BB37)*BA37+(H37-BD37)*BC37+(H37-BF37)*BE37+(H37-BH37)*BG37+(H37-BJ37)*BI37)*DD37*DE37</f>
        <v>0</v>
      </c>
      <c r="DI37" s="43" t="n">
        <f aca="false">(((H37-BL37)*BK37+(H37-BN37)*BM37+(H37-BP37)*BO37+(H37-BR37)*BQ37+(H37-BT37)*BS37+(H37-BV37)*BU37+(H37-BX37)*BW37+(H37-BZ37)*BY37+(H37-CB37)*CA37+(H37-CD37)*CC37+(H37-CF37)*CE37+(H37-CH37)*CG37+(H37-CJ37)*CH37+(H37-CL37)*CK37+(H37-CN37)*CM37+(H37-CP37)*CO37+(H37-CR37)*CQ37+(H37-CT37)*CS37+(H37-CV37)*CU37+(H37-CX37)*CW37)*DD37*DE37)</f>
        <v>0</v>
      </c>
      <c r="DK37" s="85" t="n">
        <v>37160</v>
      </c>
      <c r="DL37" s="21" t="n">
        <v>-49.9999999999998</v>
      </c>
      <c r="DM37" s="21" t="n">
        <f aca="false">[5]NEPOOL!$L24</f>
        <v>-1189.7</v>
      </c>
      <c r="DN37" s="21" t="n">
        <f aca="false">IF(AND(WEEKDAY(DK37)&gt;1,WEEKDAY(DK37)&lt;7),1,0)</f>
        <v>1</v>
      </c>
    </row>
    <row r="38" customFormat="false" ht="18.75" hidden="false" customHeight="false" outlineLevel="0" collapsed="false">
      <c r="A38" s="58" t="n">
        <f aca="false">'NYISO A'!A38</f>
        <v>37161</v>
      </c>
      <c r="B38" s="59" t="n">
        <f aca="false">+[3]NYZoneG!$L29/16</f>
        <v>2.49999999001049E-013</v>
      </c>
      <c r="C38" s="60" t="n">
        <f aca="false">CY38</f>
        <v>0</v>
      </c>
      <c r="D38" s="61" t="n">
        <f aca="false">(IF(MONTH(A38)=MONTH(EOMONTH(TradeDate,1)),$AP$70,0)*VLOOKUP(A38,$DK$12:$DN$43,4))</f>
        <v>0</v>
      </c>
      <c r="E38" s="62" t="n">
        <f aca="false">B38+C38+D38</f>
        <v>2.49999999001049E-013</v>
      </c>
      <c r="F38" s="63" t="n">
        <f aca="false">[3]NYZoneG!$C29</f>
        <v>40.5</v>
      </c>
      <c r="G38" s="63" t="n">
        <f aca="false">IF($Q$9,Q38,P38)</f>
        <v>0</v>
      </c>
      <c r="H38" s="64" t="n">
        <f aca="false">F38+G38</f>
        <v>40.5</v>
      </c>
      <c r="I38" s="65" t="n">
        <f aca="false">B38*G38*DD38</f>
        <v>0</v>
      </c>
      <c r="J38" s="66" t="n">
        <f aca="false">DH38+DI38</f>
        <v>0</v>
      </c>
      <c r="K38" s="66" t="n">
        <f aca="false">I38+J38</f>
        <v>0</v>
      </c>
      <c r="L38" s="24"/>
      <c r="M38" s="67" t="n">
        <f aca="false">A38</f>
        <v>37161</v>
      </c>
      <c r="N38" s="92" t="n">
        <v>40.5</v>
      </c>
      <c r="O38" s="92" t="n">
        <v>40.5</v>
      </c>
      <c r="P38" s="69" t="n">
        <f aca="false">AVERAGE(N38:O38)-F38</f>
        <v>0</v>
      </c>
      <c r="Q38" s="70"/>
      <c r="R38" s="91" t="n">
        <f aca="false">H38</f>
        <v>40.5</v>
      </c>
      <c r="S38" s="24"/>
      <c r="T38" s="24"/>
      <c r="U38" s="72"/>
      <c r="V38" s="73" t="n">
        <f aca="false">A38</f>
        <v>37161</v>
      </c>
      <c r="W38" s="77"/>
      <c r="X38" s="76"/>
      <c r="Y38" s="77"/>
      <c r="Z38" s="78"/>
      <c r="AA38" s="77"/>
      <c r="AB38" s="78"/>
      <c r="AC38" s="77"/>
      <c r="AD38" s="76"/>
      <c r="AE38" s="77"/>
      <c r="AF38" s="76"/>
      <c r="AG38" s="77"/>
      <c r="AH38" s="76"/>
      <c r="AI38" s="74"/>
      <c r="AJ38" s="76"/>
      <c r="AK38" s="77"/>
      <c r="AL38" s="78"/>
      <c r="AM38" s="77"/>
      <c r="AN38" s="78"/>
      <c r="AO38" s="77"/>
      <c r="AP38" s="78"/>
      <c r="AQ38" s="77"/>
      <c r="AR38" s="78"/>
      <c r="AS38" s="77"/>
      <c r="AT38" s="78"/>
      <c r="AU38" s="77"/>
      <c r="AV38" s="78"/>
      <c r="AW38" s="96"/>
      <c r="AX38" s="75"/>
      <c r="AY38" s="81"/>
      <c r="AZ38" s="75"/>
      <c r="BA38" s="81"/>
      <c r="BB38" s="75"/>
      <c r="BC38" s="81"/>
      <c r="BD38" s="75"/>
      <c r="BE38" s="81"/>
      <c r="BF38" s="75"/>
      <c r="BG38" s="81"/>
      <c r="BH38" s="75"/>
      <c r="BI38" s="81"/>
      <c r="BJ38" s="75"/>
      <c r="BK38" s="81"/>
      <c r="BL38" s="75"/>
      <c r="BM38" s="81"/>
      <c r="BN38" s="75"/>
      <c r="BO38" s="81"/>
      <c r="BP38" s="75"/>
      <c r="BQ38" s="81"/>
      <c r="BR38" s="75"/>
      <c r="BS38" s="81"/>
      <c r="BT38" s="75"/>
      <c r="BU38" s="81"/>
      <c r="BV38" s="75"/>
      <c r="BW38" s="81"/>
      <c r="BX38" s="75"/>
      <c r="BY38" s="81"/>
      <c r="BZ38" s="75"/>
      <c r="CA38" s="81"/>
      <c r="CB38" s="75"/>
      <c r="CC38" s="81"/>
      <c r="CD38" s="75"/>
      <c r="CE38" s="81"/>
      <c r="CF38" s="75"/>
      <c r="CG38" s="81"/>
      <c r="CH38" s="75"/>
      <c r="CI38" s="81"/>
      <c r="CJ38" s="75"/>
      <c r="CK38" s="81"/>
      <c r="CL38" s="75"/>
      <c r="CM38" s="81"/>
      <c r="CN38" s="75"/>
      <c r="CO38" s="81"/>
      <c r="CP38" s="75"/>
      <c r="CQ38" s="81"/>
      <c r="CR38" s="75"/>
      <c r="CS38" s="81"/>
      <c r="CT38" s="75"/>
      <c r="CU38" s="81"/>
      <c r="CV38" s="75"/>
      <c r="CW38" s="81"/>
      <c r="CX38" s="75"/>
      <c r="CY38" s="82" t="n">
        <f aca="false">W38+Y38+AA38+AC38+AE38+AG38+AI38+AK38+AM38+AO38+AQ38+AS38+AU38+AW38+AY38+BA38+BC38+BE38+BG38+BI38+BK38+BM38+BO38+BQ38+BS38+BU38+BW38+BY38+CA38+CC38+CE38+CG38+CI38+CK38+CM38+CO38+CQ38+CS38+CU38+CW38</f>
        <v>0</v>
      </c>
      <c r="CZ38" s="83" t="n">
        <f aca="false">IF(AND(CY38=0,DC38=0),0,(DF38+DG38)/DC38)</f>
        <v>0</v>
      </c>
      <c r="DA38" s="84" t="n">
        <f aca="false">DC38*DD38</f>
        <v>0</v>
      </c>
      <c r="DB38" s="85" t="n">
        <f aca="false">V38</f>
        <v>37161</v>
      </c>
      <c r="DC38" s="84" t="n">
        <f aca="false">ABS(W38)+ABS(Y38)+ABS(AA38)+ABS(AC38)+ABS(AE38)+ABS(AG38)+ABS(AI38)+ABS(AK38)+ABS(AM38)+ABS(AO38)+ABS(AQ38)+ABS(AS38)+ABS(AU38)+ABS(AW38)+ABS(AY38)+ABS(BA38)+ABS(BC38)+ABS(BE38)+ABS(BG38)+ABS(BI38)+ABS(BK38)+ABS(BM38)+ABS(BO38)+ABS(BQ38)+ABS(BS38)+ABS(BU38)+ABS(BW38)+ABS(BY38)+ABS(CA38)+ABS(CC38)+ABS(CE38)+ABS(CG38)+ABS(CI38)+ABS(CK38)+ABS(CM38)+ABS(CO38)+ABS(CQ38)+ABS(CS38)+ABS(CU38)+ABS(CW38)</f>
        <v>0</v>
      </c>
      <c r="DD38" s="86" t="n">
        <v>16</v>
      </c>
      <c r="DE38" s="84" t="n">
        <v>1</v>
      </c>
      <c r="DF38" s="43" t="n">
        <f aca="false">(ABS(W38)*X38+ABS(Y38)*Z38+ABS(AA38)*AB38+ABS(AC38)*AD38+ABS(AE38)*AF38+ABS(AG38)*AH38+ABS(AI38)*AJ38+ABS(AK38)*AL38+ABS(AM38)*AN38+ABS(AO38)*AP38+ABS(AQ38)*AR38+ABS(AS38)*AT38+ABS(AU38)*AV38+ABS(AW38)*AX38+ABS(AY38)*AZ38+ABS(BA38)*BB38+ABS(BC38)*BD38+ABS(BE38)*BF38+ABS(BG38)*BH38+ABS(BI38)*BJ38)</f>
        <v>0</v>
      </c>
      <c r="DG38" s="43" t="n">
        <f aca="false">ABS(BK38)*BL38+ABS(BM38)*BN38+ABS(BO38)*BP38+ABS(BQ38)*BR38+ABS(BS38)*BT38+ABS(BU38)*BV38+ABS(BW38)*BX38+ABS(BY38)*BZ38+ABS(CA38)*CB38+ABS(CC38)*CD38+ABS(CE38)*CF38+ABS(CG38)*CH38+ABS(CI38)*CJ38+ABS(CK38)*CL38+ABS(CM38)*CN38+ABS(CO38)*CP38+ABS(CQ38)*CR38+ABS(CS38)*CT38+ABS(CU38)*CV38+ABS(CW38)*CX38</f>
        <v>0</v>
      </c>
      <c r="DH38" s="43" t="n">
        <f aca="false">((H38-X38)*W38+(H38-Z38)*Y38+(H38-AB38)*AA38+(H38-AD38)*AC38+(H38-AF38)*AE38+(H38-AH38)*AG38+(H38-AJ38)*AI38+(H38-AL38)*AK38+(H38-AN38)*AM38+(H38-AP38)*AO38+(H38-AR38)*AQ38+(H38-AT38)*AS38+(H38-AV38)*AU38+(H38-AX38)*AW38+(H38-AZ38)*AY38+(H38-BB38)*BA38+(H38-BD38)*BC38+(H38-BF38)*BE38+(H38-BH38)*BG38+(H38-BJ38)*BI38)*DD38*DE38</f>
        <v>0</v>
      </c>
      <c r="DI38" s="43" t="n">
        <f aca="false">(((H38-BL38)*BK38+(H38-BN38)*BM38+(H38-BP38)*BO38+(H38-BR38)*BQ38+(H38-BT38)*BS38+(H38-BV38)*BU38+(H38-BX38)*BW38+(H38-BZ38)*BY38+(H38-CB38)*CA38+(H38-CD38)*CC38+(H38-CF38)*CE38+(H38-CH38)*CG38+(H38-CJ38)*CH38+(H38-CL38)*CK38+(H38-CN38)*CM38+(H38-CP38)*CO38+(H38-CR38)*CQ38+(H38-CT38)*CS38+(H38-CV38)*CU38+(H38-CX38)*CW38)*DD38*DE38)</f>
        <v>0</v>
      </c>
      <c r="DK38" s="85" t="n">
        <v>37161</v>
      </c>
      <c r="DL38" s="21" t="n">
        <v>-49.9999999999998</v>
      </c>
      <c r="DM38" s="21" t="n">
        <f aca="false">[5]NEPOOL!$L25</f>
        <v>-1189.7</v>
      </c>
      <c r="DN38" s="21" t="n">
        <f aca="false">IF(AND(WEEKDAY(DK38)&gt;1,WEEKDAY(DK38)&lt;7),1,0)</f>
        <v>1</v>
      </c>
    </row>
    <row r="39" customFormat="false" ht="18.75" hidden="false" customHeight="false" outlineLevel="0" collapsed="false">
      <c r="A39" s="58" t="n">
        <f aca="false">'NYISO A'!A39</f>
        <v>37162</v>
      </c>
      <c r="B39" s="59" t="n">
        <f aca="false">+[3]NYZoneG!$L30/16</f>
        <v>2.49999999001049E-013</v>
      </c>
      <c r="C39" s="101" t="n">
        <f aca="false">CY39</f>
        <v>0</v>
      </c>
      <c r="D39" s="87" t="n">
        <f aca="false">(IF(MONTH(A39)=MONTH(EOMONTH(TradeDate,1)),$AP$70,0)*VLOOKUP(A39,$DK$12:$DN$43,4))</f>
        <v>0</v>
      </c>
      <c r="E39" s="62" t="n">
        <f aca="false">B39+C39+D39</f>
        <v>2.49999999001049E-013</v>
      </c>
      <c r="F39" s="63" t="n">
        <f aca="false">[3]NYZoneG!$C30</f>
        <v>40.5</v>
      </c>
      <c r="G39" s="88" t="n">
        <f aca="false">IF($Q$9,Q39,P39)</f>
        <v>0</v>
      </c>
      <c r="H39" s="89" t="n">
        <f aca="false">F39+G39</f>
        <v>40.5</v>
      </c>
      <c r="I39" s="87" t="n">
        <f aca="false">B39*G39*DD39</f>
        <v>0</v>
      </c>
      <c r="J39" s="66" t="n">
        <f aca="false">DH39+DI39</f>
        <v>0</v>
      </c>
      <c r="K39" s="90" t="n">
        <f aca="false">I39+J39</f>
        <v>0</v>
      </c>
      <c r="L39" s="24"/>
      <c r="M39" s="67" t="n">
        <f aca="false">A39</f>
        <v>37162</v>
      </c>
      <c r="N39" s="92" t="n">
        <v>40.5</v>
      </c>
      <c r="O39" s="92" t="n">
        <v>40.5</v>
      </c>
      <c r="P39" s="69" t="n">
        <f aca="false">AVERAGE(N39:O39)-F39</f>
        <v>0</v>
      </c>
      <c r="Q39" s="70"/>
      <c r="R39" s="91" t="n">
        <f aca="false">H39</f>
        <v>40.5</v>
      </c>
      <c r="S39" s="24"/>
      <c r="T39" s="24"/>
      <c r="U39" s="72"/>
      <c r="V39" s="73" t="n">
        <f aca="false">A39</f>
        <v>37162</v>
      </c>
      <c r="W39" s="77"/>
      <c r="X39" s="76"/>
      <c r="Y39" s="77"/>
      <c r="Z39" s="78"/>
      <c r="AA39" s="77"/>
      <c r="AB39" s="78"/>
      <c r="AC39" s="77"/>
      <c r="AD39" s="76"/>
      <c r="AE39" s="77"/>
      <c r="AF39" s="76"/>
      <c r="AG39" s="77"/>
      <c r="AH39" s="76"/>
      <c r="AI39" s="74"/>
      <c r="AJ39" s="76"/>
      <c r="AK39" s="77"/>
      <c r="AL39" s="78"/>
      <c r="AM39" s="77"/>
      <c r="AN39" s="76"/>
      <c r="AO39" s="77"/>
      <c r="AP39" s="78"/>
      <c r="AQ39" s="77"/>
      <c r="AR39" s="78"/>
      <c r="AS39" s="77"/>
      <c r="AT39" s="78"/>
      <c r="AU39" s="77"/>
      <c r="AV39" s="78"/>
      <c r="AW39" s="96"/>
      <c r="AX39" s="75"/>
      <c r="AY39" s="81"/>
      <c r="AZ39" s="75"/>
      <c r="BA39" s="81"/>
      <c r="BB39" s="75"/>
      <c r="BC39" s="81"/>
      <c r="BD39" s="75"/>
      <c r="BE39" s="81"/>
      <c r="BF39" s="75"/>
      <c r="BG39" s="81"/>
      <c r="BH39" s="75"/>
      <c r="BI39" s="81"/>
      <c r="BJ39" s="75"/>
      <c r="BK39" s="81"/>
      <c r="BL39" s="75"/>
      <c r="BM39" s="81"/>
      <c r="BN39" s="75"/>
      <c r="BO39" s="81"/>
      <c r="BP39" s="75"/>
      <c r="BQ39" s="81"/>
      <c r="BR39" s="75"/>
      <c r="BS39" s="81"/>
      <c r="BT39" s="75"/>
      <c r="BU39" s="81"/>
      <c r="BV39" s="75"/>
      <c r="BW39" s="81"/>
      <c r="BX39" s="75"/>
      <c r="BY39" s="81"/>
      <c r="BZ39" s="75"/>
      <c r="CA39" s="81"/>
      <c r="CB39" s="75"/>
      <c r="CC39" s="81"/>
      <c r="CD39" s="75"/>
      <c r="CE39" s="81"/>
      <c r="CF39" s="75"/>
      <c r="CG39" s="81"/>
      <c r="CH39" s="75"/>
      <c r="CI39" s="81"/>
      <c r="CJ39" s="75"/>
      <c r="CK39" s="81"/>
      <c r="CL39" s="75"/>
      <c r="CM39" s="81"/>
      <c r="CN39" s="75"/>
      <c r="CO39" s="81"/>
      <c r="CP39" s="75"/>
      <c r="CQ39" s="81"/>
      <c r="CR39" s="75"/>
      <c r="CS39" s="81"/>
      <c r="CT39" s="75"/>
      <c r="CU39" s="81"/>
      <c r="CV39" s="75"/>
      <c r="CW39" s="81"/>
      <c r="CX39" s="75"/>
      <c r="CY39" s="82" t="n">
        <f aca="false">W39+Y39+AA39+AC39+AE39+AG39+AI39+AK39+AM39+AO39+AQ39+AS39+AU39+AW39+AY39+BA39+BC39+BE39+BG39+BI39+BK39+BM39+BO39+BQ39+BS39+BU39+BW39+BY39+CA39+CC39+CE39+CG39+CI39+CK39+CM39+CO39+CQ39+CS39+CU39+CW39</f>
        <v>0</v>
      </c>
      <c r="CZ39" s="83" t="n">
        <f aca="false">IF(AND(CY39=0,DC39=0),0,(DF39+DG39)/DC39)</f>
        <v>0</v>
      </c>
      <c r="DA39" s="84" t="n">
        <f aca="false">DC39*DD39</f>
        <v>0</v>
      </c>
      <c r="DB39" s="85" t="n">
        <f aca="false">V39</f>
        <v>37162</v>
      </c>
      <c r="DC39" s="84" t="n">
        <f aca="false">ABS(W39)+ABS(Y39)+ABS(AA39)+ABS(AC39)+ABS(AE39)+ABS(AG39)+ABS(AI39)+ABS(AK39)+ABS(AM39)+ABS(AO39)+ABS(AQ39)+ABS(AS39)+ABS(AU39)+ABS(AW39)+ABS(AY39)+ABS(BA39)+ABS(BC39)+ABS(BE39)+ABS(BG39)+ABS(BI39)+ABS(BK39)+ABS(BM39)+ABS(BO39)+ABS(BQ39)+ABS(BS39)+ABS(BU39)+ABS(BW39)+ABS(BY39)+ABS(CA39)+ABS(CC39)+ABS(CE39)+ABS(CG39)+ABS(CI39)+ABS(CK39)+ABS(CM39)+ABS(CO39)+ABS(CQ39)+ABS(CS39)+ABS(CU39)+ABS(CW39)</f>
        <v>0</v>
      </c>
      <c r="DD39" s="86" t="n">
        <v>16</v>
      </c>
      <c r="DE39" s="84" t="n">
        <v>1</v>
      </c>
      <c r="DF39" s="43" t="n">
        <f aca="false">(ABS(W39)*X39+ABS(Y39)*Z39+ABS(AA39)*AB39+ABS(AC39)*AD39+ABS(AE39)*AF39+ABS(AG39)*AH39+ABS(AI39)*AJ39+ABS(AK39)*AL39+ABS(AM39)*AN39+ABS(AO39)*AP39+ABS(AQ39)*AR39+ABS(AS39)*AT39+ABS(AU39)*AV39+ABS(AW39)*AX39+ABS(AY39)*AZ39+ABS(BA39)*BB39+ABS(BC39)*BD39+ABS(BE39)*BF39+ABS(BG39)*BH39+ABS(BI39)*BJ39)</f>
        <v>0</v>
      </c>
      <c r="DG39" s="43" t="n">
        <f aca="false">ABS(BK39)*BL39+ABS(BM39)*BN39+ABS(BO39)*BP39+ABS(BQ39)*BR39+ABS(BS39)*BT39+ABS(BU39)*BV39+ABS(BW39)*BX39+ABS(BY39)*BZ39+ABS(CA39)*CB39+ABS(CC39)*CD39+ABS(CE39)*CF39+ABS(CG39)*CH39+ABS(CI39)*CJ39+ABS(CK39)*CL39+ABS(CM39)*CN39+ABS(CO39)*CP39+ABS(CQ39)*CR39+ABS(CS39)*CT39+ABS(CU39)*CV39+ABS(CW39)*CX39</f>
        <v>0</v>
      </c>
      <c r="DH39" s="43" t="n">
        <f aca="false">((H39-X39)*W39+(H39-Z39)*Y39+(H39-AB39)*AA39+(H39-AD39)*AC39+(H39-AF39)*AE39+(H39-AH39)*AG39+(H39-AJ39)*AI39+(H39-AL39)*AK39+(H39-AN39)*AM39+(H39-AP39)*AO39+(H39-AR39)*AQ39+(H39-AT39)*AS39+(H39-AV39)*AU39+(H39-AX39)*AW39+(H39-AZ39)*AY39+(H39-BB39)*BA39+(H39-BD39)*BC39+(H39-BF39)*BE39+(H39-BH39)*BG39+(H39-BJ39)*BI39)*DD39*DE39</f>
        <v>0</v>
      </c>
      <c r="DI39" s="43" t="n">
        <f aca="false">(((H39-BL39)*BK39+(H39-BN39)*BM39+(H39-BP39)*BO39+(H39-BR39)*BQ39+(H39-BT39)*BS39+(H39-BV39)*BU39+(H39-BX39)*BW39+(H39-BZ39)*BY39+(H39-CB39)*CA39+(H39-CD39)*CC39+(H39-CF39)*CE39+(H39-CH39)*CG39+(H39-CJ39)*CH39+(H39-CL39)*CK39+(H39-CN39)*CM39+(H39-CP39)*CO39+(H39-CR39)*CQ39+(H39-CT39)*CS39+(H39-CV39)*CU39+(H39-CX39)*CW39)*DD39*DE39)</f>
        <v>0</v>
      </c>
      <c r="DK39" s="85" t="n">
        <v>37162</v>
      </c>
      <c r="DL39" s="21" t="n">
        <v>-49.9999999999998</v>
      </c>
      <c r="DM39" s="21" t="n">
        <f aca="false">[5]NEPOOL!$L26</f>
        <v>-1189.7</v>
      </c>
      <c r="DN39" s="21" t="n">
        <f aca="false">IF(AND(WEEKDAY(DK39)&gt;1,WEEKDAY(DK39)&lt;7),1,0)</f>
        <v>1</v>
      </c>
    </row>
    <row r="40" customFormat="false" ht="18.75" hidden="false" customHeight="false" outlineLevel="0" collapsed="false">
      <c r="A40" s="58" t="n">
        <f aca="false">'NYISO A'!A40</f>
        <v>37163</v>
      </c>
      <c r="B40" s="59" t="n">
        <f aca="false">+[3]NYZoneG!$L31/16</f>
        <v>0</v>
      </c>
      <c r="C40" s="60" t="n">
        <f aca="false">CY40</f>
        <v>0</v>
      </c>
      <c r="D40" s="61" t="n">
        <f aca="false">(IF(MONTH(A40)=MONTH(EOMONTH(TradeDate,1)),$AP$70,0)*VLOOKUP(A40,$DK$12:$DN$43,4))</f>
        <v>0</v>
      </c>
      <c r="E40" s="62" t="n">
        <f aca="false">B40+C40+D40</f>
        <v>0</v>
      </c>
      <c r="F40" s="63" t="n">
        <f aca="false">[3]NYZoneG!$C31</f>
        <v>38</v>
      </c>
      <c r="G40" s="63" t="n">
        <f aca="false">IF($Q$9,Q40,P40)</f>
        <v>0</v>
      </c>
      <c r="H40" s="64" t="n">
        <f aca="false">F40+G40</f>
        <v>38</v>
      </c>
      <c r="I40" s="65" t="n">
        <f aca="false">B40*G40*DD40</f>
        <v>0</v>
      </c>
      <c r="J40" s="66" t="n">
        <f aca="false">DH40+DI40</f>
        <v>0</v>
      </c>
      <c r="K40" s="66" t="n">
        <f aca="false">I40+J40</f>
        <v>0</v>
      </c>
      <c r="L40" s="24"/>
      <c r="M40" s="67" t="n">
        <f aca="false">A40</f>
        <v>37163</v>
      </c>
      <c r="N40" s="92" t="n">
        <v>38</v>
      </c>
      <c r="O40" s="92" t="n">
        <v>38</v>
      </c>
      <c r="P40" s="69" t="n">
        <f aca="false">AVERAGE(N40:O40)-F40</f>
        <v>0</v>
      </c>
      <c r="Q40" s="70"/>
      <c r="R40" s="91" t="n">
        <f aca="false">H40</f>
        <v>38</v>
      </c>
      <c r="S40" s="24"/>
      <c r="T40" s="24"/>
      <c r="U40" s="72"/>
      <c r="V40" s="73" t="n">
        <f aca="false">A40</f>
        <v>37163</v>
      </c>
      <c r="W40" s="77"/>
      <c r="X40" s="76"/>
      <c r="Y40" s="77"/>
      <c r="Z40" s="78"/>
      <c r="AA40" s="77"/>
      <c r="AB40" s="78"/>
      <c r="AC40" s="77"/>
      <c r="AD40" s="76"/>
      <c r="AE40" s="77"/>
      <c r="AF40" s="76"/>
      <c r="AG40" s="77"/>
      <c r="AH40" s="76"/>
      <c r="AI40" s="74"/>
      <c r="AJ40" s="76"/>
      <c r="AK40" s="77"/>
      <c r="AL40" s="78"/>
      <c r="AM40" s="77"/>
      <c r="AN40" s="76"/>
      <c r="AO40" s="77"/>
      <c r="AP40" s="78"/>
      <c r="AQ40" s="77"/>
      <c r="AR40" s="78"/>
      <c r="AS40" s="77"/>
      <c r="AT40" s="78"/>
      <c r="AU40" s="77"/>
      <c r="AV40" s="78"/>
      <c r="AW40" s="96"/>
      <c r="AX40" s="75"/>
      <c r="AY40" s="81"/>
      <c r="AZ40" s="75"/>
      <c r="BA40" s="81"/>
      <c r="BB40" s="75"/>
      <c r="BC40" s="81"/>
      <c r="BD40" s="75"/>
      <c r="BE40" s="81"/>
      <c r="BF40" s="75"/>
      <c r="BG40" s="81"/>
      <c r="BH40" s="75"/>
      <c r="BI40" s="81"/>
      <c r="BJ40" s="75"/>
      <c r="BK40" s="81"/>
      <c r="BL40" s="75"/>
      <c r="BM40" s="81"/>
      <c r="BN40" s="75"/>
      <c r="BO40" s="81"/>
      <c r="BP40" s="75"/>
      <c r="BQ40" s="81"/>
      <c r="BR40" s="75"/>
      <c r="BS40" s="81"/>
      <c r="BT40" s="75"/>
      <c r="BU40" s="81"/>
      <c r="BV40" s="75"/>
      <c r="BW40" s="81"/>
      <c r="BX40" s="75"/>
      <c r="BY40" s="81"/>
      <c r="BZ40" s="75"/>
      <c r="CA40" s="81"/>
      <c r="CB40" s="75"/>
      <c r="CC40" s="81"/>
      <c r="CD40" s="75"/>
      <c r="CE40" s="81"/>
      <c r="CF40" s="75"/>
      <c r="CG40" s="81"/>
      <c r="CH40" s="75"/>
      <c r="CI40" s="81"/>
      <c r="CJ40" s="75"/>
      <c r="CK40" s="81"/>
      <c r="CL40" s="75"/>
      <c r="CM40" s="81"/>
      <c r="CN40" s="75"/>
      <c r="CO40" s="81"/>
      <c r="CP40" s="75"/>
      <c r="CQ40" s="81"/>
      <c r="CR40" s="75"/>
      <c r="CS40" s="81"/>
      <c r="CT40" s="75"/>
      <c r="CU40" s="81"/>
      <c r="CV40" s="75"/>
      <c r="CW40" s="81"/>
      <c r="CX40" s="75"/>
      <c r="CY40" s="82" t="n">
        <f aca="false">W40+Y40+AA40+AC40+AE40+AG40+AI40+AK40+AM40+AO40+AQ40+AS40+AU40+AW40+AY40+BA40+BC40+BE40+BG40+BI40+BK40+BM40+BO40+BQ40+BS40+BU40+BW40+BY40+CA40+CC40+CE40+CG40+CI40+CK40+CM40+CO40+CQ40+CS40+CU40+CW40</f>
        <v>0</v>
      </c>
      <c r="CZ40" s="83" t="n">
        <f aca="false">IF(AND(CY40=0,DC40=0),0,(DF40+DG40)/DC40)</f>
        <v>0</v>
      </c>
      <c r="DA40" s="84" t="n">
        <f aca="false">DC40*DD40</f>
        <v>0</v>
      </c>
      <c r="DB40" s="85" t="n">
        <f aca="false">V40</f>
        <v>37163</v>
      </c>
      <c r="DC40" s="84" t="n">
        <f aca="false">ABS(W40)+ABS(Y40)+ABS(AA40)+ABS(AC40)+ABS(AE40)+ABS(AG40)+ABS(AI40)+ABS(AK40)+ABS(AM40)+ABS(AO40)+ABS(AQ40)+ABS(AS40)+ABS(AU40)+ABS(AW40)+ABS(AY40)+ABS(BA40)+ABS(BC40)+ABS(BE40)+ABS(BG40)+ABS(BI40)+ABS(BK40)+ABS(BM40)+ABS(BO40)+ABS(BQ40)+ABS(BS40)+ABS(BU40)+ABS(BW40)+ABS(BY40)+ABS(CA40)+ABS(CC40)+ABS(CE40)+ABS(CG40)+ABS(CI40)+ABS(CK40)+ABS(CM40)+ABS(CO40)+ABS(CQ40)+ABS(CS40)+ABS(CU40)+ABS(CW40)</f>
        <v>0</v>
      </c>
      <c r="DD40" s="86" t="n">
        <v>16</v>
      </c>
      <c r="DE40" s="84" t="n">
        <v>1</v>
      </c>
      <c r="DF40" s="43" t="n">
        <f aca="false">(ABS(W40)*X40+ABS(Y40)*Z40+ABS(AA40)*AB40+ABS(AC40)*AD40+ABS(AE40)*AF40+ABS(AG40)*AH40+ABS(AI40)*AJ40+ABS(AK40)*AL40+ABS(AM40)*AN40+ABS(AO40)*AP40+ABS(AQ40)*AR40+ABS(AS40)*AT40+ABS(AU40)*AV40+ABS(AW40)*AX40+ABS(AY40)*AZ40+ABS(BA40)*BB40+ABS(BC40)*BD40+ABS(BE40)*BF40+ABS(BG40)*BH40+ABS(BI40)*BJ40)</f>
        <v>0</v>
      </c>
      <c r="DG40" s="43" t="n">
        <f aca="false">ABS(BK40)*BL40+ABS(BM40)*BN40+ABS(BO40)*BP40+ABS(BQ40)*BR40+ABS(BS40)*BT40+ABS(BU40)*BV40+ABS(BW40)*BX40+ABS(BY40)*BZ40+ABS(CA40)*CB40+ABS(CC40)*CD40+ABS(CE40)*CF40+ABS(CG40)*CH40+ABS(CI40)*CJ40+ABS(CK40)*CL40+ABS(CM40)*CN40+ABS(CO40)*CP40+ABS(CQ40)*CR40+ABS(CS40)*CT40+ABS(CU40)*CV40+ABS(CW40)*CX40</f>
        <v>0</v>
      </c>
      <c r="DH40" s="43" t="n">
        <f aca="false">((H40-X40)*W40+(H40-Z40)*Y40+(H40-AB40)*AA40+(H40-AD40)*AC40+(H40-AF40)*AE40+(H40-AH40)*AG40+(H40-AJ40)*AI40+(H40-AL40)*AK40+(H40-AN40)*AM40+(H40-AP40)*AO40+(H40-AR40)*AQ40+(H40-AT40)*AS40+(H40-AV40)*AU40+(H40-AX40)*AW40+(H40-AZ40)*AY40+(H40-BB40)*BA40+(H40-BD40)*BC40+(H40-BF40)*BE40+(H40-BH40)*BG40+(H40-BJ40)*BI40)*DD40*DE40</f>
        <v>0</v>
      </c>
      <c r="DI40" s="43" t="n">
        <f aca="false">(((H40-BL40)*BK40+(H40-BN40)*BM40+(H40-BP40)*BO40+(H40-BR40)*BQ40+(H40-BT40)*BS40+(H40-BV40)*BU40+(H40-BX40)*BW40+(H40-BZ40)*BY40+(H40-CB40)*CA40+(H40-CD40)*CC40+(H40-CF40)*CE40+(H40-CH40)*CG40+(H40-CJ40)*CH40+(H40-CL40)*CK40+(H40-CN40)*CM40+(H40-CP40)*CO40+(H40-CR40)*CQ40+(H40-CT40)*CS40+(H40-CV40)*CU40+(H40-CX40)*CW40)*DD40*DE40)</f>
        <v>0</v>
      </c>
      <c r="DK40" s="85" t="n">
        <v>37163</v>
      </c>
      <c r="DL40" s="21" t="n">
        <v>0</v>
      </c>
      <c r="DM40" s="21" t="n">
        <f aca="false">[5]NEPOOL!$L27</f>
        <v>-1189.7</v>
      </c>
      <c r="DN40" s="21" t="n">
        <f aca="false">IF(AND(WEEKDAY(DK40)&gt;1,WEEKDAY(DK40)&lt;7),1,0)</f>
        <v>0</v>
      </c>
    </row>
    <row r="41" customFormat="false" ht="18.75" hidden="false" customHeight="false" outlineLevel="0" collapsed="false">
      <c r="A41" s="58" t="n">
        <f aca="false">'NYISO A'!A41</f>
        <v>37164</v>
      </c>
      <c r="B41" s="59" t="n">
        <f aca="false">+[3]NYZoneG!$L32/16</f>
        <v>0</v>
      </c>
      <c r="C41" s="101" t="n">
        <f aca="false">CY41</f>
        <v>0</v>
      </c>
      <c r="D41" s="87" t="n">
        <f aca="false">(IF(MONTH(A41)=MONTH(EOMONTH(TradeDate,1)),$AP$70,0)*VLOOKUP(A41,$DK$12:$DN$43,4))</f>
        <v>0</v>
      </c>
      <c r="E41" s="62" t="n">
        <f aca="false">B41+C41+D41</f>
        <v>0</v>
      </c>
      <c r="F41" s="63" t="n">
        <f aca="false">[3]NYZoneG!$C32</f>
        <v>38</v>
      </c>
      <c r="G41" s="88" t="n">
        <f aca="false">IF($Q$9,Q41,P41)</f>
        <v>0</v>
      </c>
      <c r="H41" s="89" t="n">
        <f aca="false">F41+G41</f>
        <v>38</v>
      </c>
      <c r="I41" s="87" t="n">
        <f aca="false">B41*G41*DD41</f>
        <v>0</v>
      </c>
      <c r="J41" s="66" t="n">
        <f aca="false">DH41+DI41</f>
        <v>0</v>
      </c>
      <c r="K41" s="90" t="n">
        <f aca="false">I41+J41</f>
        <v>0</v>
      </c>
      <c r="L41" s="24"/>
      <c r="M41" s="67" t="n">
        <f aca="false">A41</f>
        <v>37164</v>
      </c>
      <c r="N41" s="92" t="n">
        <v>38</v>
      </c>
      <c r="O41" s="92" t="n">
        <v>38</v>
      </c>
      <c r="P41" s="69" t="n">
        <f aca="false">AVERAGE(N41:O41)-F41</f>
        <v>0</v>
      </c>
      <c r="Q41" s="70"/>
      <c r="R41" s="91" t="n">
        <f aca="false">H41</f>
        <v>38</v>
      </c>
      <c r="S41" s="24"/>
      <c r="T41" s="24"/>
      <c r="U41" s="72"/>
      <c r="V41" s="73" t="n">
        <f aca="false">A41</f>
        <v>37164</v>
      </c>
      <c r="W41" s="77"/>
      <c r="X41" s="76"/>
      <c r="Y41" s="77"/>
      <c r="Z41" s="78"/>
      <c r="AA41" s="77"/>
      <c r="AB41" s="78"/>
      <c r="AC41" s="77"/>
      <c r="AD41" s="76"/>
      <c r="AE41" s="77"/>
      <c r="AF41" s="76"/>
      <c r="AG41" s="77"/>
      <c r="AH41" s="76"/>
      <c r="AI41" s="74"/>
      <c r="AJ41" s="76"/>
      <c r="AK41" s="77"/>
      <c r="AL41" s="78"/>
      <c r="AM41" s="77"/>
      <c r="AN41" s="78"/>
      <c r="AO41" s="77"/>
      <c r="AP41" s="78"/>
      <c r="AQ41" s="77"/>
      <c r="AR41" s="78"/>
      <c r="AS41" s="77"/>
      <c r="AT41" s="78"/>
      <c r="AU41" s="77"/>
      <c r="AV41" s="78"/>
      <c r="AW41" s="96"/>
      <c r="AX41" s="75"/>
      <c r="AY41" s="81"/>
      <c r="AZ41" s="75"/>
      <c r="BA41" s="81"/>
      <c r="BB41" s="75"/>
      <c r="BC41" s="81"/>
      <c r="BD41" s="75"/>
      <c r="BE41" s="81"/>
      <c r="BF41" s="75"/>
      <c r="BG41" s="81"/>
      <c r="BH41" s="75"/>
      <c r="BI41" s="81"/>
      <c r="BJ41" s="75"/>
      <c r="BK41" s="81"/>
      <c r="BL41" s="75"/>
      <c r="BM41" s="81"/>
      <c r="BN41" s="75"/>
      <c r="BO41" s="81"/>
      <c r="BP41" s="75"/>
      <c r="BQ41" s="81"/>
      <c r="BR41" s="75"/>
      <c r="BS41" s="81"/>
      <c r="BT41" s="75"/>
      <c r="BU41" s="81"/>
      <c r="BV41" s="75"/>
      <c r="BW41" s="81"/>
      <c r="BX41" s="75"/>
      <c r="BY41" s="81"/>
      <c r="BZ41" s="75"/>
      <c r="CA41" s="81"/>
      <c r="CB41" s="75"/>
      <c r="CC41" s="81"/>
      <c r="CD41" s="75"/>
      <c r="CE41" s="81"/>
      <c r="CF41" s="75"/>
      <c r="CG41" s="81"/>
      <c r="CH41" s="75"/>
      <c r="CI41" s="81"/>
      <c r="CJ41" s="75"/>
      <c r="CK41" s="81"/>
      <c r="CL41" s="75"/>
      <c r="CM41" s="81"/>
      <c r="CN41" s="75"/>
      <c r="CO41" s="81"/>
      <c r="CP41" s="75"/>
      <c r="CQ41" s="81"/>
      <c r="CR41" s="75"/>
      <c r="CS41" s="81"/>
      <c r="CT41" s="75"/>
      <c r="CU41" s="81"/>
      <c r="CV41" s="75"/>
      <c r="CW41" s="81"/>
      <c r="CX41" s="75"/>
      <c r="CY41" s="82" t="n">
        <f aca="false">W41+Y41+AA41+AC41+AE41+AG41+AI41+AK41+AM41+AO41+AQ41+AS41+AU41+AW41+AY41+BA41+BC41+BE41+BG41+BI41+BK41+BM41+BO41+BQ41+BS41+BU41+BW41+BY41+CA41+CC41+CE41+CG41+CI41+CK41+CM41+CO41+CQ41+CS41+CU41+CW41</f>
        <v>0</v>
      </c>
      <c r="CZ41" s="83" t="n">
        <f aca="false">IF(AND(CY41=0,DC41=0),0,(DF41+DG41)/DC41)</f>
        <v>0</v>
      </c>
      <c r="DA41" s="84" t="n">
        <f aca="false">DC41*DD41</f>
        <v>0</v>
      </c>
      <c r="DB41" s="85" t="n">
        <f aca="false">V41</f>
        <v>37164</v>
      </c>
      <c r="DC41" s="84" t="n">
        <f aca="false">ABS(W41)+ABS(Y41)+ABS(AA41)+ABS(AC41)+ABS(AE41)+ABS(AG41)+ABS(AI41)+ABS(AK41)+ABS(AM41)+ABS(AO41)+ABS(AQ41)+ABS(AS41)+ABS(AU41)+ABS(AW41)+ABS(AY41)+ABS(BA41)+ABS(BC41)+ABS(BE41)+ABS(BG41)+ABS(BI41)+ABS(BK41)+ABS(BM41)+ABS(BO41)+ABS(BQ41)+ABS(BS41)+ABS(BU41)+ABS(BW41)+ABS(BY41)+ABS(CA41)+ABS(CC41)+ABS(CE41)+ABS(CG41)+ABS(CI41)+ABS(CK41)+ABS(CM41)+ABS(CO41)+ABS(CQ41)+ABS(CS41)+ABS(CU41)+ABS(CW41)</f>
        <v>0</v>
      </c>
      <c r="DD41" s="86" t="n">
        <v>16</v>
      </c>
      <c r="DE41" s="84" t="n">
        <v>1</v>
      </c>
      <c r="DF41" s="43" t="n">
        <f aca="false">(ABS(W41)*X41+ABS(Y41)*Z41+ABS(AA41)*AB41+ABS(AC41)*AD41+ABS(AE41)*AF41+ABS(AG41)*AH41+ABS(AI41)*AJ41+ABS(AK41)*AL41+ABS(AM41)*AN41+ABS(AO41)*AP41+ABS(AQ41)*AR41+ABS(AS41)*AT41+ABS(AU41)*AV41+ABS(AW41)*AX41+ABS(AY41)*AZ41+ABS(BA41)*BB41+ABS(BC41)*BD41+ABS(BE41)*BF41+ABS(BG41)*BH41+ABS(BI41)*BJ41)</f>
        <v>0</v>
      </c>
      <c r="DG41" s="43" t="n">
        <f aca="false">ABS(BK41)*BL41+ABS(BM41)*BN41+ABS(BO41)*BP41+ABS(BQ41)*BR41+ABS(BS41)*BT41+ABS(BU41)*BV41+ABS(BW41)*BX41+ABS(BY41)*BZ41+ABS(CA41)*CB41+ABS(CC41)*CD41+ABS(CE41)*CF41+ABS(CG41)*CH41+ABS(CI41)*CJ41+ABS(CK41)*CL41+ABS(CM41)*CN41+ABS(CO41)*CP41+ABS(CQ41)*CR41+ABS(CS41)*CT41+ABS(CU41)*CV41+ABS(CW41)*CX41</f>
        <v>0</v>
      </c>
      <c r="DH41" s="43" t="n">
        <f aca="false">((H41-X41)*W41+(H41-Z41)*Y41+(H41-AB41)*AA41+(H41-AD41)*AC41+(H41-AF41)*AE41+(H41-AH41)*AG41+(H41-AJ41)*AI41+(H41-AL41)*AK41+(H41-AN41)*AM41+(H41-AP41)*AO41+(H41-AR41)*AQ41+(H41-AT41)*AS41+(H41-AV41)*AU41+(H41-AX41)*AW41+(H41-AZ41)*AY41+(H41-BB41)*BA41+(H41-BD41)*BC41+(H41-BF41)*BE41+(H41-BH41)*BG41+(H41-BJ41)*BI41)*DD41*DE41</f>
        <v>0</v>
      </c>
      <c r="DI41" s="43" t="n">
        <f aca="false">(((H41-BL41)*BK41+(H41-BN41)*BM41+(H41-BP41)*BO41+(H41-BR41)*BQ41+(H41-BT41)*BS41+(H41-BV41)*BU41+(H41-BX41)*BW41+(H41-BZ41)*BY41+(H41-CB41)*CA41+(H41-CD41)*CC41+(H41-CF41)*CE41+(H41-CH41)*CG41+(H41-CJ41)*CH41+(H41-CL41)*CK41+(H41-CN41)*CM41+(H41-CP41)*CO41+(H41-CR41)*CQ41+(H41-CT41)*CS41+(H41-CV41)*CU41+(H41-CX41)*CW41)*DD41*DE41)</f>
        <v>0</v>
      </c>
      <c r="DK41" s="85" t="n">
        <v>37164</v>
      </c>
      <c r="DL41" s="21" t="n">
        <v>0</v>
      </c>
      <c r="DM41" s="21" t="n">
        <f aca="false">[5]NEPOOL!$L28</f>
        <v>0</v>
      </c>
      <c r="DN41" s="21" t="n">
        <f aca="false">IF(AND(WEEKDAY(DK41)&gt;1,WEEKDAY(DK41)&lt;7),1,0)</f>
        <v>0</v>
      </c>
    </row>
    <row r="42" customFormat="false" ht="18" hidden="false" customHeight="true" outlineLevel="0" collapsed="false">
      <c r="A42" s="58" t="n">
        <f aca="false">'NYISO A'!A42</f>
        <v>37165</v>
      </c>
      <c r="B42" s="59" t="n">
        <f aca="false">+[3]NYZoneG!$L33/16</f>
        <v>-1142.265625</v>
      </c>
      <c r="C42" s="60" t="n">
        <f aca="false">CY42</f>
        <v>0</v>
      </c>
      <c r="D42" s="61" t="n">
        <f aca="false">(IF(MONTH(A42)=MONTH(EOMONTH(TradeDate,1)),$AP$70,0)*VLOOKUP(A42,$DK$12:$DN$43,4))</f>
        <v>0</v>
      </c>
      <c r="E42" s="62" t="n">
        <f aca="false">B42+C42+D42</f>
        <v>-1142.265625</v>
      </c>
      <c r="F42" s="63" t="n">
        <f aca="false">[3]NYZoneG!$C33</f>
        <v>41</v>
      </c>
      <c r="G42" s="63" t="n">
        <f aca="false">IF($Q$9,Q42,P42)</f>
        <v>0.5</v>
      </c>
      <c r="H42" s="64" t="n">
        <f aca="false">F42+G42</f>
        <v>41.5</v>
      </c>
      <c r="I42" s="65" t="n">
        <f aca="false">B42*G42*DD42</f>
        <v>-9138.125</v>
      </c>
      <c r="J42" s="66" t="n">
        <f aca="false">DH42+DI42</f>
        <v>0</v>
      </c>
      <c r="K42" s="66" t="n">
        <f aca="false">I42+J42</f>
        <v>-9138.125</v>
      </c>
      <c r="L42" s="24"/>
      <c r="M42" s="67" t="n">
        <f aca="false">A42</f>
        <v>37165</v>
      </c>
      <c r="N42" s="92" t="n">
        <v>41.5</v>
      </c>
      <c r="O42" s="92" t="n">
        <v>41.5</v>
      </c>
      <c r="P42" s="69" t="n">
        <f aca="false">AVERAGE(N42:O42)-F42</f>
        <v>0.5</v>
      </c>
      <c r="Q42" s="70"/>
      <c r="R42" s="91" t="n">
        <f aca="false">H42</f>
        <v>41.5</v>
      </c>
      <c r="S42" s="24"/>
      <c r="T42" s="24"/>
      <c r="U42" s="72"/>
      <c r="V42" s="73" t="n">
        <f aca="false">A42</f>
        <v>37165</v>
      </c>
      <c r="W42" s="77"/>
      <c r="X42" s="76"/>
      <c r="Y42" s="77"/>
      <c r="Z42" s="78"/>
      <c r="AA42" s="77"/>
      <c r="AB42" s="78"/>
      <c r="AC42" s="77"/>
      <c r="AD42" s="76"/>
      <c r="AE42" s="77"/>
      <c r="AF42" s="76"/>
      <c r="AG42" s="77"/>
      <c r="AH42" s="76"/>
      <c r="AI42" s="77"/>
      <c r="AJ42" s="78"/>
      <c r="AK42" s="77"/>
      <c r="AL42" s="78"/>
      <c r="AM42" s="77"/>
      <c r="AN42" s="78"/>
      <c r="AO42" s="77"/>
      <c r="AP42" s="78"/>
      <c r="AQ42" s="77"/>
      <c r="AR42" s="78"/>
      <c r="AS42" s="77"/>
      <c r="AT42" s="78"/>
      <c r="AU42" s="94"/>
      <c r="AV42" s="95"/>
      <c r="AW42" s="96"/>
      <c r="AX42" s="75"/>
      <c r="AY42" s="81"/>
      <c r="AZ42" s="75"/>
      <c r="BA42" s="81"/>
      <c r="BB42" s="75"/>
      <c r="BC42" s="81"/>
      <c r="BD42" s="75"/>
      <c r="BE42" s="81"/>
      <c r="BF42" s="75"/>
      <c r="BG42" s="81"/>
      <c r="BH42" s="75"/>
      <c r="BI42" s="81"/>
      <c r="BJ42" s="75"/>
      <c r="BK42" s="81"/>
      <c r="BL42" s="75"/>
      <c r="BM42" s="81"/>
      <c r="BN42" s="75"/>
      <c r="BO42" s="81"/>
      <c r="BP42" s="75"/>
      <c r="BQ42" s="81"/>
      <c r="BR42" s="75"/>
      <c r="BS42" s="81"/>
      <c r="BT42" s="75"/>
      <c r="BU42" s="81"/>
      <c r="BV42" s="75"/>
      <c r="BW42" s="81"/>
      <c r="BX42" s="75"/>
      <c r="BY42" s="81"/>
      <c r="BZ42" s="75"/>
      <c r="CA42" s="81"/>
      <c r="CB42" s="75"/>
      <c r="CC42" s="81"/>
      <c r="CD42" s="75"/>
      <c r="CE42" s="81"/>
      <c r="CF42" s="75"/>
      <c r="CG42" s="81"/>
      <c r="CH42" s="75"/>
      <c r="CI42" s="81"/>
      <c r="CJ42" s="75"/>
      <c r="CK42" s="81"/>
      <c r="CL42" s="75"/>
      <c r="CM42" s="81"/>
      <c r="CN42" s="75"/>
      <c r="CO42" s="81"/>
      <c r="CP42" s="75"/>
      <c r="CQ42" s="81"/>
      <c r="CR42" s="75"/>
      <c r="CS42" s="81"/>
      <c r="CT42" s="75"/>
      <c r="CU42" s="81"/>
      <c r="CV42" s="75"/>
      <c r="CW42" s="81"/>
      <c r="CX42" s="75"/>
      <c r="CY42" s="82" t="n">
        <f aca="false">W42+Y42+AA42+AC42+AE42+AG42+AI42+AK42+AM42+AO42+AQ42+AS42+AU42+AW42+AY42+BA42+BC42+BE42+BG42+BI42+BK42+BM42+BO42+BQ42+BS42+BU42+BW42+BY42+CA42+CC42+CE42+CG42+CI42+CK42+CM42+CO42+CQ42+CS42+CU42+CW42</f>
        <v>0</v>
      </c>
      <c r="CZ42" s="83" t="n">
        <f aca="false">IF(AND(CY42=0,DC42=0),0,(DF42+DG42)/DC42)</f>
        <v>0</v>
      </c>
      <c r="DA42" s="84" t="n">
        <f aca="false">DC42*DD42</f>
        <v>0</v>
      </c>
      <c r="DB42" s="85" t="n">
        <f aca="false">V42</f>
        <v>37165</v>
      </c>
      <c r="DC42" s="84" t="n">
        <f aca="false">ABS(W42)+ABS(Y42)+ABS(AA42)+ABS(AC42)+ABS(AE42)+ABS(AG42)+ABS(AI42)+ABS(AK42)+ABS(AM42)+ABS(AO42)+ABS(AQ42)+ABS(AS42)+ABS(AU42)+ABS(AW42)+ABS(AY42)+ABS(BA42)+ABS(BC42)+ABS(BE42)+ABS(BG42)+ABS(BI42)+ABS(BK42)+ABS(BM42)+ABS(BO42)+ABS(BQ42)+ABS(BS42)+ABS(BU42)+ABS(BW42)+ABS(BY42)+ABS(CA42)+ABS(CC42)+ABS(CE42)+ABS(CG42)+ABS(CI42)+ABS(CK42)+ABS(CM42)+ABS(CO42)+ABS(CQ42)+ABS(CS42)+ABS(CU42)+ABS(CW42)</f>
        <v>0</v>
      </c>
      <c r="DD42" s="86" t="n">
        <v>16</v>
      </c>
      <c r="DE42" s="84" t="n">
        <v>1</v>
      </c>
      <c r="DF42" s="43" t="n">
        <f aca="false">(ABS(W42)*X42+ABS(Y42)*Z42+ABS(AA42)*AB42+ABS(AC42)*AD42+ABS(AE42)*AF42+ABS(AG42)*AH42+ABS(AI42)*AJ42+ABS(AK42)*AL42+ABS(AM42)*AN42+ABS(AO42)*AP42+ABS(AQ42)*AR42+ABS(AS42)*AT42+ABS(AU42)*AV42+ABS(AW42)*AX42+ABS(AY42)*AZ42+ABS(BA42)*BB42+ABS(BC42)*BD42+ABS(BE42)*BF42+ABS(BG42)*BH42+ABS(BI42)*BJ42)</f>
        <v>0</v>
      </c>
      <c r="DG42" s="43" t="n">
        <f aca="false">ABS(BK42)*BL42+ABS(BM42)*BN42+ABS(BO42)*BP42+ABS(BQ42)*BR42+ABS(BS42)*BT42+ABS(BU42)*BV42+ABS(BW42)*BX42+ABS(BY42)*BZ42+ABS(CA42)*CB42+ABS(CC42)*CD42+ABS(CE42)*CF42+ABS(CG42)*CH42+ABS(CI42)*CJ42+ABS(CK42)*CL42+ABS(CM42)*CN42+ABS(CO42)*CP42+ABS(CQ42)*CR42+ABS(CS42)*CT42+ABS(CU42)*CV42+ABS(CW42)*CX42</f>
        <v>0</v>
      </c>
      <c r="DH42" s="43" t="n">
        <f aca="false">((H42-X42)*W42+(H42-Z42)*Y42+(H42-AB42)*AA42+(H42-AD42)*AC42+(H42-AF42)*AE42+(H42-AH42)*AG42+(H42-AJ42)*AI42+(H42-AL42)*AK42+(H42-AN42)*AM42+(H42-AP42)*AO42+(H42-AR42)*AQ42+(H42-AT42)*AS42+(H42-AV42)*AU42+(H42-AX42)*AW42+(H42-AZ42)*AY42+(H42-BB42)*BA42+(H42-BD42)*BC42+(H42-BF42)*BE42+(H42-BH42)*BG42+(H42-BJ42)*BI42)*DD42*DE42</f>
        <v>0</v>
      </c>
      <c r="DI42" s="43" t="n">
        <f aca="false">(((H42-BL42)*BK42+(H42-BN42)*BM42+(H42-BP42)*BO42+(H42-BR42)*BQ42+(H42-BT42)*BS42+(H42-BV42)*BU42+(H42-BX42)*BW42+(H42-BZ42)*BY42+(H42-CB42)*CA42+(H42-CD42)*CC42+(H42-CF42)*CE42+(H42-CH42)*CG42+(H42-CJ42)*CH42+(H42-CL42)*CK42+(H42-CN42)*CM42+(H42-CP42)*CO42+(H42-CR42)*CQ42+(H42-CT42)*CS42+(H42-CV42)*CU42+(H42-CX42)*CW42)*DD42*DE42)</f>
        <v>0</v>
      </c>
      <c r="DK42" s="85" t="n">
        <v>37165</v>
      </c>
      <c r="DL42" s="21" t="n">
        <v>-2292.265625</v>
      </c>
      <c r="DM42" s="21" t="n">
        <f aca="false">[5]NEPOOL!$L29</f>
        <v>-1189.7</v>
      </c>
      <c r="DN42" s="21" t="n">
        <f aca="false">IF(AND(WEEKDAY(DK42)&gt;1,WEEKDAY(DK42)&lt;7),1,0)</f>
        <v>1</v>
      </c>
      <c r="DS42" s="24"/>
      <c r="DT42" s="24"/>
    </row>
    <row r="43" customFormat="false" ht="19.5" hidden="false" customHeight="false" outlineLevel="0" collapsed="false">
      <c r="A43" s="58" t="n">
        <f aca="false">'NYISO A'!A43</f>
        <v>37195</v>
      </c>
      <c r="B43" s="59" t="n">
        <f aca="false">+[3]NYZoneG!$L34</f>
        <v>0</v>
      </c>
      <c r="C43" s="101" t="n">
        <f aca="false">CY43*16</f>
        <v>0</v>
      </c>
      <c r="D43" s="87" t="n">
        <f aca="false">(IF(MONTH(A43)=MONTH(EOMONTH(TradeDate,1)),$AP$70,0)*VLOOKUP(A43,$DK$12:$DN$43,4))</f>
        <v>0</v>
      </c>
      <c r="E43" s="105" t="n">
        <f aca="false">B43+C43+D43</f>
        <v>0</v>
      </c>
      <c r="F43" s="63" t="n">
        <f aca="false">[3]NYZoneG!$C34</f>
        <v>41</v>
      </c>
      <c r="G43" s="88" t="n">
        <f aca="false">IF($Q$9,Q43,P43)</f>
        <v>-3</v>
      </c>
      <c r="H43" s="89" t="n">
        <f aca="false">F43+G43</f>
        <v>38</v>
      </c>
      <c r="I43" s="87" t="n">
        <f aca="false">B43*G43</f>
        <v>-0</v>
      </c>
      <c r="J43" s="90" t="n">
        <f aca="false">DH43+DI43</f>
        <v>0</v>
      </c>
      <c r="K43" s="90" t="n">
        <f aca="false">I43+J43</f>
        <v>0</v>
      </c>
      <c r="L43" s="265"/>
      <c r="M43" s="67" t="n">
        <f aca="false">A43</f>
        <v>37195</v>
      </c>
      <c r="N43" s="92" t="n">
        <v>38</v>
      </c>
      <c r="O43" s="92" t="n">
        <v>38</v>
      </c>
      <c r="P43" s="69" t="n">
        <f aca="false">AVERAGE(N43:O43)-F43</f>
        <v>-3</v>
      </c>
      <c r="Q43" s="70"/>
      <c r="R43" s="91" t="n">
        <f aca="false">H43</f>
        <v>38</v>
      </c>
      <c r="S43" s="24"/>
      <c r="T43" s="24"/>
      <c r="U43" s="72"/>
      <c r="V43" s="67" t="n">
        <f aca="false">A43</f>
        <v>37195</v>
      </c>
      <c r="W43" s="77"/>
      <c r="X43" s="76"/>
      <c r="Y43" s="77"/>
      <c r="Z43" s="76"/>
      <c r="AA43" s="77"/>
      <c r="AB43" s="76"/>
      <c r="AC43" s="77"/>
      <c r="AD43" s="76"/>
      <c r="AE43" s="108"/>
      <c r="AF43" s="76"/>
      <c r="AG43" s="77"/>
      <c r="AH43" s="76"/>
      <c r="AI43" s="77"/>
      <c r="AJ43" s="78"/>
      <c r="AK43" s="108"/>
      <c r="AL43" s="110"/>
      <c r="AM43" s="77"/>
      <c r="AN43" s="110"/>
      <c r="AO43" s="108"/>
      <c r="AP43" s="110"/>
      <c r="AQ43" s="108"/>
      <c r="AR43" s="78"/>
      <c r="AS43" s="108"/>
      <c r="AT43" s="78"/>
      <c r="AU43" s="111"/>
      <c r="AV43" s="112"/>
      <c r="AW43" s="266"/>
      <c r="AX43" s="114"/>
      <c r="AY43" s="113"/>
      <c r="AZ43" s="114"/>
      <c r="BA43" s="113"/>
      <c r="BB43" s="114"/>
      <c r="BC43" s="113"/>
      <c r="BD43" s="114"/>
      <c r="BE43" s="113"/>
      <c r="BF43" s="114"/>
      <c r="BG43" s="113"/>
      <c r="BH43" s="114"/>
      <c r="BI43" s="113"/>
      <c r="BJ43" s="114"/>
      <c r="BK43" s="113"/>
      <c r="BL43" s="114"/>
      <c r="BM43" s="113"/>
      <c r="BN43" s="114"/>
      <c r="BO43" s="113"/>
      <c r="BP43" s="114"/>
      <c r="BQ43" s="113"/>
      <c r="BR43" s="114"/>
      <c r="BS43" s="113"/>
      <c r="BT43" s="114"/>
      <c r="BU43" s="113"/>
      <c r="BV43" s="114"/>
      <c r="BW43" s="113"/>
      <c r="BX43" s="114"/>
      <c r="BY43" s="113"/>
      <c r="BZ43" s="114"/>
      <c r="CA43" s="113"/>
      <c r="CB43" s="114"/>
      <c r="CC43" s="113"/>
      <c r="CD43" s="114"/>
      <c r="CE43" s="113"/>
      <c r="CF43" s="114"/>
      <c r="CG43" s="113"/>
      <c r="CH43" s="114"/>
      <c r="CI43" s="113"/>
      <c r="CJ43" s="114"/>
      <c r="CK43" s="113"/>
      <c r="CL43" s="114"/>
      <c r="CM43" s="113"/>
      <c r="CN43" s="114"/>
      <c r="CO43" s="113"/>
      <c r="CP43" s="114"/>
      <c r="CQ43" s="113"/>
      <c r="CR43" s="114"/>
      <c r="CS43" s="113"/>
      <c r="CT43" s="114"/>
      <c r="CU43" s="113"/>
      <c r="CV43" s="114"/>
      <c r="CW43" s="113"/>
      <c r="CX43" s="114"/>
      <c r="CY43" s="115" t="n">
        <f aca="false">W43+Y43+AA43+AC43+AE43+AG43+AI43+AK43+AM43+AO43+AQ43+AS43+AU43+AW43+AY43+BA43+BC43+BE43+BG43+BI43+BK43+BM43+BO43+BQ43+BS43+BU43+BW43+BY43+CA43+CC43+CE43+CG43+CI43+CK43+CM43+CO43+CQ43+CS43+CU43+CW43</f>
        <v>0</v>
      </c>
      <c r="CZ43" s="116" t="n">
        <f aca="false">IF(AND(CY43=0,DC43=0),0,(DF43+DG43)/DC43)</f>
        <v>0</v>
      </c>
      <c r="DA43" s="84" t="n">
        <f aca="false">DC43*DD43</f>
        <v>0</v>
      </c>
      <c r="DB43" s="85" t="n">
        <f aca="false">V43</f>
        <v>37195</v>
      </c>
      <c r="DC43" s="84" t="n">
        <f aca="false">ABS(W43)+ABS(Y43)+ABS(AA43)+ABS(AC43)+ABS(AE43)+ABS(AG43)+ABS(AI43)+ABS(AK43)+ABS(AM43)+ABS(AO43)+ABS(AQ43)+ABS(AS43)+ABS(AU43)+ABS(AW43)+ABS(AY43)+ABS(BA43)+ABS(BC43)+ABS(BE43)+ABS(BG43)+ABS(BI43)+ABS(BK43)+ABS(BM43)+ABS(BO43)+ABS(BQ43)+ABS(BS43)+ABS(BU43)+ABS(BW43)+ABS(BY43)+ABS(CA43)+ABS(CC43)+ABS(CE43)+ABS(CG43)+ABS(CI43)+ABS(CK43)+ABS(CM43)+ABS(CO43)+ABS(CQ43)+ABS(CS43)+ABS(CU43)+ABS(CW43)</f>
        <v>0</v>
      </c>
      <c r="DD43" s="86" t="n">
        <f aca="false">16</f>
        <v>16</v>
      </c>
      <c r="DE43" s="84" t="n">
        <v>1</v>
      </c>
      <c r="DF43" s="43" t="n">
        <f aca="false">(ABS(W43)*X43+ABS(Y43)*Z43+ABS(AA43)*AB43+ABS(AC43)*AD43+ABS(AE43)*AF43+ABS(AG43)*AH43+ABS(AI43)*AJ43+ABS(AK43)*AL43+ABS(AM43)*AN43+ABS(AO43)*AP43+ABS(AQ43)*AR43+ABS(AS43)*AT43+ABS(AU43)*AV43+ABS(AW43)*AX43+ABS(AY43)*AZ43+ABS(BA43)*BB43+ABS(BC43)*BD43+ABS(BE43)*BF43+ABS(BG43)*BH43+ABS(BI43)*BJ43)</f>
        <v>0</v>
      </c>
      <c r="DG43" s="43" t="n">
        <f aca="false">ABS(BK43)*BL43+ABS(BM43)*BN43+ABS(BO43)*BP43+ABS(BQ43)*BR43+ABS(BS43)*BT43+ABS(BU43)*BV43+ABS(BW43)*BX43+ABS(BY43)*BZ43+ABS(CA43)*CB43+ABS(CC43)*CD43+ABS(CE43)*CF43+ABS(CG43)*CH43+ABS(CI43)*CJ43+ABS(CK43)*CL43+ABS(CM43)*CN43+ABS(CO43)*CP43+ABS(CQ43)*CR43+ABS(CS43)*CT43+ABS(CU43)*CV43+ABS(CW43)*CX43</f>
        <v>0</v>
      </c>
      <c r="DH43" s="43" t="n">
        <f aca="false">((H43-X43)*W43+(H43-Z43)*Y43+(H43-AB43)*AA43+(H43-AD43)*AC43+(H43-AF43)*AE43+(H43-AH43)*AG43+(H43-AJ43)*AI43+(H43-AL43)*AK43+(H43-AN43)*AM43+(H43-AP43)*AO43+(H43-AR43)*AQ43+(H43-AT43)*AS43+(H43-AV43)*AU43+(H43-AX43)*AW43+(H43-AZ43)*AY43+(H43-BB43)*BA43+(H43-BD43)*BC43+(H43-BF43)*BE43+(H43-BH43)*BG43+(H43-BJ43)*BI43)*DD43*DE43</f>
        <v>0</v>
      </c>
      <c r="DI43" s="43" t="n">
        <f aca="false">(((H43-BL43)*BK43+(H43-BN43)*BM43+(H43-BP43)*BO43+(H43-BR43)*BQ43+(H43-BT43)*BS43+(H43-BV43)*BU43+(H43-BX43)*BW43+(H43-BZ43)*BY43+(H43-CB43)*CA43+(H43-CD43)*CC43+(H43-CF43)*CE43+(H43-CH43)*CG43+(H43-CJ43)*CH43+(H43-CL43)*CK43+(H43-CN43)*CM43+(H43-CP43)*CO43+(H43-CR43)*CQ43+(H43-CT43)*CS43+(H43-CV43)*CU43+(H43-CX43)*CW43)*DD43*DE43)</f>
        <v>0</v>
      </c>
      <c r="DK43" s="85" t="n">
        <v>37195</v>
      </c>
      <c r="DL43" s="21" t="n">
        <v>0</v>
      </c>
      <c r="DM43" s="21" t="n">
        <f aca="false">[5]NEPOOL!$L30</f>
        <v>-1189.7</v>
      </c>
      <c r="DN43" s="21" t="n">
        <v>1</v>
      </c>
      <c r="DR43" s="117" t="s">
        <v>79</v>
      </c>
      <c r="DS43" s="24"/>
      <c r="DT43" s="24"/>
    </row>
    <row r="44" customFormat="false" ht="18.75" hidden="false" customHeight="false" outlineLevel="0" collapsed="false">
      <c r="A44" s="118" t="n">
        <f aca="false">'NYISO A'!A44</f>
        <v>37196</v>
      </c>
      <c r="B44" s="267" t="n">
        <f aca="false">+[3]NYZoneG!$L35/16/DR44</f>
        <v>-49.5244896298363</v>
      </c>
      <c r="C44" s="120" t="n">
        <f aca="false">CY44</f>
        <v>0</v>
      </c>
      <c r="D44" s="121" t="n">
        <f aca="false">(IF(MONTH(A44)=MONTH(EOMONTH(TradeDate,1)),$AP$70,0)*VLOOKUP(A44,$DK$12:$DN$43,4))</f>
        <v>0</v>
      </c>
      <c r="E44" s="122" t="n">
        <f aca="false">B44+C44+D44</f>
        <v>-49.5244896298363</v>
      </c>
      <c r="F44" s="123" t="n">
        <f aca="false">[3]NYZoneG!$C35</f>
        <v>41</v>
      </c>
      <c r="G44" s="124" t="n">
        <f aca="false">IF($Q$9,Q44,P44)</f>
        <v>0.5</v>
      </c>
      <c r="H44" s="125" t="n">
        <f aca="false">F44+G44</f>
        <v>41.5</v>
      </c>
      <c r="I44" s="268" t="n">
        <f aca="false">B44*G44*DD44*DR44</f>
        <v>-8320.1142578125</v>
      </c>
      <c r="J44" s="127" t="n">
        <f aca="false">(DH44+DI44)*$DR44</f>
        <v>0</v>
      </c>
      <c r="K44" s="268" t="n">
        <f aca="false">I44+J44</f>
        <v>-8320.1142578125</v>
      </c>
      <c r="L44" s="24"/>
      <c r="M44" s="128" t="n">
        <f aca="false">A44</f>
        <v>37196</v>
      </c>
      <c r="N44" s="269" t="n">
        <v>41.5</v>
      </c>
      <c r="O44" s="269" t="n">
        <v>41.5</v>
      </c>
      <c r="P44" s="129" t="n">
        <f aca="false">AVERAGE(N44:O44)-F44</f>
        <v>0.5</v>
      </c>
      <c r="Q44" s="130"/>
      <c r="R44" s="71" t="n">
        <f aca="false">H44</f>
        <v>41.5</v>
      </c>
      <c r="S44" s="24"/>
      <c r="T44" s="24"/>
      <c r="U44" s="131"/>
      <c r="V44" s="132" t="n">
        <f aca="false">A44</f>
        <v>37196</v>
      </c>
      <c r="W44" s="133"/>
      <c r="X44" s="133"/>
      <c r="Y44" s="133"/>
      <c r="Z44" s="135"/>
      <c r="AA44" s="133"/>
      <c r="AB44" s="135"/>
      <c r="AC44" s="133"/>
      <c r="AD44" s="135"/>
      <c r="AE44" s="133"/>
      <c r="AF44" s="135"/>
      <c r="AG44" s="137"/>
      <c r="AH44" s="136"/>
      <c r="AI44" s="137"/>
      <c r="AJ44" s="136"/>
      <c r="AK44" s="137"/>
      <c r="AL44" s="136"/>
      <c r="AM44" s="137"/>
      <c r="AN44" s="136"/>
      <c r="AO44" s="137"/>
      <c r="AP44" s="136"/>
      <c r="AQ44" s="137"/>
      <c r="AR44" s="136"/>
      <c r="AS44" s="137"/>
      <c r="AT44" s="138"/>
      <c r="AU44" s="139"/>
      <c r="AV44" s="140"/>
      <c r="AW44" s="141"/>
      <c r="AX44" s="142"/>
      <c r="AY44" s="143"/>
      <c r="AZ44" s="142"/>
      <c r="BA44" s="143"/>
      <c r="BB44" s="142"/>
      <c r="BC44" s="143"/>
      <c r="BD44" s="142"/>
      <c r="BE44" s="143"/>
      <c r="BF44" s="142"/>
      <c r="BG44" s="143"/>
      <c r="BH44" s="142"/>
      <c r="BI44" s="143"/>
      <c r="BJ44" s="142"/>
      <c r="BK44" s="143"/>
      <c r="BL44" s="142"/>
      <c r="BM44" s="143"/>
      <c r="BN44" s="142"/>
      <c r="BO44" s="143"/>
      <c r="BP44" s="142"/>
      <c r="BQ44" s="143"/>
      <c r="BR44" s="142"/>
      <c r="BS44" s="143"/>
      <c r="BT44" s="142"/>
      <c r="BU44" s="143"/>
      <c r="BV44" s="142"/>
      <c r="BW44" s="143"/>
      <c r="BX44" s="142"/>
      <c r="BY44" s="143"/>
      <c r="BZ44" s="142"/>
      <c r="CA44" s="143"/>
      <c r="CB44" s="142"/>
      <c r="CC44" s="143"/>
      <c r="CD44" s="142"/>
      <c r="CE44" s="143"/>
      <c r="CF44" s="142"/>
      <c r="CG44" s="143"/>
      <c r="CH44" s="142"/>
      <c r="CI44" s="143"/>
      <c r="CJ44" s="142"/>
      <c r="CK44" s="143"/>
      <c r="CL44" s="142"/>
      <c r="CM44" s="143"/>
      <c r="CN44" s="142"/>
      <c r="CO44" s="143"/>
      <c r="CP44" s="142"/>
      <c r="CQ44" s="143"/>
      <c r="CR44" s="142"/>
      <c r="CS44" s="143"/>
      <c r="CT44" s="142"/>
      <c r="CU44" s="143"/>
      <c r="CV44" s="142"/>
      <c r="CW44" s="143"/>
      <c r="CX44" s="142"/>
      <c r="CY44" s="144" t="n">
        <f aca="false">W44+Y44+AA44+AC44+AE44+AG44+AI44+AK44+AM44+AO44+AQ44+AS44+AU44+AW44+AY44+BA44+BC44+BE44+BG44+BI44+BK44+BM44+BO44+BQ44+BS44+BU44+BW44+BY44+CA44+CC44+CE44+CG44+CI44+CK44+CM44+CO44+CQ44+CS44+CU44+CW44</f>
        <v>0</v>
      </c>
      <c r="CZ44" s="145" t="n">
        <f aca="false">IF(AND(CY44=0,DC44=0),0,(DF44+DG44)/DC44)</f>
        <v>0</v>
      </c>
      <c r="DA44" s="84" t="n">
        <f aca="false">DC44*DD44</f>
        <v>0</v>
      </c>
      <c r="DB44" s="85" t="n">
        <f aca="false">V44</f>
        <v>37196</v>
      </c>
      <c r="DC44" s="84" t="n">
        <f aca="false">ABS(W44)+ABS(Y44)+ABS(AA44)+ABS(AC44)+ABS(AE44)+ABS(AG44)+ABS(AI44)+ABS(AK44)+ABS(AM44)+ABS(AO44)+ABS(AQ44)+ABS(AS44)+ABS(AU44)+ABS(AW44)+ABS(AY44)+ABS(BA44)+ABS(BC44)+ABS(BE44)+ABS(BG44)+ABS(BI44)+ABS(BK44)+ABS(BM44)+ABS(BO44)+ABS(BQ44)+ABS(BS44)+ABS(BU44)+ABS(BW44)+ABS(BY44)+ABS(CA44)+ABS(CC44)+ABS(CE44)+ABS(CG44)+ABS(CI44)+ABS(CK44)+ABS(CM44)+ABS(CO44)+ABS(CQ44)+ABS(CS44)+ABS(CU44)+ABS(CW44)</f>
        <v>0</v>
      </c>
      <c r="DD44" s="86" t="n">
        <f aca="false">16</f>
        <v>16</v>
      </c>
      <c r="DE44" s="84" t="n">
        <v>1</v>
      </c>
      <c r="DF44" s="43" t="n">
        <f aca="false">(ABS(W44)*X44+ABS(Y44)*Z44+ABS(AA44)*AB44+ABS(AC44)*AD44+ABS(AE44)*AF44+ABS(AG44)*AH44+ABS(AI44)*AJ44+ABS(AK44)*AL44+ABS(AM44)*AN44+ABS(AO44)*AP44+ABS(AQ44)*AR44+ABS(AS44)*AT44+ABS(AU44)*AV44+ABS(AW44)*AX44+ABS(AY44)*AZ44+ABS(BA44)*BB44+ABS(BC44)*BD44+ABS(BE44)*BF44+ABS(BG44)*BH44+ABS(BI44)*BJ44)</f>
        <v>0</v>
      </c>
      <c r="DG44" s="43" t="n">
        <f aca="false">ABS(BK44)*BL44+ABS(BM44)*BN44+ABS(BO44)*BP44+ABS(BQ44)*BR44+ABS(BS44)*BT44+ABS(BU44)*BV44+ABS(BW44)*BX44+ABS(BY44)*BZ44+ABS(CA44)*CB44+ABS(CC44)*CD44+ABS(CE44)*CF44+ABS(CG44)*CH44+ABS(CI44)*CJ44+ABS(CK44)*CL44+ABS(CM44)*CN44+ABS(CO44)*CP44+ABS(CQ44)*CR44+ABS(CS44)*CT44+ABS(CU44)*CV44+ABS(CW44)*CX44</f>
        <v>0</v>
      </c>
      <c r="DH44" s="43" t="n">
        <f aca="false">((H44-X44)*W44+(H44-Z44)*Y44+(H44-AB44)*AA44+(H44-AD44)*AC44+(H44-AF44)*AE44+(H44-AH44)*AG44+(H44-AJ44)*AI44+(H44-AL44)*AK44+(H44-AN44)*AM44+(H44-AP44)*AO44+(H44-AR44)*AQ44+(H44-AT44)*AS44+(H44-AV44)*AU44+(H44-AX44)*AW44+(H44-AZ44)*AY44+(H44-BB44)*BA44+(H44-BD44)*BC44+(H44-BF44)*BE44+(H44-BH44)*BG44+(H44-BJ44)*BI44)*DD44*DE44</f>
        <v>0</v>
      </c>
      <c r="DI44" s="43" t="n">
        <f aca="false">(((H44-BL44)*BK44+(H44-BN44)*BM44+(H44-BP44)*BO44+(H44-BR44)*BQ44+(H44-BT44)*BS44+(H44-BV44)*BU44+(H44-BX44)*BW44+(H44-BZ44)*BY44+(H44-CB44)*CA44+(H44-CD44)*CC44+(H44-CF44)*CE44+(H44-CH44)*CG44+(H44-CJ44)*CH44+(H44-CL44)*CK44+(H44-CN44)*CM44+(H44-CP44)*CO44+(H44-CR44)*CQ44+(H44-CT44)*CS44+(H44-CV44)*CU44+(H44-CX44)*CW44)*DD44*DE44)</f>
        <v>0</v>
      </c>
      <c r="DK44" s="85" t="n">
        <v>37196</v>
      </c>
      <c r="DL44" s="21" t="n">
        <v>-99.5244896298363</v>
      </c>
      <c r="DN44" s="21" t="n">
        <v>1</v>
      </c>
      <c r="DR44" s="146" t="n">
        <f aca="false">+VLOOKUP(A44,'NET P&amp;L'!$AH$6:$AK$31,2)</f>
        <v>21</v>
      </c>
      <c r="DS44" s="24"/>
      <c r="DT44" s="24"/>
    </row>
    <row r="45" customFormat="false" ht="18.75" hidden="false" customHeight="false" outlineLevel="0" collapsed="false">
      <c r="A45" s="147" t="n">
        <f aca="false">'NYISO A'!A45</f>
        <v>37226</v>
      </c>
      <c r="B45" s="119" t="n">
        <f aca="false">+[3]NYZoneG!$L36/16/DR45</f>
        <v>-49.3800109863281</v>
      </c>
      <c r="C45" s="148" t="n">
        <f aca="false">CY45</f>
        <v>-50</v>
      </c>
      <c r="D45" s="149" t="n">
        <f aca="false">(IF(MONTH(A45)=MONTH(EOMONTH(TradeDate,1)),$AP$70,0)*VLOOKUP(A45,$DK$12:$DN$43,4))</f>
        <v>0</v>
      </c>
      <c r="E45" s="150" t="n">
        <f aca="false">B45+C45+D45</f>
        <v>-99.3800109863281</v>
      </c>
      <c r="F45" s="151" t="n">
        <f aca="false">[3]NYZoneG!$C36</f>
        <v>41</v>
      </c>
      <c r="G45" s="152" t="n">
        <f aca="false">IF($Q$9,Q45,P45)</f>
        <v>0.5</v>
      </c>
      <c r="H45" s="153" t="n">
        <f aca="false">F45+G45</f>
        <v>41.5</v>
      </c>
      <c r="I45" s="154" t="n">
        <f aca="false">B45*G45*DD45*DR45</f>
        <v>-7900.8017578125</v>
      </c>
      <c r="J45" s="155" t="n">
        <f aca="false">(DH45+DI45)*$DR45</f>
        <v>-9600.00000000002</v>
      </c>
      <c r="K45" s="156" t="n">
        <f aca="false">I45+J45</f>
        <v>-17500.8017578125</v>
      </c>
      <c r="L45" s="24"/>
      <c r="M45" s="157" t="n">
        <f aca="false">A45</f>
        <v>37226</v>
      </c>
      <c r="N45" s="92" t="n">
        <v>41.5</v>
      </c>
      <c r="O45" s="92" t="n">
        <v>41.5</v>
      </c>
      <c r="P45" s="69" t="n">
        <f aca="false">AVERAGE(N45:O45)-F45</f>
        <v>0.5</v>
      </c>
      <c r="Q45" s="70"/>
      <c r="R45" s="91" t="n">
        <f aca="false">H45</f>
        <v>41.5</v>
      </c>
      <c r="S45" s="24"/>
      <c r="T45" s="24"/>
      <c r="U45" s="131"/>
      <c r="V45" s="158" t="n">
        <f aca="false">A45</f>
        <v>37226</v>
      </c>
      <c r="W45" s="159" t="n">
        <v>-50</v>
      </c>
      <c r="X45" s="134" t="n">
        <v>40.9</v>
      </c>
      <c r="Y45" s="159"/>
      <c r="Z45" s="134"/>
      <c r="AA45" s="159"/>
      <c r="AB45" s="134"/>
      <c r="AC45" s="77"/>
      <c r="AD45" s="78"/>
      <c r="AE45" s="77"/>
      <c r="AF45" s="78"/>
      <c r="AG45" s="77"/>
      <c r="AH45" s="78"/>
      <c r="AI45" s="77"/>
      <c r="AJ45" s="78"/>
      <c r="AK45" s="77"/>
      <c r="AL45" s="78"/>
      <c r="AM45" s="77"/>
      <c r="AN45" s="78"/>
      <c r="AO45" s="77"/>
      <c r="AP45" s="78"/>
      <c r="AQ45" s="77"/>
      <c r="AR45" s="78"/>
      <c r="AS45" s="77"/>
      <c r="AT45" s="160"/>
      <c r="AU45" s="94"/>
      <c r="AV45" s="95"/>
      <c r="AW45" s="96"/>
      <c r="AX45" s="75"/>
      <c r="AY45" s="81"/>
      <c r="AZ45" s="75"/>
      <c r="BA45" s="81"/>
      <c r="BB45" s="75"/>
      <c r="BC45" s="81"/>
      <c r="BD45" s="75"/>
      <c r="BE45" s="81"/>
      <c r="BF45" s="75"/>
      <c r="BG45" s="81"/>
      <c r="BH45" s="75"/>
      <c r="BI45" s="81"/>
      <c r="BJ45" s="75"/>
      <c r="BK45" s="81"/>
      <c r="BL45" s="75"/>
      <c r="BM45" s="81"/>
      <c r="BN45" s="75"/>
      <c r="BO45" s="81"/>
      <c r="BP45" s="75"/>
      <c r="BQ45" s="81"/>
      <c r="BR45" s="75"/>
      <c r="BS45" s="81"/>
      <c r="BT45" s="75"/>
      <c r="BU45" s="81"/>
      <c r="BV45" s="75"/>
      <c r="BW45" s="81"/>
      <c r="BX45" s="75"/>
      <c r="BY45" s="81"/>
      <c r="BZ45" s="75"/>
      <c r="CA45" s="81"/>
      <c r="CB45" s="75"/>
      <c r="CC45" s="81"/>
      <c r="CD45" s="75"/>
      <c r="CE45" s="81"/>
      <c r="CF45" s="75"/>
      <c r="CG45" s="81"/>
      <c r="CH45" s="75"/>
      <c r="CI45" s="81"/>
      <c r="CJ45" s="75"/>
      <c r="CK45" s="81"/>
      <c r="CL45" s="75"/>
      <c r="CM45" s="81"/>
      <c r="CN45" s="75"/>
      <c r="CO45" s="81"/>
      <c r="CP45" s="75"/>
      <c r="CQ45" s="81"/>
      <c r="CR45" s="75"/>
      <c r="CS45" s="81"/>
      <c r="CT45" s="75"/>
      <c r="CU45" s="81"/>
      <c r="CV45" s="75"/>
      <c r="CW45" s="81"/>
      <c r="CX45" s="75"/>
      <c r="CY45" s="82" t="n">
        <f aca="false">W45+Y45+AA45+AC45+AE45+AG45+AI45+AK45+AM45+AO45+AQ45+AS45+AU45+AW45+AY45+BA45+BC45+BE45+BG45+BI45+BK45+BM45+BO45+BQ45+BS45+BU45+BW45+BY45+CA45+CC45+CE45+CG45+CI45+CK45+CM45+CO45+CQ45+CS45+CU45+CW45</f>
        <v>-50</v>
      </c>
      <c r="CZ45" s="83" t="n">
        <f aca="false">IF(AND(CY45=0,DC45=0),0,(DF45+DG45)/DC45)</f>
        <v>40.9</v>
      </c>
      <c r="DB45" s="85" t="n">
        <f aca="false">V45</f>
        <v>37226</v>
      </c>
      <c r="DC45" s="84" t="n">
        <f aca="false">ABS(W45)+ABS(Y45)+ABS(AA45)+ABS(AC45)+ABS(AE45)+ABS(AG45)+ABS(AI45)+ABS(AK45)+ABS(AM45)+ABS(AO45)+ABS(AQ45)+ABS(AS45)+ABS(AU45)+ABS(AW45)+ABS(AY45)+ABS(BA45)+ABS(BC45)+ABS(BE45)+ABS(BG45)+ABS(BI45)+ABS(BK45)+ABS(BM45)+ABS(BO45)+ABS(BQ45)+ABS(BS45)+ABS(BU45)+ABS(BW45)+ABS(BY45)+ABS(CA45)+ABS(CC45)+ABS(CE45)+ABS(CG45)+ABS(CI45)+ABS(CK45)+ABS(CM45)+ABS(CO45)+ABS(CQ45)+ABS(CS45)+ABS(CU45)+ABS(CW45)</f>
        <v>50</v>
      </c>
      <c r="DD45" s="86" t="n">
        <f aca="false">16</f>
        <v>16</v>
      </c>
      <c r="DE45" s="84" t="n">
        <v>1</v>
      </c>
      <c r="DF45" s="43" t="n">
        <f aca="false">(ABS(W45)*X45+ABS(Y45)*Z45+ABS(AA45)*AB45+ABS(AC45)*AD45+ABS(AE45)*AF45+ABS(AG45)*AH45+ABS(AI45)*AJ45+ABS(AK45)*AL45+ABS(AM45)*AN45+ABS(AO45)*AP45+ABS(AQ45)*AR45+ABS(AS45)*AT45+ABS(AU45)*AV45+ABS(AW45)*AX45+ABS(AY45)*AZ45+ABS(BA45)*BB45+ABS(BC45)*BD45+ABS(BE45)*BF45+ABS(BG45)*BH45+ABS(BI45)*BJ45)</f>
        <v>2045</v>
      </c>
      <c r="DG45" s="43" t="n">
        <f aca="false">ABS(BK45)*BL45+ABS(BM45)*BN45+ABS(BO45)*BP45+ABS(BQ45)*BR45+ABS(BS45)*BT45+ABS(BU45)*BV45+ABS(BW45)*BX45+ABS(BY45)*BZ45+ABS(CA45)*CB45+ABS(CC45)*CD45+ABS(CE45)*CF45+ABS(CG45)*CH45+ABS(CI45)*CJ45+ABS(CK45)*CL45+ABS(CM45)*CN45+ABS(CO45)*CP45+ABS(CQ45)*CR45+ABS(CS45)*CT45+ABS(CU45)*CV45+ABS(CW45)*CX45</f>
        <v>0</v>
      </c>
      <c r="DH45" s="43" t="n">
        <f aca="false">((H45-X45)*W45+(H45-Z45)*Y45+(H45-AB45)*AA45+(H45-AD45)*AC45+(H45-AF45)*AE45+(H45-AH45)*AG45+(H45-AJ45)*AI45+(H45-AL45)*AK45+(H45-AN45)*AM45+(H45-AP45)*AO45+(H45-AR45)*AQ45+(H45-AT45)*AS45+(H45-AV45)*AU45+(H45-AX45)*AW45+(H45-AZ45)*AY45+(H45-BB45)*BA45+(H45-BD45)*BC45+(H45-BF45)*BE45+(H45-BH45)*BG45+(H45-BJ45)*BI45)*DD45*DE45</f>
        <v>-480.000000000001</v>
      </c>
      <c r="DI45" s="43" t="n">
        <f aca="false">(((H45-BL45)*BK45+(H45-BN45)*BM45+(H45-BP45)*BO45+(H45-BR45)*BQ45+(H45-BT45)*BS45+(H45-BV45)*BU45+(H45-BX45)*BW45+(H45-BZ45)*BY45+(H45-CB45)*CA45+(H45-CD45)*CC45+(H45-CF45)*CE45+(H45-CH45)*CG45+(H45-CJ45)*CH45+(H45-CL45)*CK45+(H45-CN45)*CM45+(H45-CP45)*CO45+(H45-CR45)*CQ45+(H45-CT45)*CS45+(H45-CV45)*CU45+(H45-CX45)*CW45)*DD45*DE45)</f>
        <v>0</v>
      </c>
      <c r="DK45" s="85" t="n">
        <v>37165</v>
      </c>
      <c r="DL45" s="21" t="n">
        <v>49.552150560462</v>
      </c>
      <c r="DN45" s="21" t="n">
        <v>1</v>
      </c>
      <c r="DR45" s="146" t="n">
        <f aca="false">+VLOOKUP(A45,'NET P&amp;L'!$AH$6:$AK$31,2)</f>
        <v>20</v>
      </c>
      <c r="DS45" s="24"/>
      <c r="DT45" s="24"/>
    </row>
    <row r="46" customFormat="false" ht="18.75" hidden="false" customHeight="false" outlineLevel="0" collapsed="false">
      <c r="A46" s="147" t="n">
        <f aca="false">'NYISO A'!A46</f>
        <v>37257</v>
      </c>
      <c r="B46" s="119" t="n">
        <f aca="false">+[3]NYZoneG!$L37/16/DR46</f>
        <v>-1.13636363182295E-013</v>
      </c>
      <c r="C46" s="148" t="n">
        <f aca="false">CY46</f>
        <v>0</v>
      </c>
      <c r="D46" s="149" t="n">
        <f aca="false">(IF(MONTH(A46)=MONTH(EOMONTH(TradeDate,1)),$AP$70,0)*VLOOKUP(A46,$DK$12:$DN$43,4))</f>
        <v>0</v>
      </c>
      <c r="E46" s="150" t="n">
        <f aca="false">B46+C46+D46</f>
        <v>-1.13636363182295E-013</v>
      </c>
      <c r="F46" s="151" t="n">
        <f aca="false">[3]NYZoneG!$C37</f>
        <v>47</v>
      </c>
      <c r="G46" s="152" t="n">
        <f aca="false">IF($Q$9,Q46,P46)</f>
        <v>-4.5</v>
      </c>
      <c r="H46" s="153" t="n">
        <f aca="false">F46+G46</f>
        <v>42.5</v>
      </c>
      <c r="I46" s="154" t="n">
        <f aca="false">B46*G46*DD46*DR46</f>
        <v>1.79999999280756E-010</v>
      </c>
      <c r="J46" s="155" t="n">
        <f aca="false">(DH46+DI46)*$DR46</f>
        <v>0</v>
      </c>
      <c r="K46" s="156" t="n">
        <f aca="false">I46+J46</f>
        <v>1.79999999280756E-010</v>
      </c>
      <c r="L46" s="24"/>
      <c r="M46" s="157" t="n">
        <f aca="false">A46</f>
        <v>37257</v>
      </c>
      <c r="N46" s="92" t="n">
        <v>42.5</v>
      </c>
      <c r="O46" s="92" t="n">
        <v>42.5</v>
      </c>
      <c r="P46" s="69" t="n">
        <f aca="false">AVERAGE(N46:O46)-F46</f>
        <v>-4.5</v>
      </c>
      <c r="Q46" s="70"/>
      <c r="R46" s="91" t="n">
        <f aca="false">H46</f>
        <v>42.5</v>
      </c>
      <c r="S46" s="24"/>
      <c r="T46" s="24"/>
      <c r="U46" s="131"/>
      <c r="V46" s="158" t="n">
        <f aca="false">A46</f>
        <v>37257</v>
      </c>
      <c r="W46" s="159"/>
      <c r="X46" s="134"/>
      <c r="Y46" s="159"/>
      <c r="Z46" s="134"/>
      <c r="AA46" s="159"/>
      <c r="AB46" s="134"/>
      <c r="AC46" s="77"/>
      <c r="AD46" s="78"/>
      <c r="AE46" s="77"/>
      <c r="AF46" s="78"/>
      <c r="AG46" s="77"/>
      <c r="AH46" s="78"/>
      <c r="AI46" s="77"/>
      <c r="AJ46" s="78"/>
      <c r="AK46" s="77"/>
      <c r="AL46" s="78"/>
      <c r="AM46" s="77"/>
      <c r="AN46" s="78"/>
      <c r="AO46" s="77"/>
      <c r="AP46" s="78"/>
      <c r="AQ46" s="77"/>
      <c r="AR46" s="78"/>
      <c r="AS46" s="77"/>
      <c r="AT46" s="160"/>
      <c r="AU46" s="94"/>
      <c r="AV46" s="95"/>
      <c r="AW46" s="96"/>
      <c r="AX46" s="75"/>
      <c r="AY46" s="81"/>
      <c r="AZ46" s="75"/>
      <c r="BA46" s="81"/>
      <c r="BB46" s="75"/>
      <c r="BC46" s="81"/>
      <c r="BD46" s="75"/>
      <c r="BE46" s="81"/>
      <c r="BF46" s="75"/>
      <c r="BG46" s="81"/>
      <c r="BH46" s="75"/>
      <c r="BI46" s="81"/>
      <c r="BJ46" s="75"/>
      <c r="BK46" s="81"/>
      <c r="BL46" s="75"/>
      <c r="BM46" s="81"/>
      <c r="BN46" s="75"/>
      <c r="BO46" s="81"/>
      <c r="BP46" s="75"/>
      <c r="BQ46" s="81"/>
      <c r="BR46" s="75"/>
      <c r="BS46" s="81"/>
      <c r="BT46" s="75"/>
      <c r="BU46" s="81"/>
      <c r="BV46" s="75"/>
      <c r="BW46" s="81"/>
      <c r="BX46" s="75"/>
      <c r="BY46" s="81"/>
      <c r="BZ46" s="75"/>
      <c r="CA46" s="81"/>
      <c r="CB46" s="75"/>
      <c r="CC46" s="81"/>
      <c r="CD46" s="75"/>
      <c r="CE46" s="81"/>
      <c r="CF46" s="75"/>
      <c r="CG46" s="81"/>
      <c r="CH46" s="75"/>
      <c r="CI46" s="81"/>
      <c r="CJ46" s="75"/>
      <c r="CK46" s="81"/>
      <c r="CL46" s="75"/>
      <c r="CM46" s="81"/>
      <c r="CN46" s="75"/>
      <c r="CO46" s="81"/>
      <c r="CP46" s="75"/>
      <c r="CQ46" s="81"/>
      <c r="CR46" s="75"/>
      <c r="CS46" s="81"/>
      <c r="CT46" s="75"/>
      <c r="CU46" s="81"/>
      <c r="CV46" s="75"/>
      <c r="CW46" s="81"/>
      <c r="CX46" s="75"/>
      <c r="CY46" s="82" t="n">
        <f aca="false">W46+Y46+AA46+AC46+AE46+AG46+AI46+AK46+AM46+AO46+AQ46+AS46+AU46+AW46+AY46+BA46+BC46+BE46+BG46+BI46+BK46+BM46+BO46+BQ46+BS46+BU46+BW46+BY46+CA46+CC46+CE46+CG46+CI46+CK46+CM46+CO46+CQ46+CS46+CU46+CW46</f>
        <v>0</v>
      </c>
      <c r="CZ46" s="83" t="n">
        <f aca="false">IF(AND(CY46=0,DC46=0),0,(DF46+DG46)/DC46)</f>
        <v>0</v>
      </c>
      <c r="DB46" s="85" t="n">
        <f aca="false">V46</f>
        <v>37257</v>
      </c>
      <c r="DC46" s="84" t="n">
        <f aca="false">ABS(W46)+ABS(Y46)+ABS(AA46)+ABS(AC46)+ABS(AE46)+ABS(AG46)+ABS(AI46)+ABS(AK46)+ABS(AM46)+ABS(AO46)+ABS(AQ46)+ABS(AS46)+ABS(AU46)+ABS(AW46)+ABS(AY46)+ABS(BA46)+ABS(BC46)+ABS(BE46)+ABS(BG46)+ABS(BI46)+ABS(BK46)+ABS(BM46)+ABS(BO46)+ABS(BQ46)+ABS(BS46)+ABS(BU46)+ABS(BW46)+ABS(BY46)+ABS(CA46)+ABS(CC46)+ABS(CE46)+ABS(CG46)+ABS(CI46)+ABS(CK46)+ABS(CM46)+ABS(CO46)+ABS(CQ46)+ABS(CS46)+ABS(CU46)+ABS(CW46)</f>
        <v>0</v>
      </c>
      <c r="DD46" s="86" t="n">
        <f aca="false">16</f>
        <v>16</v>
      </c>
      <c r="DE46" s="84" t="n">
        <v>1</v>
      </c>
      <c r="DF46" s="43" t="n">
        <f aca="false">(ABS(W46)*X46+ABS(Y46)*Z46+ABS(AA46)*AB46+ABS(AC46)*AD46+ABS(AE46)*AF46+ABS(AG46)*AH46+ABS(AI46)*AJ46+ABS(AK46)*AL46+ABS(AM46)*AN46+ABS(AO46)*AP46+ABS(AQ46)*AR46+ABS(AS46)*AT46+ABS(AU46)*AV46+ABS(AW46)*AX46+ABS(AY46)*AZ46+ABS(BA46)*BB46+ABS(BC46)*BD46+ABS(BE46)*BF46+ABS(BG46)*BH46+ABS(BI46)*BJ46)</f>
        <v>0</v>
      </c>
      <c r="DG46" s="43" t="n">
        <f aca="false">ABS(BK46)*BL46+ABS(BM46)*BN46+ABS(BO46)*BP46+ABS(BQ46)*BR46+ABS(BS46)*BT46+ABS(BU46)*BV46+ABS(BW46)*BX46+ABS(BY46)*BZ46+ABS(CA46)*CB46+ABS(CC46)*CD46+ABS(CE46)*CF46+ABS(CG46)*CH46+ABS(CI46)*CJ46+ABS(CK46)*CL46+ABS(CM46)*CN46+ABS(CO46)*CP46+ABS(CQ46)*CR46+ABS(CS46)*CT46+ABS(CU46)*CV46+ABS(CW46)*CX46</f>
        <v>0</v>
      </c>
      <c r="DH46" s="43" t="n">
        <f aca="false">((H46-X46)*W46+(H46-Z46)*Y46+(H46-AB46)*AA46+(H46-AD46)*AC46+(H46-AF46)*AE46+(H46-AH46)*AG46+(H46-AJ46)*AI46+(H46-AL46)*AK46+(H46-AN46)*AM46+(H46-AP46)*AO46+(H46-AR46)*AQ46+(H46-AT46)*AS46+(H46-AV46)*AU46+(H46-AX46)*AW46+(H46-AZ46)*AY46+(H46-BB46)*BA46+(H46-BD46)*BC46+(H46-BF46)*BE46+(H46-BH46)*BG46+(H46-BJ46)*BI46)*DD46*DE46</f>
        <v>0</v>
      </c>
      <c r="DI46" s="43" t="n">
        <f aca="false">(((H46-BL46)*BK46+(H46-BN46)*BM46+(H46-BP46)*BO46+(H46-BR46)*BQ46+(H46-BT46)*BS46+(H46-BV46)*BU46+(H46-BX46)*BW46+(H46-BZ46)*BY46+(H46-CB46)*CA46+(H46-CD46)*CC46+(H46-CF46)*CE46+(H46-CH46)*CG46+(H46-CJ46)*CH46+(H46-CL46)*CK46+(H46-CN46)*CM46+(H46-CP46)*CO46+(H46-CR46)*CQ46+(H46-CT46)*CS46+(H46-CV46)*CU46+(H46-CX46)*CW46)*DD46*DE46)</f>
        <v>0</v>
      </c>
      <c r="DK46" s="85" t="n">
        <v>37165</v>
      </c>
      <c r="DL46" s="21" t="n">
        <v>49.552150560462</v>
      </c>
      <c r="DN46" s="21" t="n">
        <v>1</v>
      </c>
      <c r="DR46" s="146" t="n">
        <f aca="false">+VLOOKUP(A46,'NET P&amp;L'!$AH$6:$AK$31,2)</f>
        <v>22</v>
      </c>
    </row>
    <row r="47" customFormat="false" ht="18.75" hidden="false" customHeight="false" outlineLevel="0" collapsed="false">
      <c r="A47" s="147" t="n">
        <f aca="false">'NYISO A'!A47</f>
        <v>37288</v>
      </c>
      <c r="B47" s="119" t="n">
        <f aca="false">+[3]NYZoneG!$L38/16/DR47</f>
        <v>1.24999999500525E-013</v>
      </c>
      <c r="C47" s="148" t="n">
        <f aca="false">CY47</f>
        <v>0</v>
      </c>
      <c r="D47" s="149" t="n">
        <f aca="false">(IF(MONTH(A47)=MONTH(EOMONTH(TradeDate,1)),$AP$70,0)*VLOOKUP(A47,$DK$12:$DN$43,4))</f>
        <v>0</v>
      </c>
      <c r="E47" s="150" t="n">
        <f aca="false">B47+C47+D47</f>
        <v>1.24999999500525E-013</v>
      </c>
      <c r="F47" s="151" t="n">
        <f aca="false">[3]NYZoneG!$C38</f>
        <v>47</v>
      </c>
      <c r="G47" s="152" t="n">
        <f aca="false">IF($Q$9,Q47,P47)</f>
        <v>0.25</v>
      </c>
      <c r="H47" s="153" t="n">
        <f aca="false">F47+G47</f>
        <v>47.25</v>
      </c>
      <c r="I47" s="154" t="n">
        <f aca="false">B47*G47*DD47*DR47</f>
        <v>9.99999996004197E-012</v>
      </c>
      <c r="J47" s="155" t="n">
        <f aca="false">(DH47+DI47)*$DR47</f>
        <v>0</v>
      </c>
      <c r="K47" s="156" t="n">
        <f aca="false">I47+J47</f>
        <v>9.99999996004197E-012</v>
      </c>
      <c r="L47" s="24"/>
      <c r="M47" s="157" t="n">
        <f aca="false">A47</f>
        <v>37288</v>
      </c>
      <c r="N47" s="92" t="n">
        <v>47.25</v>
      </c>
      <c r="O47" s="92" t="n">
        <v>47.25</v>
      </c>
      <c r="P47" s="69" t="n">
        <f aca="false">AVERAGE(N47:O47)-F47</f>
        <v>0.25</v>
      </c>
      <c r="Q47" s="70"/>
      <c r="R47" s="91" t="n">
        <f aca="false">H47</f>
        <v>47.25</v>
      </c>
      <c r="S47" s="24"/>
      <c r="T47" s="24"/>
      <c r="U47" s="131"/>
      <c r="V47" s="158" t="n">
        <f aca="false">A47</f>
        <v>37288</v>
      </c>
      <c r="W47" s="159"/>
      <c r="X47" s="134"/>
      <c r="Y47" s="159"/>
      <c r="Z47" s="134"/>
      <c r="AA47" s="159"/>
      <c r="AB47" s="134"/>
      <c r="AC47" s="77"/>
      <c r="AD47" s="78"/>
      <c r="AE47" s="77"/>
      <c r="AF47" s="78"/>
      <c r="AG47" s="77"/>
      <c r="AH47" s="78"/>
      <c r="AI47" s="77"/>
      <c r="AJ47" s="78"/>
      <c r="AK47" s="77"/>
      <c r="AL47" s="78"/>
      <c r="AM47" s="77"/>
      <c r="AN47" s="78"/>
      <c r="AO47" s="77"/>
      <c r="AP47" s="78"/>
      <c r="AQ47" s="77"/>
      <c r="AR47" s="78"/>
      <c r="AS47" s="77"/>
      <c r="AT47" s="160"/>
      <c r="AU47" s="94"/>
      <c r="AV47" s="95"/>
      <c r="AW47" s="96"/>
      <c r="AX47" s="75"/>
      <c r="AY47" s="81"/>
      <c r="AZ47" s="75"/>
      <c r="BA47" s="81"/>
      <c r="BB47" s="75"/>
      <c r="BC47" s="81"/>
      <c r="BD47" s="75"/>
      <c r="BE47" s="81"/>
      <c r="BF47" s="75"/>
      <c r="BG47" s="81"/>
      <c r="BH47" s="75"/>
      <c r="BI47" s="81"/>
      <c r="BJ47" s="75"/>
      <c r="BK47" s="81"/>
      <c r="BL47" s="75"/>
      <c r="BM47" s="81"/>
      <c r="BN47" s="75"/>
      <c r="BO47" s="81"/>
      <c r="BP47" s="75"/>
      <c r="BQ47" s="81"/>
      <c r="BR47" s="75"/>
      <c r="BS47" s="81"/>
      <c r="BT47" s="75"/>
      <c r="BU47" s="81"/>
      <c r="BV47" s="75"/>
      <c r="BW47" s="81"/>
      <c r="BX47" s="75"/>
      <c r="BY47" s="81"/>
      <c r="BZ47" s="75"/>
      <c r="CA47" s="81"/>
      <c r="CB47" s="75"/>
      <c r="CC47" s="81"/>
      <c r="CD47" s="75"/>
      <c r="CE47" s="81"/>
      <c r="CF47" s="75"/>
      <c r="CG47" s="81"/>
      <c r="CH47" s="75"/>
      <c r="CI47" s="81"/>
      <c r="CJ47" s="75"/>
      <c r="CK47" s="81"/>
      <c r="CL47" s="75"/>
      <c r="CM47" s="81"/>
      <c r="CN47" s="75"/>
      <c r="CO47" s="81"/>
      <c r="CP47" s="75"/>
      <c r="CQ47" s="81"/>
      <c r="CR47" s="75"/>
      <c r="CS47" s="81"/>
      <c r="CT47" s="75"/>
      <c r="CU47" s="81"/>
      <c r="CV47" s="75"/>
      <c r="CW47" s="81"/>
      <c r="CX47" s="75"/>
      <c r="CY47" s="82" t="n">
        <f aca="false">W47+Y47+AA47+AC47+AE47+AG47+AI47+AK47+AM47+AO47+AQ47+AS47+AU47+AW47+AY47+BA47+BC47+BE47+BG47+BI47+BK47+BM47+BO47+BQ47+BS47+BU47+BW47+BY47+CA47+CC47+CE47+CG47+CI47+CK47+CM47+CO47+CQ47+CS47+CU47+CW47</f>
        <v>0</v>
      </c>
      <c r="CZ47" s="83" t="n">
        <f aca="false">IF(AND(CY47=0,DC47=0),0,(DF47+DG47)/DC47)</f>
        <v>0</v>
      </c>
      <c r="DB47" s="85" t="n">
        <f aca="false">V47</f>
        <v>37288</v>
      </c>
      <c r="DC47" s="84" t="n">
        <f aca="false">ABS(W47)+ABS(Y47)+ABS(AA47)+ABS(AC47)+ABS(AE47)+ABS(AG47)+ABS(AI47)+ABS(AK47)+ABS(AM47)+ABS(AO47)+ABS(AQ47)+ABS(AS47)+ABS(AU47)+ABS(AW47)+ABS(AY47)+ABS(BA47)+ABS(BC47)+ABS(BE47)+ABS(BG47)+ABS(BI47)+ABS(BK47)+ABS(BM47)+ABS(BO47)+ABS(BQ47)+ABS(BS47)+ABS(BU47)+ABS(BW47)+ABS(BY47)+ABS(CA47)+ABS(CC47)+ABS(CE47)+ABS(CG47)+ABS(CI47)+ABS(CK47)+ABS(CM47)+ABS(CO47)+ABS(CQ47)+ABS(CS47)+ABS(CU47)+ABS(CW47)</f>
        <v>0</v>
      </c>
      <c r="DD47" s="86" t="n">
        <f aca="false">16</f>
        <v>16</v>
      </c>
      <c r="DE47" s="84" t="n">
        <v>1</v>
      </c>
      <c r="DF47" s="43" t="n">
        <f aca="false">(ABS(W47)*X47+ABS(Y47)*Z47+ABS(AA47)*AB47+ABS(AC47)*AD47+ABS(AE47)*AF47+ABS(AG47)*AH47+ABS(AI47)*AJ47+ABS(AK47)*AL47+ABS(AM47)*AN47+ABS(AO47)*AP47+ABS(AQ47)*AR47+ABS(AS47)*AT47+ABS(AU47)*AV47+ABS(AW47)*AX47+ABS(AY47)*AZ47+ABS(BA47)*BB47+ABS(BC47)*BD47+ABS(BE47)*BF47+ABS(BG47)*BH47+ABS(BI47)*BJ47)</f>
        <v>0</v>
      </c>
      <c r="DG47" s="43" t="n">
        <f aca="false">ABS(BK47)*BL47+ABS(BM47)*BN47+ABS(BO47)*BP47+ABS(BQ47)*BR47+ABS(BS47)*BT47+ABS(BU47)*BV47+ABS(BW47)*BX47+ABS(BY47)*BZ47+ABS(CA47)*CB47+ABS(CC47)*CD47+ABS(CE47)*CF47+ABS(CG47)*CH47+ABS(CI47)*CJ47+ABS(CK47)*CL47+ABS(CM47)*CN47+ABS(CO47)*CP47+ABS(CQ47)*CR47+ABS(CS47)*CT47+ABS(CU47)*CV47+ABS(CW47)*CX47</f>
        <v>0</v>
      </c>
      <c r="DH47" s="43" t="n">
        <f aca="false">((H47-X47)*W47+(H47-Z47)*Y47+(H47-AB47)*AA47+(H47-AD47)*AC47+(H47-AF47)*AE47+(H47-AH47)*AG47+(H47-AJ47)*AI47+(H47-AL47)*AK47+(H47-AN47)*AM47+(H47-AP47)*AO47+(H47-AR47)*AQ47+(H47-AT47)*AS47+(H47-AV47)*AU47+(H47-AX47)*AW47+(H47-AZ47)*AY47+(H47-BB47)*BA47+(H47-BD47)*BC47+(H47-BF47)*BE47+(H47-BH47)*BG47+(H47-BJ47)*BI47)*DD47*DE47</f>
        <v>0</v>
      </c>
      <c r="DI47" s="43" t="n">
        <f aca="false">(((H47-BL47)*BK47+(H47-BN47)*BM47+(H47-BP47)*BO47+(H47-BR47)*BQ47+(H47-BT47)*BS47+(H47-BV47)*BU47+(H47-BX47)*BW47+(H47-BZ47)*BY47+(H47-CB47)*CA47+(H47-CD47)*CC47+(H47-CF47)*CE47+(H47-CH47)*CG47+(H47-CJ47)*CH47+(H47-CL47)*CK47+(H47-CN47)*CM47+(H47-CP47)*CO47+(H47-CR47)*CQ47+(H47-CT47)*CS47+(H47-CV47)*CU47+(H47-CX47)*CW47)*DD47*DE47)</f>
        <v>0</v>
      </c>
      <c r="DK47" s="85" t="n">
        <v>37165</v>
      </c>
      <c r="DL47" s="21" t="n">
        <v>49.552150560462</v>
      </c>
      <c r="DN47" s="21" t="n">
        <v>1</v>
      </c>
      <c r="DR47" s="146" t="n">
        <f aca="false">+VLOOKUP(A47,'NET P&amp;L'!$AH$6:$AK$31,2)</f>
        <v>20</v>
      </c>
    </row>
    <row r="48" customFormat="false" ht="18.75" hidden="false" customHeight="false" outlineLevel="0" collapsed="false">
      <c r="A48" s="147" t="n">
        <f aca="false">'NYISO A'!A48</f>
        <v>37316</v>
      </c>
      <c r="B48" s="119" t="n">
        <f aca="false">+[3]NYZoneG!$L39/16/DR48</f>
        <v>5.95238092859641E-014</v>
      </c>
      <c r="C48" s="148" t="n">
        <f aca="false">CY48</f>
        <v>0</v>
      </c>
      <c r="D48" s="149" t="n">
        <f aca="false">(IF(MONTH(A48)=MONTH(EOMONTH(TradeDate,1)),$AP$70,0)*VLOOKUP(A48,$DK$12:$DN$43,4))</f>
        <v>0</v>
      </c>
      <c r="E48" s="150" t="n">
        <f aca="false">B48+C48+D48</f>
        <v>5.95238092859641E-014</v>
      </c>
      <c r="F48" s="151" t="n">
        <f aca="false">[3]NYZoneG!$C39</f>
        <v>41.5</v>
      </c>
      <c r="G48" s="152" t="n">
        <f aca="false">IF($Q$9,Q48,P48)</f>
        <v>5.75</v>
      </c>
      <c r="H48" s="153" t="n">
        <f aca="false">F48+G48</f>
        <v>47.25</v>
      </c>
      <c r="I48" s="154" t="n">
        <f aca="false">B48*G48*DD48*DR48</f>
        <v>1.14999999540483E-010</v>
      </c>
      <c r="J48" s="155" t="n">
        <f aca="false">(DH48+DI48)*$DR48</f>
        <v>0</v>
      </c>
      <c r="K48" s="156" t="n">
        <f aca="false">I48+J48</f>
        <v>1.14999999540483E-010</v>
      </c>
      <c r="L48" s="24"/>
      <c r="M48" s="157" t="n">
        <f aca="false">A48</f>
        <v>37316</v>
      </c>
      <c r="N48" s="92" t="n">
        <v>47.25</v>
      </c>
      <c r="O48" s="92" t="n">
        <v>47.25</v>
      </c>
      <c r="P48" s="69" t="n">
        <f aca="false">AVERAGE(N48:O48)-F48</f>
        <v>5.75</v>
      </c>
      <c r="Q48" s="70"/>
      <c r="R48" s="91" t="n">
        <f aca="false">H48</f>
        <v>47.25</v>
      </c>
      <c r="S48" s="24"/>
      <c r="T48" s="24"/>
      <c r="U48" s="131"/>
      <c r="V48" s="158" t="n">
        <f aca="false">A48</f>
        <v>37316</v>
      </c>
      <c r="W48" s="159"/>
      <c r="X48" s="134"/>
      <c r="Y48" s="159"/>
      <c r="Z48" s="134"/>
      <c r="AA48" s="159"/>
      <c r="AB48" s="134"/>
      <c r="AC48" s="77"/>
      <c r="AD48" s="78"/>
      <c r="AE48" s="77"/>
      <c r="AF48" s="78"/>
      <c r="AG48" s="77"/>
      <c r="AH48" s="78"/>
      <c r="AI48" s="77"/>
      <c r="AJ48" s="78"/>
      <c r="AK48" s="77"/>
      <c r="AL48" s="78"/>
      <c r="AM48" s="77"/>
      <c r="AN48" s="78"/>
      <c r="AO48" s="77"/>
      <c r="AP48" s="78"/>
      <c r="AQ48" s="77"/>
      <c r="AR48" s="78"/>
      <c r="AS48" s="77"/>
      <c r="AT48" s="160"/>
      <c r="AU48" s="94"/>
      <c r="AV48" s="95"/>
      <c r="AW48" s="96"/>
      <c r="AX48" s="75"/>
      <c r="AY48" s="81"/>
      <c r="AZ48" s="75"/>
      <c r="BA48" s="81"/>
      <c r="BB48" s="75"/>
      <c r="BC48" s="81"/>
      <c r="BD48" s="75"/>
      <c r="BE48" s="81"/>
      <c r="BF48" s="75"/>
      <c r="BG48" s="81"/>
      <c r="BH48" s="75"/>
      <c r="BI48" s="81"/>
      <c r="BJ48" s="75"/>
      <c r="BK48" s="81"/>
      <c r="BL48" s="75"/>
      <c r="BM48" s="81"/>
      <c r="BN48" s="75"/>
      <c r="BO48" s="81"/>
      <c r="BP48" s="75"/>
      <c r="BQ48" s="81"/>
      <c r="BR48" s="75"/>
      <c r="BS48" s="81"/>
      <c r="BT48" s="75"/>
      <c r="BU48" s="81"/>
      <c r="BV48" s="75"/>
      <c r="BW48" s="81"/>
      <c r="BX48" s="75"/>
      <c r="BY48" s="81"/>
      <c r="BZ48" s="75"/>
      <c r="CA48" s="81"/>
      <c r="CB48" s="75"/>
      <c r="CC48" s="81"/>
      <c r="CD48" s="75"/>
      <c r="CE48" s="81"/>
      <c r="CF48" s="75"/>
      <c r="CG48" s="81"/>
      <c r="CH48" s="75"/>
      <c r="CI48" s="81"/>
      <c r="CJ48" s="75"/>
      <c r="CK48" s="81"/>
      <c r="CL48" s="75"/>
      <c r="CM48" s="81"/>
      <c r="CN48" s="75"/>
      <c r="CO48" s="81"/>
      <c r="CP48" s="75"/>
      <c r="CQ48" s="81"/>
      <c r="CR48" s="75"/>
      <c r="CS48" s="81"/>
      <c r="CT48" s="75"/>
      <c r="CU48" s="81"/>
      <c r="CV48" s="75"/>
      <c r="CW48" s="81"/>
      <c r="CX48" s="75"/>
      <c r="CY48" s="82" t="n">
        <f aca="false">W48+Y48+AA48+AC48+AE48+AG48+AI48+AK48+AM48+AO48+AQ48+AS48+AU48+AW48+AY48+BA48+BC48+BE48+BG48+BI48+BK48+BM48+BO48+BQ48+BS48+BU48+BW48+BY48+CA48+CC48+CE48+CG48+CI48+CK48+CM48+CO48+CQ48+CS48+CU48+CW48</f>
        <v>0</v>
      </c>
      <c r="CZ48" s="83" t="n">
        <f aca="false">IF(AND(CY48=0,DC48=0),0,(DF48+DG48)/DC48)</f>
        <v>0</v>
      </c>
      <c r="DB48" s="85" t="n">
        <f aca="false">V48</f>
        <v>37316</v>
      </c>
      <c r="DC48" s="84" t="n">
        <f aca="false">ABS(W48)+ABS(Y48)+ABS(AA48)+ABS(AC48)+ABS(AE48)+ABS(AG48)+ABS(AI48)+ABS(AK48)+ABS(AM48)+ABS(AO48)+ABS(AQ48)+ABS(AS48)+ABS(AU48)+ABS(AW48)+ABS(AY48)+ABS(BA48)+ABS(BC48)+ABS(BE48)+ABS(BG48)+ABS(BI48)+ABS(BK48)+ABS(BM48)+ABS(BO48)+ABS(BQ48)+ABS(BS48)+ABS(BU48)+ABS(BW48)+ABS(BY48)+ABS(CA48)+ABS(CC48)+ABS(CE48)+ABS(CG48)+ABS(CI48)+ABS(CK48)+ABS(CM48)+ABS(CO48)+ABS(CQ48)+ABS(CS48)+ABS(CU48)+ABS(CW48)</f>
        <v>0</v>
      </c>
      <c r="DD48" s="86" t="n">
        <f aca="false">16</f>
        <v>16</v>
      </c>
      <c r="DE48" s="84" t="n">
        <v>1</v>
      </c>
      <c r="DF48" s="43" t="n">
        <f aca="false">(ABS(W48)*X48+ABS(Y48)*Z48+ABS(AA48)*AB48+ABS(AC48)*AD48+ABS(AE48)*AF48+ABS(AG48)*AH48+ABS(AI48)*AJ48+ABS(AK48)*AL48+ABS(AM48)*AN48+ABS(AO48)*AP48+ABS(AQ48)*AR48+ABS(AS48)*AT48+ABS(AU48)*AV48+ABS(AW48)*AX48+ABS(AY48)*AZ48+ABS(BA48)*BB48+ABS(BC48)*BD48+ABS(BE48)*BF48+ABS(BG48)*BH48+ABS(BI48)*BJ48)</f>
        <v>0</v>
      </c>
      <c r="DG48" s="43" t="n">
        <f aca="false">ABS(BK48)*BL48+ABS(BM48)*BN48+ABS(BO48)*BP48+ABS(BQ48)*BR48+ABS(BS48)*BT48+ABS(BU48)*BV48+ABS(BW48)*BX48+ABS(BY48)*BZ48+ABS(CA48)*CB48+ABS(CC48)*CD48+ABS(CE48)*CF48+ABS(CG48)*CH48+ABS(CI48)*CJ48+ABS(CK48)*CL48+ABS(CM48)*CN48+ABS(CO48)*CP48+ABS(CQ48)*CR48+ABS(CS48)*CT48+ABS(CU48)*CV48+ABS(CW48)*CX48</f>
        <v>0</v>
      </c>
      <c r="DH48" s="43" t="n">
        <f aca="false">((H48-X48)*W48+(H48-Z48)*Y48+(H48-AB48)*AA48+(H48-AD48)*AC48+(H48-AF48)*AE48+(H48-AH48)*AG48+(H48-AJ48)*AI48+(H48-AL48)*AK48+(H48-AN48)*AM48+(H48-AP48)*AO48+(H48-AR48)*AQ48+(H48-AT48)*AS48+(H48-AV48)*AU48+(H48-AX48)*AW48+(H48-AZ48)*AY48+(H48-BB48)*BA48+(H48-BD48)*BC48+(H48-BF48)*BE48+(H48-BH48)*BG48+(H48-BJ48)*BI48)*DD48*DE48</f>
        <v>0</v>
      </c>
      <c r="DI48" s="43" t="n">
        <f aca="false">(((H48-BL48)*BK48+(H48-BN48)*BM48+(H48-BP48)*BO48+(H48-BR48)*BQ48+(H48-BT48)*BS48+(H48-BV48)*BU48+(H48-BX48)*BW48+(H48-BZ48)*BY48+(H48-CB48)*CA48+(H48-CD48)*CC48+(H48-CF48)*CE48+(H48-CH48)*CG48+(H48-CJ48)*CH48+(H48-CL48)*CK48+(H48-CN48)*CM48+(H48-CP48)*CO48+(H48-CR48)*CQ48+(H48-CT48)*CS48+(H48-CV48)*CU48+(H48-CX48)*CW48)*DD48*DE48)</f>
        <v>0</v>
      </c>
      <c r="DK48" s="85" t="n">
        <v>37165</v>
      </c>
      <c r="DL48" s="21" t="n">
        <v>49.552150560462</v>
      </c>
      <c r="DN48" s="21" t="n">
        <v>1</v>
      </c>
      <c r="DR48" s="146" t="n">
        <f aca="false">+VLOOKUP(A48,'NET P&amp;L'!$AH$6:$AK$31,2)</f>
        <v>21</v>
      </c>
    </row>
    <row r="49" customFormat="false" ht="18.75" hidden="false" customHeight="false" outlineLevel="0" collapsed="false">
      <c r="A49" s="147" t="n">
        <f aca="false">'NYISO A'!A49</f>
        <v>37347</v>
      </c>
      <c r="B49" s="119" t="n">
        <f aca="false">+[3]NYZoneG!$L40/16/DR49</f>
        <v>1.13636363182295E-013</v>
      </c>
      <c r="C49" s="148" t="n">
        <f aca="false">CY49</f>
        <v>0</v>
      </c>
      <c r="D49" s="149" t="n">
        <f aca="false">(IF(MONTH(A49)=MONTH(EOMONTH(TradeDate,1)),$AP$70,0)*VLOOKUP(A49,$DK$12:$DN$43,4))</f>
        <v>0</v>
      </c>
      <c r="E49" s="150" t="n">
        <f aca="false">B49+C49+D49</f>
        <v>1.13636363182295E-013</v>
      </c>
      <c r="F49" s="151" t="n">
        <f aca="false">[3]NYZoneG!$C40</f>
        <v>40.5</v>
      </c>
      <c r="G49" s="152" t="n">
        <f aca="false">IF($Q$9,Q49,P49)</f>
        <v>70.5</v>
      </c>
      <c r="H49" s="153" t="n">
        <f aca="false">F49+G49</f>
        <v>111</v>
      </c>
      <c r="I49" s="154" t="n">
        <f aca="false">B49*G49*DD49*DR49</f>
        <v>2.81999998873184E-009</v>
      </c>
      <c r="J49" s="155" t="n">
        <f aca="false">(DH49+DI49)*$DR49</f>
        <v>0</v>
      </c>
      <c r="K49" s="156" t="n">
        <f aca="false">I49+J49</f>
        <v>2.81999998873184E-009</v>
      </c>
      <c r="L49" s="24"/>
      <c r="M49" s="157" t="n">
        <f aca="false">A49</f>
        <v>37347</v>
      </c>
      <c r="N49" s="92" t="n">
        <v>111</v>
      </c>
      <c r="O49" s="92" t="n">
        <v>111</v>
      </c>
      <c r="P49" s="69" t="n">
        <f aca="false">AVERAGE(N49:O49)-F49</f>
        <v>70.5</v>
      </c>
      <c r="Q49" s="70"/>
      <c r="R49" s="91" t="n">
        <f aca="false">H49</f>
        <v>111</v>
      </c>
      <c r="S49" s="24"/>
      <c r="T49" s="24"/>
      <c r="U49" s="131"/>
      <c r="V49" s="158" t="n">
        <f aca="false">A49</f>
        <v>37347</v>
      </c>
      <c r="W49" s="159"/>
      <c r="X49" s="134"/>
      <c r="Y49" s="159"/>
      <c r="Z49" s="134"/>
      <c r="AA49" s="159"/>
      <c r="AB49" s="134"/>
      <c r="AC49" s="77"/>
      <c r="AD49" s="78"/>
      <c r="AE49" s="77"/>
      <c r="AF49" s="78"/>
      <c r="AG49" s="77"/>
      <c r="AH49" s="78"/>
      <c r="AI49" s="77"/>
      <c r="AJ49" s="78"/>
      <c r="AK49" s="77"/>
      <c r="AL49" s="78"/>
      <c r="AM49" s="77"/>
      <c r="AN49" s="78"/>
      <c r="AO49" s="77"/>
      <c r="AP49" s="78"/>
      <c r="AQ49" s="77"/>
      <c r="AR49" s="78"/>
      <c r="AS49" s="77"/>
      <c r="AT49" s="160"/>
      <c r="AU49" s="94"/>
      <c r="AV49" s="95"/>
      <c r="AW49" s="96"/>
      <c r="AX49" s="75"/>
      <c r="AY49" s="81"/>
      <c r="AZ49" s="75"/>
      <c r="BA49" s="81"/>
      <c r="BB49" s="75"/>
      <c r="BC49" s="81"/>
      <c r="BD49" s="75"/>
      <c r="BE49" s="81"/>
      <c r="BF49" s="75"/>
      <c r="BG49" s="81"/>
      <c r="BH49" s="75"/>
      <c r="BI49" s="81"/>
      <c r="BJ49" s="75"/>
      <c r="BK49" s="81"/>
      <c r="BL49" s="75"/>
      <c r="BM49" s="81"/>
      <c r="BN49" s="75"/>
      <c r="BO49" s="81"/>
      <c r="BP49" s="75"/>
      <c r="BQ49" s="81"/>
      <c r="BR49" s="75"/>
      <c r="BS49" s="81"/>
      <c r="BT49" s="75"/>
      <c r="BU49" s="81"/>
      <c r="BV49" s="75"/>
      <c r="BW49" s="81"/>
      <c r="BX49" s="75"/>
      <c r="BY49" s="81"/>
      <c r="BZ49" s="75"/>
      <c r="CA49" s="81"/>
      <c r="CB49" s="75"/>
      <c r="CC49" s="81"/>
      <c r="CD49" s="75"/>
      <c r="CE49" s="81"/>
      <c r="CF49" s="75"/>
      <c r="CG49" s="81"/>
      <c r="CH49" s="75"/>
      <c r="CI49" s="81"/>
      <c r="CJ49" s="75"/>
      <c r="CK49" s="81"/>
      <c r="CL49" s="75"/>
      <c r="CM49" s="81"/>
      <c r="CN49" s="75"/>
      <c r="CO49" s="81"/>
      <c r="CP49" s="75"/>
      <c r="CQ49" s="81"/>
      <c r="CR49" s="75"/>
      <c r="CS49" s="81"/>
      <c r="CT49" s="75"/>
      <c r="CU49" s="81"/>
      <c r="CV49" s="75"/>
      <c r="CW49" s="81"/>
      <c r="CX49" s="75"/>
      <c r="CY49" s="82" t="n">
        <f aca="false">W49+Y49+AA49+AC49+AE49+AG49+AI49+AK49+AM49+AO49+AQ49+AS49+AU49+AW49+AY49+BA49+BC49+BE49+BG49+BI49+BK49+BM49+BO49+BQ49+BS49+BU49+BW49+BY49+CA49+CC49+CE49+CG49+CI49+CK49+CM49+CO49+CQ49+CS49+CU49+CW49</f>
        <v>0</v>
      </c>
      <c r="CZ49" s="83" t="n">
        <f aca="false">IF(AND(CY49=0,DC49=0),0,(DF49+DG49)/DC49)</f>
        <v>0</v>
      </c>
      <c r="DB49" s="85" t="n">
        <f aca="false">V49</f>
        <v>37347</v>
      </c>
      <c r="DC49" s="84" t="n">
        <f aca="false">ABS(W49)+ABS(Y49)+ABS(AA49)+ABS(AC49)+ABS(AE49)+ABS(AG49)+ABS(AI49)+ABS(AK49)+ABS(AM49)+ABS(AO49)+ABS(AQ49)+ABS(AS49)+ABS(AU49)+ABS(AW49)+ABS(AY49)+ABS(BA49)+ABS(BC49)+ABS(BE49)+ABS(BG49)+ABS(BI49)+ABS(BK49)+ABS(BM49)+ABS(BO49)+ABS(BQ49)+ABS(BS49)+ABS(BU49)+ABS(BW49)+ABS(BY49)+ABS(CA49)+ABS(CC49)+ABS(CE49)+ABS(CG49)+ABS(CI49)+ABS(CK49)+ABS(CM49)+ABS(CO49)+ABS(CQ49)+ABS(CS49)+ABS(CU49)+ABS(CW49)</f>
        <v>0</v>
      </c>
      <c r="DD49" s="86" t="n">
        <f aca="false">16</f>
        <v>16</v>
      </c>
      <c r="DE49" s="84" t="n">
        <v>1</v>
      </c>
      <c r="DF49" s="43" t="n">
        <f aca="false">(ABS(W49)*X49+ABS(Y49)*Z49+ABS(AA49)*AB49+ABS(AC49)*AD49+ABS(AE49)*AF49+ABS(AG49)*AH49+ABS(AI49)*AJ49+ABS(AK49)*AL49+ABS(AM49)*AN49+ABS(AO49)*AP49+ABS(AQ49)*AR49+ABS(AS49)*AT49+ABS(AU49)*AV49+ABS(AW49)*AX49+ABS(AY49)*AZ49+ABS(BA49)*BB49+ABS(BC49)*BD49+ABS(BE49)*BF49+ABS(BG49)*BH49+ABS(BI49)*BJ49)</f>
        <v>0</v>
      </c>
      <c r="DG49" s="43" t="n">
        <f aca="false">ABS(BK49)*BL49+ABS(BM49)*BN49+ABS(BO49)*BP49+ABS(BQ49)*BR49+ABS(BS49)*BT49+ABS(BU49)*BV49+ABS(BW49)*BX49+ABS(BY49)*BZ49+ABS(CA49)*CB49+ABS(CC49)*CD49+ABS(CE49)*CF49+ABS(CG49)*CH49+ABS(CI49)*CJ49+ABS(CK49)*CL49+ABS(CM49)*CN49+ABS(CO49)*CP49+ABS(CQ49)*CR49+ABS(CS49)*CT49+ABS(CU49)*CV49+ABS(CW49)*CX49</f>
        <v>0</v>
      </c>
      <c r="DH49" s="43" t="n">
        <f aca="false">((H49-X49)*W49+(H49-Z49)*Y49+(H49-AB49)*AA49+(H49-AD49)*AC49+(H49-AF49)*AE49+(H49-AH49)*AG49+(H49-AJ49)*AI49+(H49-AL49)*AK49+(H49-AN49)*AM49+(H49-AP49)*AO49+(H49-AR49)*AQ49+(H49-AT49)*AS49+(H49-AV49)*AU49+(H49-AX49)*AW49+(H49-AZ49)*AY49+(H49-BB49)*BA49+(H49-BD49)*BC49+(H49-BF49)*BE49+(H49-BH49)*BG49+(H49-BJ49)*BI49)*DD49*DE49</f>
        <v>0</v>
      </c>
      <c r="DI49" s="43" t="n">
        <f aca="false">(((H49-BL49)*BK49+(H49-BN49)*BM49+(H49-BP49)*BO49+(H49-BR49)*BQ49+(H49-BT49)*BS49+(H49-BV49)*BU49+(H49-BX49)*BW49+(H49-BZ49)*BY49+(H49-CB49)*CA49+(H49-CD49)*CC49+(H49-CF49)*CE49+(H49-CH49)*CG49+(H49-CJ49)*CH49+(H49-CL49)*CK49+(H49-CN49)*CM49+(H49-CP49)*CO49+(H49-CR49)*CQ49+(H49-CT49)*CS49+(H49-CV49)*CU49+(H49-CX49)*CW49)*DD49*DE49)</f>
        <v>0</v>
      </c>
      <c r="DK49" s="85" t="n">
        <v>37165</v>
      </c>
      <c r="DL49" s="21" t="n">
        <v>49.552150560462</v>
      </c>
      <c r="DN49" s="21" t="n">
        <v>1</v>
      </c>
      <c r="DR49" s="146" t="n">
        <f aca="false">+VLOOKUP(A49,'NET P&amp;L'!$AH$6:$AK$31,2)</f>
        <v>22</v>
      </c>
    </row>
    <row r="50" customFormat="false" ht="18.75" hidden="false" customHeight="false" outlineLevel="0" collapsed="false">
      <c r="A50" s="147" t="n">
        <f aca="false">'NYISO A'!A50</f>
        <v>37377</v>
      </c>
      <c r="B50" s="119" t="n">
        <f aca="false">+[3]NYZoneG!$L41/16/DR50</f>
        <v>48.6793268377131</v>
      </c>
      <c r="C50" s="148" t="n">
        <f aca="false">CY50</f>
        <v>0</v>
      </c>
      <c r="D50" s="149" t="n">
        <f aca="false">(IF(MONTH(A50)=MONTH(EOMONTH(TradeDate,1)),$AP$70,0)*VLOOKUP(A50,$DK$12:$DN$43,4))</f>
        <v>0</v>
      </c>
      <c r="E50" s="150" t="n">
        <f aca="false">B50+C50+D50</f>
        <v>48.6793268377131</v>
      </c>
      <c r="F50" s="151" t="n">
        <f aca="false">[3]NYZoneG!$C41</f>
        <v>43</v>
      </c>
      <c r="G50" s="152" t="n">
        <f aca="false">IF($Q$9,Q50,P50)</f>
        <v>0</v>
      </c>
      <c r="H50" s="153" t="n">
        <f aca="false">F50+G50</f>
        <v>43</v>
      </c>
      <c r="I50" s="154" t="n">
        <f aca="false">B50*G50*DD50*DR50</f>
        <v>0</v>
      </c>
      <c r="J50" s="155" t="n">
        <f aca="false">(DH50+DI50)*$DR50</f>
        <v>0</v>
      </c>
      <c r="K50" s="156" t="n">
        <f aca="false">I50+J50</f>
        <v>0</v>
      </c>
      <c r="L50" s="24"/>
      <c r="M50" s="157" t="n">
        <f aca="false">A50</f>
        <v>37377</v>
      </c>
      <c r="N50" s="92" t="n">
        <v>43</v>
      </c>
      <c r="O50" s="92" t="n">
        <v>43</v>
      </c>
      <c r="P50" s="69" t="n">
        <f aca="false">AVERAGE(N50:O50)-F50</f>
        <v>0</v>
      </c>
      <c r="Q50" s="70"/>
      <c r="R50" s="91" t="n">
        <f aca="false">H50</f>
        <v>43</v>
      </c>
      <c r="S50" s="24"/>
      <c r="T50" s="24"/>
      <c r="U50" s="131"/>
      <c r="V50" s="158" t="n">
        <f aca="false">A50</f>
        <v>37377</v>
      </c>
      <c r="W50" s="159"/>
      <c r="X50" s="134"/>
      <c r="Y50" s="159"/>
      <c r="Z50" s="134"/>
      <c r="AA50" s="159"/>
      <c r="AB50" s="134"/>
      <c r="AC50" s="77"/>
      <c r="AD50" s="78"/>
      <c r="AE50" s="77"/>
      <c r="AF50" s="78"/>
      <c r="AG50" s="77"/>
      <c r="AH50" s="78"/>
      <c r="AI50" s="77"/>
      <c r="AJ50" s="78"/>
      <c r="AK50" s="77"/>
      <c r="AL50" s="78"/>
      <c r="AM50" s="77"/>
      <c r="AN50" s="78"/>
      <c r="AO50" s="77"/>
      <c r="AP50" s="78"/>
      <c r="AQ50" s="77"/>
      <c r="AR50" s="78"/>
      <c r="AS50" s="77"/>
      <c r="AT50" s="160"/>
      <c r="AU50" s="94"/>
      <c r="AV50" s="95"/>
      <c r="AW50" s="96"/>
      <c r="AX50" s="75"/>
      <c r="AY50" s="81"/>
      <c r="AZ50" s="75"/>
      <c r="BA50" s="81"/>
      <c r="BB50" s="75"/>
      <c r="BC50" s="81"/>
      <c r="BD50" s="75"/>
      <c r="BE50" s="81"/>
      <c r="BF50" s="75"/>
      <c r="BG50" s="81"/>
      <c r="BH50" s="75"/>
      <c r="BI50" s="81"/>
      <c r="BJ50" s="75"/>
      <c r="BK50" s="81"/>
      <c r="BL50" s="75"/>
      <c r="BM50" s="81"/>
      <c r="BN50" s="75"/>
      <c r="BO50" s="81"/>
      <c r="BP50" s="75"/>
      <c r="BQ50" s="81"/>
      <c r="BR50" s="75"/>
      <c r="BS50" s="81"/>
      <c r="BT50" s="75"/>
      <c r="BU50" s="81"/>
      <c r="BV50" s="75"/>
      <c r="BW50" s="81"/>
      <c r="BX50" s="75"/>
      <c r="BY50" s="81"/>
      <c r="BZ50" s="75"/>
      <c r="CA50" s="81"/>
      <c r="CB50" s="75"/>
      <c r="CC50" s="81"/>
      <c r="CD50" s="75"/>
      <c r="CE50" s="81"/>
      <c r="CF50" s="75"/>
      <c r="CG50" s="81"/>
      <c r="CH50" s="75"/>
      <c r="CI50" s="81"/>
      <c r="CJ50" s="75"/>
      <c r="CK50" s="81"/>
      <c r="CL50" s="75"/>
      <c r="CM50" s="81"/>
      <c r="CN50" s="75"/>
      <c r="CO50" s="81"/>
      <c r="CP50" s="75"/>
      <c r="CQ50" s="81"/>
      <c r="CR50" s="75"/>
      <c r="CS50" s="81"/>
      <c r="CT50" s="75"/>
      <c r="CU50" s="81"/>
      <c r="CV50" s="75"/>
      <c r="CW50" s="81"/>
      <c r="CX50" s="75"/>
      <c r="CY50" s="82" t="n">
        <f aca="false">W50+Y50+AA50+AC50+AE50+AG50+AI50+AK50+AM50+AO50+AQ50+AS50+AU50+AW50+AY50+BA50+BC50+BE50+BG50+BI50+BK50+BM50+BO50+BQ50+BS50+BU50+BW50+BY50+CA50+CC50+CE50+CG50+CI50+CK50+CM50+CO50+CQ50+CS50+CU50+CW50</f>
        <v>0</v>
      </c>
      <c r="CZ50" s="83" t="n">
        <f aca="false">IF(AND(CY50=0,DC50=0),0,(DF50+DG50)/DC50)</f>
        <v>0</v>
      </c>
      <c r="DB50" s="85" t="n">
        <f aca="false">V50</f>
        <v>37377</v>
      </c>
      <c r="DC50" s="84" t="n">
        <f aca="false">ABS(W50)+ABS(Y50)+ABS(AA50)+ABS(AC50)+ABS(AE50)+ABS(AG50)+ABS(AI50)+ABS(AK50)+ABS(AM50)+ABS(AO50)+ABS(AQ50)+ABS(AS50)+ABS(AU50)+ABS(AW50)+ABS(AY50)+ABS(BA50)+ABS(BC50)+ABS(BE50)+ABS(BG50)+ABS(BI50)+ABS(BK50)+ABS(BM50)+ABS(BO50)+ABS(BQ50)+ABS(BS50)+ABS(BU50)+ABS(BW50)+ABS(BY50)+ABS(CA50)+ABS(CC50)+ABS(CE50)+ABS(CG50)+ABS(CI50)+ABS(CK50)+ABS(CM50)+ABS(CO50)+ABS(CQ50)+ABS(CS50)+ABS(CU50)+ABS(CW50)</f>
        <v>0</v>
      </c>
      <c r="DD50" s="86" t="n">
        <f aca="false">16</f>
        <v>16</v>
      </c>
      <c r="DE50" s="84" t="n">
        <v>1</v>
      </c>
      <c r="DF50" s="43" t="n">
        <f aca="false">(ABS(W50)*X50+ABS(Y50)*Z50+ABS(AA50)*AB50+ABS(AC50)*AD50+ABS(AE50)*AF50+ABS(AG50)*AH50+ABS(AI50)*AJ50+ABS(AK50)*AL50+ABS(AM50)*AN50+ABS(AO50)*AP50+ABS(AQ50)*AR50+ABS(AS50)*AT50+ABS(AU50)*AV50+ABS(AW50)*AX50+ABS(AY50)*AZ50+ABS(BA50)*BB50+ABS(BC50)*BD50+ABS(BE50)*BF50+ABS(BG50)*BH50+ABS(BI50)*BJ50)</f>
        <v>0</v>
      </c>
      <c r="DG50" s="43" t="n">
        <f aca="false">ABS(BK50)*BL50+ABS(BM50)*BN50+ABS(BO50)*BP50+ABS(BQ50)*BR50+ABS(BS50)*BT50+ABS(BU50)*BV50+ABS(BW50)*BX50+ABS(BY50)*BZ50+ABS(CA50)*CB50+ABS(CC50)*CD50+ABS(CE50)*CF50+ABS(CG50)*CH50+ABS(CI50)*CJ50+ABS(CK50)*CL50+ABS(CM50)*CN50+ABS(CO50)*CP50+ABS(CQ50)*CR50+ABS(CS50)*CT50+ABS(CU50)*CV50+ABS(CW50)*CX50</f>
        <v>0</v>
      </c>
      <c r="DH50" s="43" t="n">
        <f aca="false">((H50-X50)*W50+(H50-Z50)*Y50+(H50-AB50)*AA50+(H50-AD50)*AC50+(H50-AF50)*AE50+(H50-AH50)*AG50+(H50-AJ50)*AI50+(H50-AL50)*AK50+(H50-AN50)*AM50+(H50-AP50)*AO50+(H50-AR50)*AQ50+(H50-AT50)*AS50+(H50-AV50)*AU50+(H50-AX50)*AW50+(H50-AZ50)*AY50+(H50-BB50)*BA50+(H50-BD50)*BC50+(H50-BF50)*BE50+(H50-BH50)*BG50+(H50-BJ50)*BI50)*DD50*DE50</f>
        <v>0</v>
      </c>
      <c r="DI50" s="43" t="n">
        <f aca="false">(((H50-BL50)*BK50+(H50-BN50)*BM50+(H50-BP50)*BO50+(H50-BR50)*BQ50+(H50-BT50)*BS50+(H50-BV50)*BU50+(H50-BX50)*BW50+(H50-BZ50)*BY50+(H50-CB50)*CA50+(H50-CD50)*CC50+(H50-CF50)*CE50+(H50-CH50)*CG50+(H50-CJ50)*CH50+(H50-CL50)*CK50+(H50-CN50)*CM50+(H50-CP50)*CO50+(H50-CR50)*CQ50+(H50-CT50)*CS50+(H50-CV50)*CU50+(H50-CX50)*CW50)*DD50*DE50)</f>
        <v>0</v>
      </c>
      <c r="DK50" s="85" t="n">
        <v>37165</v>
      </c>
      <c r="DL50" s="21" t="n">
        <v>49.552150560462</v>
      </c>
      <c r="DN50" s="21" t="n">
        <v>1</v>
      </c>
      <c r="DR50" s="146" t="n">
        <f aca="false">+VLOOKUP(A50,'NET P&amp;L'!$AH$6:$AK$31,2)</f>
        <v>22</v>
      </c>
    </row>
    <row r="51" customFormat="false" ht="18.75" hidden="false" customHeight="false" outlineLevel="0" collapsed="false">
      <c r="A51" s="147" t="n">
        <f aca="false">'NYISO A'!A51</f>
        <v>37408</v>
      </c>
      <c r="B51" s="119" t="n">
        <f aca="false">+[3]NYZoneG!$L42/16/DR51</f>
        <v>97.0580810546875</v>
      </c>
      <c r="C51" s="148" t="n">
        <f aca="false">CY51</f>
        <v>0</v>
      </c>
      <c r="D51" s="149" t="n">
        <f aca="false">(IF(MONTH(A51)=MONTH(EOMONTH(TradeDate,1)),$AP$70,0)*VLOOKUP(A51,$DK$12:$DN$43,4))</f>
        <v>0</v>
      </c>
      <c r="E51" s="150" t="n">
        <f aca="false">B51+C51+D51</f>
        <v>97.0580810546875</v>
      </c>
      <c r="F51" s="151" t="n">
        <f aca="false">[3]NYZoneG!$C42</f>
        <v>52</v>
      </c>
      <c r="G51" s="152" t="n">
        <f aca="false">IF($Q$9,Q51,P51)</f>
        <v>-0.5</v>
      </c>
      <c r="H51" s="153" t="n">
        <f aca="false">F51+G51</f>
        <v>51.5</v>
      </c>
      <c r="I51" s="154" t="n">
        <f aca="false">B51*G51*DD51*DR51</f>
        <v>-15529.29296875</v>
      </c>
      <c r="J51" s="155" t="n">
        <f aca="false">(DH51+DI51)*$DR51</f>
        <v>0</v>
      </c>
      <c r="K51" s="156" t="n">
        <f aca="false">I51+J51</f>
        <v>-15529.29296875</v>
      </c>
      <c r="L51" s="24"/>
      <c r="M51" s="157" t="n">
        <f aca="false">A51</f>
        <v>37408</v>
      </c>
      <c r="N51" s="92" t="n">
        <v>51.5</v>
      </c>
      <c r="O51" s="92" t="n">
        <v>51.5</v>
      </c>
      <c r="P51" s="69" t="n">
        <f aca="false">AVERAGE(N51:O51)-F51</f>
        <v>-0.5</v>
      </c>
      <c r="Q51" s="70"/>
      <c r="R51" s="91" t="n">
        <f aca="false">H51</f>
        <v>51.5</v>
      </c>
      <c r="S51" s="24"/>
      <c r="T51" s="24"/>
      <c r="U51" s="131"/>
      <c r="V51" s="158" t="n">
        <f aca="false">A51</f>
        <v>37408</v>
      </c>
      <c r="W51" s="159"/>
      <c r="X51" s="134"/>
      <c r="Y51" s="159"/>
      <c r="Z51" s="134"/>
      <c r="AA51" s="159"/>
      <c r="AB51" s="134"/>
      <c r="AC51" s="77"/>
      <c r="AD51" s="78"/>
      <c r="AE51" s="77"/>
      <c r="AF51" s="78"/>
      <c r="AG51" s="77"/>
      <c r="AH51" s="78"/>
      <c r="AI51" s="77"/>
      <c r="AJ51" s="78"/>
      <c r="AK51" s="77"/>
      <c r="AL51" s="78"/>
      <c r="AM51" s="77"/>
      <c r="AN51" s="78"/>
      <c r="AO51" s="77"/>
      <c r="AP51" s="78"/>
      <c r="AQ51" s="77"/>
      <c r="AR51" s="78"/>
      <c r="AS51" s="77"/>
      <c r="AT51" s="160"/>
      <c r="AU51" s="94"/>
      <c r="AV51" s="95"/>
      <c r="AW51" s="96"/>
      <c r="AX51" s="75"/>
      <c r="AY51" s="81"/>
      <c r="AZ51" s="75"/>
      <c r="BA51" s="81"/>
      <c r="BB51" s="75"/>
      <c r="BC51" s="81"/>
      <c r="BD51" s="75"/>
      <c r="BE51" s="81"/>
      <c r="BF51" s="75"/>
      <c r="BG51" s="81"/>
      <c r="BH51" s="75"/>
      <c r="BI51" s="81"/>
      <c r="BJ51" s="75"/>
      <c r="BK51" s="81"/>
      <c r="BL51" s="75"/>
      <c r="BM51" s="81"/>
      <c r="BN51" s="75"/>
      <c r="BO51" s="81"/>
      <c r="BP51" s="75"/>
      <c r="BQ51" s="81"/>
      <c r="BR51" s="75"/>
      <c r="BS51" s="81"/>
      <c r="BT51" s="75"/>
      <c r="BU51" s="81"/>
      <c r="BV51" s="75"/>
      <c r="BW51" s="81"/>
      <c r="BX51" s="75"/>
      <c r="BY51" s="81"/>
      <c r="BZ51" s="75"/>
      <c r="CA51" s="81"/>
      <c r="CB51" s="75"/>
      <c r="CC51" s="81"/>
      <c r="CD51" s="75"/>
      <c r="CE51" s="81"/>
      <c r="CF51" s="75"/>
      <c r="CG51" s="81"/>
      <c r="CH51" s="75"/>
      <c r="CI51" s="81"/>
      <c r="CJ51" s="75"/>
      <c r="CK51" s="81"/>
      <c r="CL51" s="75"/>
      <c r="CM51" s="81"/>
      <c r="CN51" s="75"/>
      <c r="CO51" s="81"/>
      <c r="CP51" s="75"/>
      <c r="CQ51" s="81"/>
      <c r="CR51" s="75"/>
      <c r="CS51" s="81"/>
      <c r="CT51" s="75"/>
      <c r="CU51" s="81"/>
      <c r="CV51" s="75"/>
      <c r="CW51" s="81"/>
      <c r="CX51" s="75"/>
      <c r="CY51" s="82" t="n">
        <f aca="false">W51+Y51+AA51+AC51+AE51+AG51+AI51+AK51+AM51+AO51+AQ51+AS51+AU51+AW51+AY51+BA51+BC51+BE51+BG51+BI51+BK51+BM51+BO51+BQ51+BS51+BU51+BW51+BY51+CA51+CC51+CE51+CG51+CI51+CK51+CM51+CO51+CQ51+CS51+CU51+CW51</f>
        <v>0</v>
      </c>
      <c r="CZ51" s="83" t="n">
        <f aca="false">IF(AND(CY51=0,DC51=0),0,(DF51+DG51)/DC51)</f>
        <v>0</v>
      </c>
      <c r="DB51" s="85" t="n">
        <f aca="false">V51</f>
        <v>37408</v>
      </c>
      <c r="DC51" s="84" t="n">
        <f aca="false">ABS(W51)+ABS(Y51)+ABS(AA51)+ABS(AC51)+ABS(AE51)+ABS(AG51)+ABS(AI51)+ABS(AK51)+ABS(AM51)+ABS(AO51)+ABS(AQ51)+ABS(AS51)+ABS(AU51)+ABS(AW51)+ABS(AY51)+ABS(BA51)+ABS(BC51)+ABS(BE51)+ABS(BG51)+ABS(BI51)+ABS(BK51)+ABS(BM51)+ABS(BO51)+ABS(BQ51)+ABS(BS51)+ABS(BU51)+ABS(BW51)+ABS(BY51)+ABS(CA51)+ABS(CC51)+ABS(CE51)+ABS(CG51)+ABS(CI51)+ABS(CK51)+ABS(CM51)+ABS(CO51)+ABS(CQ51)+ABS(CS51)+ABS(CU51)+ABS(CW51)</f>
        <v>0</v>
      </c>
      <c r="DD51" s="86" t="n">
        <f aca="false">16</f>
        <v>16</v>
      </c>
      <c r="DE51" s="84" t="n">
        <v>1</v>
      </c>
      <c r="DF51" s="43" t="n">
        <f aca="false">(ABS(W51)*X51+ABS(Y51)*Z51+ABS(AA51)*AB51+ABS(AC51)*AD51+ABS(AE51)*AF51+ABS(AG51)*AH51+ABS(AI51)*AJ51+ABS(AK51)*AL51+ABS(AM51)*AN51+ABS(AO51)*AP51+ABS(AQ51)*AR51+ABS(AS51)*AT51+ABS(AU51)*AV51+ABS(AW51)*AX51+ABS(AY51)*AZ51+ABS(BA51)*BB51+ABS(BC51)*BD51+ABS(BE51)*BF51+ABS(BG51)*BH51+ABS(BI51)*BJ51)</f>
        <v>0</v>
      </c>
      <c r="DG51" s="43" t="n">
        <f aca="false">ABS(BK51)*BL51+ABS(BM51)*BN51+ABS(BO51)*BP51+ABS(BQ51)*BR51+ABS(BS51)*BT51+ABS(BU51)*BV51+ABS(BW51)*BX51+ABS(BY51)*BZ51+ABS(CA51)*CB51+ABS(CC51)*CD51+ABS(CE51)*CF51+ABS(CG51)*CH51+ABS(CI51)*CJ51+ABS(CK51)*CL51+ABS(CM51)*CN51+ABS(CO51)*CP51+ABS(CQ51)*CR51+ABS(CS51)*CT51+ABS(CU51)*CV51+ABS(CW51)*CX51</f>
        <v>0</v>
      </c>
      <c r="DH51" s="43" t="n">
        <f aca="false">((H51-X51)*W51+(H51-Z51)*Y51+(H51-AB51)*AA51+(H51-AD51)*AC51+(H51-AF51)*AE51+(H51-AH51)*AG51+(H51-AJ51)*AI51+(H51-AL51)*AK51+(H51-AN51)*AM51+(H51-AP51)*AO51+(H51-AR51)*AQ51+(H51-AT51)*AS51+(H51-AV51)*AU51+(H51-AX51)*AW51+(H51-AZ51)*AY51+(H51-BB51)*BA51+(H51-BD51)*BC51+(H51-BF51)*BE51+(H51-BH51)*BG51+(H51-BJ51)*BI51)*DD51*DE51</f>
        <v>0</v>
      </c>
      <c r="DI51" s="43" t="n">
        <f aca="false">(((H51-BL51)*BK51+(H51-BN51)*BM51+(H51-BP51)*BO51+(H51-BR51)*BQ51+(H51-BT51)*BS51+(H51-BV51)*BU51+(H51-BX51)*BW51+(H51-BZ51)*BY51+(H51-CB51)*CA51+(H51-CD51)*CC51+(H51-CF51)*CE51+(H51-CH51)*CG51+(H51-CJ51)*CH51+(H51-CL51)*CK51+(H51-CN51)*CM51+(H51-CP51)*CO51+(H51-CR51)*CQ51+(H51-CT51)*CS51+(H51-CV51)*CU51+(H51-CX51)*CW51)*DD51*DE51)</f>
        <v>0</v>
      </c>
      <c r="DK51" s="85" t="n">
        <v>37165</v>
      </c>
      <c r="DL51" s="21" t="n">
        <v>49.552150560462</v>
      </c>
      <c r="DN51" s="21" t="n">
        <v>1</v>
      </c>
      <c r="DR51" s="146" t="n">
        <f aca="false">+VLOOKUP(A51,'NET P&amp;L'!$AH$6:$AK$31,2)</f>
        <v>20</v>
      </c>
    </row>
    <row r="52" customFormat="false" ht="18.75" hidden="false" customHeight="false" outlineLevel="0" collapsed="false">
      <c r="A52" s="147" t="n">
        <f aca="false">'NYISO A'!A52</f>
        <v>37438</v>
      </c>
      <c r="B52" s="119" t="n">
        <f aca="false">+[3]NYZoneG!$L43/16/DR52</f>
        <v>-48.3788563121449</v>
      </c>
      <c r="C52" s="148" t="n">
        <f aca="false">CY52</f>
        <v>0</v>
      </c>
      <c r="D52" s="149" t="n">
        <f aca="false">(IF(MONTH(A52)=MONTH(EOMONTH(TradeDate,1)),$AP$70,0)*VLOOKUP(A52,$DK$12:$DN$43,4))</f>
        <v>0</v>
      </c>
      <c r="E52" s="150" t="n">
        <f aca="false">B52+C52+D52</f>
        <v>-48.3788563121449</v>
      </c>
      <c r="F52" s="151" t="n">
        <f aca="false">[3]NYZoneG!$C43</f>
        <v>74</v>
      </c>
      <c r="G52" s="152" t="n">
        <f aca="false">IF($Q$9,Q52,P52)</f>
        <v>0</v>
      </c>
      <c r="H52" s="153" t="n">
        <f aca="false">F52+G52</f>
        <v>74</v>
      </c>
      <c r="I52" s="154" t="n">
        <f aca="false">B52*G52*DD52*DR52</f>
        <v>-0</v>
      </c>
      <c r="J52" s="155" t="n">
        <f aca="false">(DH52+DI52)*$DR52</f>
        <v>0</v>
      </c>
      <c r="K52" s="156" t="n">
        <f aca="false">I52+J52</f>
        <v>0</v>
      </c>
      <c r="L52" s="24"/>
      <c r="M52" s="157" t="n">
        <f aca="false">A52</f>
        <v>37438</v>
      </c>
      <c r="N52" s="92" t="n">
        <v>74</v>
      </c>
      <c r="O52" s="92" t="n">
        <v>74</v>
      </c>
      <c r="P52" s="69" t="n">
        <f aca="false">AVERAGE(N52:O52)-F52</f>
        <v>0</v>
      </c>
      <c r="Q52" s="70"/>
      <c r="R52" s="91" t="n">
        <f aca="false">H52</f>
        <v>74</v>
      </c>
      <c r="S52" s="24"/>
      <c r="T52" s="24"/>
      <c r="U52" s="131"/>
      <c r="V52" s="158" t="n">
        <f aca="false">A52</f>
        <v>37438</v>
      </c>
      <c r="W52" s="159"/>
      <c r="X52" s="134"/>
      <c r="Y52" s="159"/>
      <c r="Z52" s="134"/>
      <c r="AA52" s="159"/>
      <c r="AB52" s="134"/>
      <c r="AC52" s="77"/>
      <c r="AD52" s="78"/>
      <c r="AE52" s="77"/>
      <c r="AF52" s="78"/>
      <c r="AG52" s="77"/>
      <c r="AH52" s="78"/>
      <c r="AI52" s="77"/>
      <c r="AJ52" s="78"/>
      <c r="AK52" s="77"/>
      <c r="AL52" s="78"/>
      <c r="AM52" s="77"/>
      <c r="AN52" s="78"/>
      <c r="AO52" s="77"/>
      <c r="AP52" s="78"/>
      <c r="AQ52" s="77"/>
      <c r="AR52" s="78"/>
      <c r="AS52" s="77"/>
      <c r="AT52" s="160"/>
      <c r="AU52" s="94"/>
      <c r="AV52" s="95"/>
      <c r="AW52" s="96"/>
      <c r="AX52" s="75"/>
      <c r="AY52" s="81"/>
      <c r="AZ52" s="75"/>
      <c r="BA52" s="81"/>
      <c r="BB52" s="75"/>
      <c r="BC52" s="81"/>
      <c r="BD52" s="75"/>
      <c r="BE52" s="81"/>
      <c r="BF52" s="75"/>
      <c r="BG52" s="81"/>
      <c r="BH52" s="75"/>
      <c r="BI52" s="81"/>
      <c r="BJ52" s="75"/>
      <c r="BK52" s="81"/>
      <c r="BL52" s="75"/>
      <c r="BM52" s="81"/>
      <c r="BN52" s="75"/>
      <c r="BO52" s="81"/>
      <c r="BP52" s="75"/>
      <c r="BQ52" s="81"/>
      <c r="BR52" s="75"/>
      <c r="BS52" s="81"/>
      <c r="BT52" s="75"/>
      <c r="BU52" s="81"/>
      <c r="BV52" s="75"/>
      <c r="BW52" s="81"/>
      <c r="BX52" s="75"/>
      <c r="BY52" s="81"/>
      <c r="BZ52" s="75"/>
      <c r="CA52" s="81"/>
      <c r="CB52" s="75"/>
      <c r="CC52" s="81"/>
      <c r="CD52" s="75"/>
      <c r="CE52" s="81"/>
      <c r="CF52" s="75"/>
      <c r="CG52" s="81"/>
      <c r="CH52" s="75"/>
      <c r="CI52" s="81"/>
      <c r="CJ52" s="75"/>
      <c r="CK52" s="81"/>
      <c r="CL52" s="75"/>
      <c r="CM52" s="81"/>
      <c r="CN52" s="75"/>
      <c r="CO52" s="81"/>
      <c r="CP52" s="75"/>
      <c r="CQ52" s="81"/>
      <c r="CR52" s="75"/>
      <c r="CS52" s="81"/>
      <c r="CT52" s="75"/>
      <c r="CU52" s="81"/>
      <c r="CV52" s="75"/>
      <c r="CW52" s="81"/>
      <c r="CX52" s="75"/>
      <c r="CY52" s="82" t="n">
        <f aca="false">W52+Y52+AA52+AC52+AE52+AG52+AI52+AK52+AM52+AO52+AQ52+AS52+AU52+AW52+AY52+BA52+BC52+BE52+BG52+BI52+BK52+BM52+BO52+BQ52+BS52+BU52+BW52+BY52+CA52+CC52+CE52+CG52+CI52+CK52+CM52+CO52+CQ52+CS52+CU52+CW52</f>
        <v>0</v>
      </c>
      <c r="CZ52" s="83" t="n">
        <f aca="false">IF(AND(CY52=0,DC52=0),0,(DF52+DG52)/DC52)</f>
        <v>0</v>
      </c>
      <c r="DB52" s="85" t="n">
        <f aca="false">V52</f>
        <v>37438</v>
      </c>
      <c r="DC52" s="84" t="n">
        <f aca="false">ABS(W52)+ABS(Y52)+ABS(AA52)+ABS(AC52)+ABS(AE52)+ABS(AG52)+ABS(AI52)+ABS(AK52)+ABS(AM52)+ABS(AO52)+ABS(AQ52)+ABS(AS52)+ABS(AU52)+ABS(AW52)+ABS(AY52)+ABS(BA52)+ABS(BC52)+ABS(BE52)+ABS(BG52)+ABS(BI52)+ABS(BK52)+ABS(BM52)+ABS(BO52)+ABS(BQ52)+ABS(BS52)+ABS(BU52)+ABS(BW52)+ABS(BY52)+ABS(CA52)+ABS(CC52)+ABS(CE52)+ABS(CG52)+ABS(CI52)+ABS(CK52)+ABS(CM52)+ABS(CO52)+ABS(CQ52)+ABS(CS52)+ABS(CU52)+ABS(CW52)</f>
        <v>0</v>
      </c>
      <c r="DD52" s="86" t="n">
        <f aca="false">16</f>
        <v>16</v>
      </c>
      <c r="DE52" s="84" t="n">
        <v>1</v>
      </c>
      <c r="DF52" s="43" t="n">
        <f aca="false">(ABS(W52)*X52+ABS(Y52)*Z52+ABS(AA52)*AB52+ABS(AC52)*AD52+ABS(AE52)*AF52+ABS(AG52)*AH52+ABS(AI52)*AJ52+ABS(AK52)*AL52+ABS(AM52)*AN52+ABS(AO52)*AP52+ABS(AQ52)*AR52+ABS(AS52)*AT52+ABS(AU52)*AV52+ABS(AW52)*AX52+ABS(AY52)*AZ52+ABS(BA52)*BB52+ABS(BC52)*BD52+ABS(BE52)*BF52+ABS(BG52)*BH52+ABS(BI52)*BJ52)</f>
        <v>0</v>
      </c>
      <c r="DG52" s="43" t="n">
        <f aca="false">ABS(BK52)*BL52+ABS(BM52)*BN52+ABS(BO52)*BP52+ABS(BQ52)*BR52+ABS(BS52)*BT52+ABS(BU52)*BV52+ABS(BW52)*BX52+ABS(BY52)*BZ52+ABS(CA52)*CB52+ABS(CC52)*CD52+ABS(CE52)*CF52+ABS(CG52)*CH52+ABS(CI52)*CJ52+ABS(CK52)*CL52+ABS(CM52)*CN52+ABS(CO52)*CP52+ABS(CQ52)*CR52+ABS(CS52)*CT52+ABS(CU52)*CV52+ABS(CW52)*CX52</f>
        <v>0</v>
      </c>
      <c r="DH52" s="43" t="n">
        <f aca="false">((H52-X52)*W52+(H52-Z52)*Y52+(H52-AB52)*AA52+(H52-AD52)*AC52+(H52-AF52)*AE52+(H52-AH52)*AG52+(H52-AJ52)*AI52+(H52-AL52)*AK52+(H52-AN52)*AM52+(H52-AP52)*AO52+(H52-AR52)*AQ52+(H52-AT52)*AS52+(H52-AV52)*AU52+(H52-AX52)*AW52+(H52-AZ52)*AY52+(H52-BB52)*BA52+(H52-BD52)*BC52+(H52-BF52)*BE52+(H52-BH52)*BG52+(H52-BJ52)*BI52)*DD52*DE52</f>
        <v>0</v>
      </c>
      <c r="DI52" s="43" t="n">
        <f aca="false">(((H52-BL52)*BK52+(H52-BN52)*BM52+(H52-BP52)*BO52+(H52-BR52)*BQ52+(H52-BT52)*BS52+(H52-BV52)*BU52+(H52-BX52)*BW52+(H52-BZ52)*BY52+(H52-CB52)*CA52+(H52-CD52)*CC52+(H52-CF52)*CE52+(H52-CH52)*CG52+(H52-CJ52)*CH52+(H52-CL52)*CK52+(H52-CN52)*CM52+(H52-CP52)*CO52+(H52-CR52)*CQ52+(H52-CT52)*CS52+(H52-CV52)*CU52+(H52-CX52)*CW52)*DD52*DE52)</f>
        <v>0</v>
      </c>
      <c r="DK52" s="85" t="n">
        <v>37165</v>
      </c>
      <c r="DL52" s="21" t="n">
        <v>49.552150560462</v>
      </c>
      <c r="DN52" s="21" t="n">
        <v>1</v>
      </c>
      <c r="DR52" s="146" t="n">
        <f aca="false">+VLOOKUP(A52,'NET P&amp;L'!$AH$6:$AK$31,2)</f>
        <v>22</v>
      </c>
    </row>
    <row r="53" customFormat="false" ht="18.75" hidden="false" customHeight="false" outlineLevel="0" collapsed="false">
      <c r="A53" s="147" t="n">
        <f aca="false">'NYISO A'!A53</f>
        <v>37469</v>
      </c>
      <c r="B53" s="119" t="n">
        <f aca="false">+[3]NYZoneG!$L44/16/DR53</f>
        <v>-48.2112315784801</v>
      </c>
      <c r="C53" s="148" t="n">
        <f aca="false">CY53</f>
        <v>0</v>
      </c>
      <c r="D53" s="149" t="n">
        <f aca="false">(IF(MONTH(A53)=MONTH(EOMONTH(TradeDate,1)),$AP$70,0)*VLOOKUP(A53,$DK$12:$DN$43,4))</f>
        <v>0</v>
      </c>
      <c r="E53" s="150" t="n">
        <f aca="false">B53+C53+D53</f>
        <v>-48.2112315784801</v>
      </c>
      <c r="F53" s="151" t="n">
        <f aca="false">[3]NYZoneG!$C44</f>
        <v>74</v>
      </c>
      <c r="G53" s="152" t="n">
        <f aca="false">IF($Q$9,Q53,P53)</f>
        <v>0</v>
      </c>
      <c r="H53" s="153" t="n">
        <f aca="false">F53+G53</f>
        <v>74</v>
      </c>
      <c r="I53" s="154" t="n">
        <f aca="false">B53*G53*DD53*DR53</f>
        <v>-0</v>
      </c>
      <c r="J53" s="155" t="n">
        <f aca="false">(DH53+DI53)*$DR53</f>
        <v>0</v>
      </c>
      <c r="K53" s="156" t="n">
        <f aca="false">I53+J53</f>
        <v>0</v>
      </c>
      <c r="L53" s="24"/>
      <c r="M53" s="157" t="n">
        <f aca="false">A53</f>
        <v>37469</v>
      </c>
      <c r="N53" s="92" t="n">
        <v>74</v>
      </c>
      <c r="O53" s="92" t="n">
        <v>74</v>
      </c>
      <c r="P53" s="69" t="n">
        <f aca="false">AVERAGE(N53:O53)-F53</f>
        <v>0</v>
      </c>
      <c r="Q53" s="70"/>
      <c r="R53" s="91" t="n">
        <f aca="false">H53</f>
        <v>74</v>
      </c>
      <c r="S53" s="24"/>
      <c r="T53" s="24"/>
      <c r="U53" s="131"/>
      <c r="V53" s="158" t="n">
        <f aca="false">A53</f>
        <v>37469</v>
      </c>
      <c r="W53" s="159"/>
      <c r="X53" s="134"/>
      <c r="Y53" s="159"/>
      <c r="Z53" s="134"/>
      <c r="AA53" s="159"/>
      <c r="AB53" s="134"/>
      <c r="AC53" s="77"/>
      <c r="AD53" s="78"/>
      <c r="AE53" s="77"/>
      <c r="AF53" s="78"/>
      <c r="AG53" s="77"/>
      <c r="AH53" s="78"/>
      <c r="AI53" s="77"/>
      <c r="AJ53" s="78"/>
      <c r="AK53" s="77"/>
      <c r="AL53" s="78"/>
      <c r="AM53" s="77"/>
      <c r="AN53" s="78"/>
      <c r="AO53" s="77"/>
      <c r="AP53" s="78"/>
      <c r="AQ53" s="77"/>
      <c r="AR53" s="78"/>
      <c r="AS53" s="77"/>
      <c r="AT53" s="160"/>
      <c r="AU53" s="94"/>
      <c r="AV53" s="95"/>
      <c r="AW53" s="96"/>
      <c r="AX53" s="75"/>
      <c r="AY53" s="81"/>
      <c r="AZ53" s="75"/>
      <c r="BA53" s="81"/>
      <c r="BB53" s="75"/>
      <c r="BC53" s="81"/>
      <c r="BD53" s="75"/>
      <c r="BE53" s="81"/>
      <c r="BF53" s="75"/>
      <c r="BG53" s="81"/>
      <c r="BH53" s="75"/>
      <c r="BI53" s="81"/>
      <c r="BJ53" s="75"/>
      <c r="BK53" s="81"/>
      <c r="BL53" s="75"/>
      <c r="BM53" s="81"/>
      <c r="BN53" s="75"/>
      <c r="BO53" s="81"/>
      <c r="BP53" s="75"/>
      <c r="BQ53" s="81"/>
      <c r="BR53" s="75"/>
      <c r="BS53" s="81"/>
      <c r="BT53" s="75"/>
      <c r="BU53" s="81"/>
      <c r="BV53" s="75"/>
      <c r="BW53" s="81"/>
      <c r="BX53" s="75"/>
      <c r="BY53" s="81"/>
      <c r="BZ53" s="75"/>
      <c r="CA53" s="81"/>
      <c r="CB53" s="75"/>
      <c r="CC53" s="81"/>
      <c r="CD53" s="75"/>
      <c r="CE53" s="81"/>
      <c r="CF53" s="75"/>
      <c r="CG53" s="81"/>
      <c r="CH53" s="75"/>
      <c r="CI53" s="81"/>
      <c r="CJ53" s="75"/>
      <c r="CK53" s="81"/>
      <c r="CL53" s="75"/>
      <c r="CM53" s="81"/>
      <c r="CN53" s="75"/>
      <c r="CO53" s="81"/>
      <c r="CP53" s="75"/>
      <c r="CQ53" s="81"/>
      <c r="CR53" s="75"/>
      <c r="CS53" s="81"/>
      <c r="CT53" s="75"/>
      <c r="CU53" s="81"/>
      <c r="CV53" s="75"/>
      <c r="CW53" s="81"/>
      <c r="CX53" s="75"/>
      <c r="CY53" s="82" t="n">
        <f aca="false">W53+Y53+AA53+AC53+AE53+AG53+AI53+AK53+AM53+AO53+AQ53+AS53+AU53+AW53+AY53+BA53+BC53+BE53+BG53+BI53+BK53+BM53+BO53+BQ53+BS53+BU53+BW53+BY53+CA53+CC53+CE53+CG53+CI53+CK53+CM53+CO53+CQ53+CS53+CU53+CW53</f>
        <v>0</v>
      </c>
      <c r="CZ53" s="83" t="n">
        <f aca="false">IF(AND(CY53=0,DC53=0),0,(DF53+DG53)/DC53)</f>
        <v>0</v>
      </c>
      <c r="DB53" s="85" t="n">
        <f aca="false">V53</f>
        <v>37469</v>
      </c>
      <c r="DC53" s="84" t="n">
        <f aca="false">ABS(W53)+ABS(Y53)+ABS(AA53)+ABS(AC53)+ABS(AE53)+ABS(AG53)+ABS(AI53)+ABS(AK53)+ABS(AM53)+ABS(AO53)+ABS(AQ53)+ABS(AS53)+ABS(AU53)+ABS(AW53)+ABS(AY53)+ABS(BA53)+ABS(BC53)+ABS(BE53)+ABS(BG53)+ABS(BI53)+ABS(BK53)+ABS(BM53)+ABS(BO53)+ABS(BQ53)+ABS(BS53)+ABS(BU53)+ABS(BW53)+ABS(BY53)+ABS(CA53)+ABS(CC53)+ABS(CE53)+ABS(CG53)+ABS(CI53)+ABS(CK53)+ABS(CM53)+ABS(CO53)+ABS(CQ53)+ABS(CS53)+ABS(CU53)+ABS(CW53)</f>
        <v>0</v>
      </c>
      <c r="DD53" s="86" t="n">
        <f aca="false">16</f>
        <v>16</v>
      </c>
      <c r="DE53" s="84" t="n">
        <v>1</v>
      </c>
      <c r="DF53" s="43" t="n">
        <f aca="false">(ABS(W53)*X53+ABS(Y53)*Z53+ABS(AA53)*AB53+ABS(AC53)*AD53+ABS(AE53)*AF53+ABS(AG53)*AH53+ABS(AI53)*AJ53+ABS(AK53)*AL53+ABS(AM53)*AN53+ABS(AO53)*AP53+ABS(AQ53)*AR53+ABS(AS53)*AT53+ABS(AU53)*AV53+ABS(AW53)*AX53+ABS(AY53)*AZ53+ABS(BA53)*BB53+ABS(BC53)*BD53+ABS(BE53)*BF53+ABS(BG53)*BH53+ABS(BI53)*BJ53)</f>
        <v>0</v>
      </c>
      <c r="DG53" s="43" t="n">
        <f aca="false">ABS(BK53)*BL53+ABS(BM53)*BN53+ABS(BO53)*BP53+ABS(BQ53)*BR53+ABS(BS53)*BT53+ABS(BU53)*BV53+ABS(BW53)*BX53+ABS(BY53)*BZ53+ABS(CA53)*CB53+ABS(CC53)*CD53+ABS(CE53)*CF53+ABS(CG53)*CH53+ABS(CI53)*CJ53+ABS(CK53)*CL53+ABS(CM53)*CN53+ABS(CO53)*CP53+ABS(CQ53)*CR53+ABS(CS53)*CT53+ABS(CU53)*CV53+ABS(CW53)*CX53</f>
        <v>0</v>
      </c>
      <c r="DH53" s="43" t="n">
        <f aca="false">((H53-X53)*W53+(H53-Z53)*Y53+(H53-AB53)*AA53+(H53-AD53)*AC53+(H53-AF53)*AE53+(H53-AH53)*AG53+(H53-AJ53)*AI53+(H53-AL53)*AK53+(H53-AN53)*AM53+(H53-AP53)*AO53+(H53-AR53)*AQ53+(H53-AT53)*AS53+(H53-AV53)*AU53+(H53-AX53)*AW53+(H53-AZ53)*AY53+(H53-BB53)*BA53+(H53-BD53)*BC53+(H53-BF53)*BE53+(H53-BH53)*BG53+(H53-BJ53)*BI53)*DD53*DE53</f>
        <v>0</v>
      </c>
      <c r="DI53" s="43" t="n">
        <f aca="false">(((H53-BL53)*BK53+(H53-BN53)*BM53+(H53-BP53)*BO53+(H53-BR53)*BQ53+(H53-BT53)*BS53+(H53-BV53)*BU53+(H53-BX53)*BW53+(H53-BZ53)*BY53+(H53-CB53)*CA53+(H53-CD53)*CC53+(H53-CF53)*CE53+(H53-CH53)*CG53+(H53-CJ53)*CH53+(H53-CL53)*CK53+(H53-CN53)*CM53+(H53-CP53)*CO53+(H53-CR53)*CQ53+(H53-CT53)*CS53+(H53-CV53)*CU53+(H53-CX53)*CW53)*DD53*DE53)</f>
        <v>0</v>
      </c>
      <c r="DK53" s="85" t="n">
        <v>37165</v>
      </c>
      <c r="DL53" s="21" t="n">
        <v>49.552150560462</v>
      </c>
      <c r="DN53" s="21" t="n">
        <v>1</v>
      </c>
      <c r="DR53" s="146" t="n">
        <f aca="false">+VLOOKUP(A53,'NET P&amp;L'!$AH$6:$AK$31,2)</f>
        <v>22</v>
      </c>
    </row>
    <row r="54" customFormat="false" ht="18.75" hidden="false" customHeight="false" outlineLevel="0" collapsed="false">
      <c r="A54" s="147" t="n">
        <f aca="false">'NYISO A'!A54</f>
        <v>37500</v>
      </c>
      <c r="B54" s="119" t="n">
        <f aca="false">+[3]NYZoneG!$L45/16/DR54</f>
        <v>6.24999997502623E-014</v>
      </c>
      <c r="C54" s="148" t="n">
        <f aca="false">CY54</f>
        <v>0</v>
      </c>
      <c r="D54" s="149" t="n">
        <f aca="false">(IF(MONTH(A54)=MONTH(EOMONTH(TradeDate,1)),$AP$70,0)*VLOOKUP(A54,$DK$12:$DN$43,4))</f>
        <v>0</v>
      </c>
      <c r="E54" s="150" t="n">
        <f aca="false">B54+C54+D54</f>
        <v>6.24999997502623E-014</v>
      </c>
      <c r="F54" s="151" t="n">
        <f aca="false">[3]NYZoneG!$C45</f>
        <v>40.75</v>
      </c>
      <c r="G54" s="152" t="n">
        <f aca="false">IF($Q$9,Q54,P54)</f>
        <v>30.25</v>
      </c>
      <c r="H54" s="153" t="n">
        <f aca="false">F54+G54</f>
        <v>71</v>
      </c>
      <c r="I54" s="154" t="n">
        <f aca="false">B54*G54*DD54*DR54</f>
        <v>6.04999997582539E-010</v>
      </c>
      <c r="J54" s="155" t="n">
        <f aca="false">(DH54+DI54)*$DR54</f>
        <v>0</v>
      </c>
      <c r="K54" s="156" t="n">
        <f aca="false">I54+J54</f>
        <v>6.04999997582539E-010</v>
      </c>
      <c r="L54" s="24"/>
      <c r="M54" s="157" t="n">
        <f aca="false">A54</f>
        <v>37500</v>
      </c>
      <c r="N54" s="92" t="n">
        <v>71</v>
      </c>
      <c r="O54" s="92" t="n">
        <v>71</v>
      </c>
      <c r="P54" s="69" t="n">
        <f aca="false">AVERAGE(N54:O54)-F54</f>
        <v>30.25</v>
      </c>
      <c r="Q54" s="70"/>
      <c r="R54" s="91" t="n">
        <f aca="false">H54</f>
        <v>71</v>
      </c>
      <c r="S54" s="24"/>
      <c r="T54" s="24"/>
      <c r="U54" s="131"/>
      <c r="V54" s="158" t="n">
        <f aca="false">A54</f>
        <v>37500</v>
      </c>
      <c r="W54" s="159"/>
      <c r="X54" s="134"/>
      <c r="Y54" s="159"/>
      <c r="Z54" s="134"/>
      <c r="AA54" s="159"/>
      <c r="AB54" s="134"/>
      <c r="AC54" s="77"/>
      <c r="AD54" s="78"/>
      <c r="AE54" s="77"/>
      <c r="AF54" s="78"/>
      <c r="AG54" s="77"/>
      <c r="AH54" s="78"/>
      <c r="AI54" s="77"/>
      <c r="AJ54" s="78"/>
      <c r="AK54" s="77"/>
      <c r="AL54" s="78"/>
      <c r="AM54" s="77"/>
      <c r="AN54" s="78"/>
      <c r="AO54" s="77"/>
      <c r="AP54" s="78"/>
      <c r="AQ54" s="77"/>
      <c r="AR54" s="78"/>
      <c r="AS54" s="77"/>
      <c r="AT54" s="160"/>
      <c r="AU54" s="94"/>
      <c r="AV54" s="95"/>
      <c r="AW54" s="96"/>
      <c r="AX54" s="75"/>
      <c r="AY54" s="81"/>
      <c r="AZ54" s="75"/>
      <c r="BA54" s="81"/>
      <c r="BB54" s="75"/>
      <c r="BC54" s="81"/>
      <c r="BD54" s="75"/>
      <c r="BE54" s="81"/>
      <c r="BF54" s="75"/>
      <c r="BG54" s="81"/>
      <c r="BH54" s="75"/>
      <c r="BI54" s="81"/>
      <c r="BJ54" s="75"/>
      <c r="BK54" s="81"/>
      <c r="BL54" s="75"/>
      <c r="BM54" s="81"/>
      <c r="BN54" s="75"/>
      <c r="BO54" s="81"/>
      <c r="BP54" s="75"/>
      <c r="BQ54" s="81"/>
      <c r="BR54" s="75"/>
      <c r="BS54" s="81"/>
      <c r="BT54" s="75"/>
      <c r="BU54" s="81"/>
      <c r="BV54" s="75"/>
      <c r="BW54" s="81"/>
      <c r="BX54" s="75"/>
      <c r="BY54" s="81"/>
      <c r="BZ54" s="75"/>
      <c r="CA54" s="81"/>
      <c r="CB54" s="75"/>
      <c r="CC54" s="81"/>
      <c r="CD54" s="75"/>
      <c r="CE54" s="81"/>
      <c r="CF54" s="75"/>
      <c r="CG54" s="81"/>
      <c r="CH54" s="75"/>
      <c r="CI54" s="81"/>
      <c r="CJ54" s="75"/>
      <c r="CK54" s="81"/>
      <c r="CL54" s="75"/>
      <c r="CM54" s="81"/>
      <c r="CN54" s="75"/>
      <c r="CO54" s="81"/>
      <c r="CP54" s="75"/>
      <c r="CQ54" s="81"/>
      <c r="CR54" s="75"/>
      <c r="CS54" s="81"/>
      <c r="CT54" s="75"/>
      <c r="CU54" s="81"/>
      <c r="CV54" s="75"/>
      <c r="CW54" s="81"/>
      <c r="CX54" s="75"/>
      <c r="CY54" s="82" t="n">
        <f aca="false">W54+Y54+AA54+AC54+AE54+AG54+AI54+AK54+AM54+AO54+AQ54+AS54+AU54+AW54+AY54+BA54+BC54+BE54+BG54+BI54+BK54+BM54+BO54+BQ54+BS54+BU54+BW54+BY54+CA54+CC54+CE54+CG54+CI54+CK54+CM54+CO54+CQ54+CS54+CU54+CW54</f>
        <v>0</v>
      </c>
      <c r="CZ54" s="83" t="n">
        <f aca="false">IF(AND(CY54=0,DC54=0),0,(DF54+DG54)/DC54)</f>
        <v>0</v>
      </c>
      <c r="DB54" s="85" t="n">
        <f aca="false">V54</f>
        <v>37500</v>
      </c>
      <c r="DC54" s="84" t="n">
        <f aca="false">ABS(W54)+ABS(Y54)+ABS(AA54)+ABS(AC54)+ABS(AE54)+ABS(AG54)+ABS(AI54)+ABS(AK54)+ABS(AM54)+ABS(AO54)+ABS(AQ54)+ABS(AS54)+ABS(AU54)+ABS(AW54)+ABS(AY54)+ABS(BA54)+ABS(BC54)+ABS(BE54)+ABS(BG54)+ABS(BI54)+ABS(BK54)+ABS(BM54)+ABS(BO54)+ABS(BQ54)+ABS(BS54)+ABS(BU54)+ABS(BW54)+ABS(BY54)+ABS(CA54)+ABS(CC54)+ABS(CE54)+ABS(CG54)+ABS(CI54)+ABS(CK54)+ABS(CM54)+ABS(CO54)+ABS(CQ54)+ABS(CS54)+ABS(CU54)+ABS(CW54)</f>
        <v>0</v>
      </c>
      <c r="DD54" s="86" t="n">
        <f aca="false">16</f>
        <v>16</v>
      </c>
      <c r="DE54" s="84" t="n">
        <v>1</v>
      </c>
      <c r="DF54" s="43" t="n">
        <f aca="false">(ABS(W54)*X54+ABS(Y54)*Z54+ABS(AA54)*AB54+ABS(AC54)*AD54+ABS(AE54)*AF54+ABS(AG54)*AH54+ABS(AI54)*AJ54+ABS(AK54)*AL54+ABS(AM54)*AN54+ABS(AO54)*AP54+ABS(AQ54)*AR54+ABS(AS54)*AT54+ABS(AU54)*AV54+ABS(AW54)*AX54+ABS(AY54)*AZ54+ABS(BA54)*BB54+ABS(BC54)*BD54+ABS(BE54)*BF54+ABS(BG54)*BH54+ABS(BI54)*BJ54)</f>
        <v>0</v>
      </c>
      <c r="DG54" s="43" t="n">
        <f aca="false">ABS(BK54)*BL54+ABS(BM54)*BN54+ABS(BO54)*BP54+ABS(BQ54)*BR54+ABS(BS54)*BT54+ABS(BU54)*BV54+ABS(BW54)*BX54+ABS(BY54)*BZ54+ABS(CA54)*CB54+ABS(CC54)*CD54+ABS(CE54)*CF54+ABS(CG54)*CH54+ABS(CI54)*CJ54+ABS(CK54)*CL54+ABS(CM54)*CN54+ABS(CO54)*CP54+ABS(CQ54)*CR54+ABS(CS54)*CT54+ABS(CU54)*CV54+ABS(CW54)*CX54</f>
        <v>0</v>
      </c>
      <c r="DH54" s="43" t="n">
        <f aca="false">((H54-X54)*W54+(H54-Z54)*Y54+(H54-AB54)*AA54+(H54-AD54)*AC54+(H54-AF54)*AE54+(H54-AH54)*AG54+(H54-AJ54)*AI54+(H54-AL54)*AK54+(H54-AN54)*AM54+(H54-AP54)*AO54+(H54-AR54)*AQ54+(H54-AT54)*AS54+(H54-AV54)*AU54+(H54-AX54)*AW54+(H54-AZ54)*AY54+(H54-BB54)*BA54+(H54-BD54)*BC54+(H54-BF54)*BE54+(H54-BH54)*BG54+(H54-BJ54)*BI54)*DD54*DE54</f>
        <v>0</v>
      </c>
      <c r="DI54" s="43" t="n">
        <f aca="false">(((H54-BL54)*BK54+(H54-BN54)*BM54+(H54-BP54)*BO54+(H54-BR54)*BQ54+(H54-BT54)*BS54+(H54-BV54)*BU54+(H54-BX54)*BW54+(H54-BZ54)*BY54+(H54-CB54)*CA54+(H54-CD54)*CC54+(H54-CF54)*CE54+(H54-CH54)*CG54+(H54-CJ54)*CH54+(H54-CL54)*CK54+(H54-CN54)*CM54+(H54-CP54)*CO54+(H54-CR54)*CQ54+(H54-CT54)*CS54+(H54-CV54)*CU54+(H54-CX54)*CW54)*DD54*DE54)</f>
        <v>0</v>
      </c>
      <c r="DK54" s="85" t="n">
        <v>37165</v>
      </c>
      <c r="DL54" s="21" t="n">
        <v>49.552150560462</v>
      </c>
      <c r="DN54" s="21" t="n">
        <v>1</v>
      </c>
      <c r="DR54" s="146" t="n">
        <f aca="false">+VLOOKUP(A54,'NET P&amp;L'!$AH$6:$AK$31,2)</f>
        <v>20</v>
      </c>
    </row>
    <row r="55" customFormat="false" ht="18.75" hidden="false" customHeight="false" outlineLevel="0" collapsed="false">
      <c r="A55" s="147" t="n">
        <f aca="false">'NYISO A'!A55</f>
        <v>37530</v>
      </c>
      <c r="B55" s="119" t="n">
        <f aca="false">+[3]NYZoneG!$L46/16/DR55</f>
        <v>-47.8967868970788</v>
      </c>
      <c r="C55" s="148" t="n">
        <f aca="false">CY55</f>
        <v>0</v>
      </c>
      <c r="D55" s="149" t="n">
        <f aca="false">(IF(MONTH(A55)=MONTH(EOMONTH(TradeDate,1)),$AP$70,0)*VLOOKUP(A55,$DK$12:$DN$43,4))</f>
        <v>0</v>
      </c>
      <c r="E55" s="150" t="n">
        <f aca="false">B55+C55+D55</f>
        <v>-47.8967868970788</v>
      </c>
      <c r="F55" s="151" t="n">
        <f aca="false">[3]NYZoneG!$C46</f>
        <v>40.75</v>
      </c>
      <c r="G55" s="152" t="n">
        <f aca="false">IF($Q$9,Q55,P55)</f>
        <v>1.5</v>
      </c>
      <c r="H55" s="153" t="n">
        <f aca="false">F55+G55</f>
        <v>42.25</v>
      </c>
      <c r="I55" s="154" t="n">
        <f aca="false">B55*G55*DD55*DR55</f>
        <v>-26439.0263671875</v>
      </c>
      <c r="J55" s="155" t="n">
        <f aca="false">(DH55+DI55)*$DR55</f>
        <v>0</v>
      </c>
      <c r="K55" s="156" t="n">
        <f aca="false">I55+J55</f>
        <v>-26439.0263671875</v>
      </c>
      <c r="L55" s="24"/>
      <c r="M55" s="157" t="n">
        <f aca="false">A55</f>
        <v>37530</v>
      </c>
      <c r="N55" s="92" t="n">
        <v>42.25</v>
      </c>
      <c r="O55" s="92" t="n">
        <v>42.25</v>
      </c>
      <c r="P55" s="69" t="n">
        <f aca="false">AVERAGE(N55:O55)-F55</f>
        <v>1.5</v>
      </c>
      <c r="Q55" s="70"/>
      <c r="R55" s="91" t="n">
        <f aca="false">H55</f>
        <v>42.25</v>
      </c>
      <c r="S55" s="24"/>
      <c r="T55" s="24"/>
      <c r="U55" s="131"/>
      <c r="V55" s="158" t="n">
        <f aca="false">A55</f>
        <v>37530</v>
      </c>
      <c r="W55" s="159"/>
      <c r="X55" s="134"/>
      <c r="Y55" s="159"/>
      <c r="Z55" s="134"/>
      <c r="AA55" s="159"/>
      <c r="AB55" s="134"/>
      <c r="AC55" s="77"/>
      <c r="AD55" s="78"/>
      <c r="AE55" s="77"/>
      <c r="AF55" s="78"/>
      <c r="AG55" s="77"/>
      <c r="AH55" s="78"/>
      <c r="AI55" s="77"/>
      <c r="AJ55" s="78"/>
      <c r="AK55" s="77"/>
      <c r="AL55" s="78"/>
      <c r="AM55" s="77"/>
      <c r="AN55" s="78"/>
      <c r="AO55" s="77"/>
      <c r="AP55" s="78"/>
      <c r="AQ55" s="77"/>
      <c r="AR55" s="78"/>
      <c r="AS55" s="77"/>
      <c r="AT55" s="160"/>
      <c r="AU55" s="94"/>
      <c r="AV55" s="95"/>
      <c r="AW55" s="96"/>
      <c r="AX55" s="75"/>
      <c r="AY55" s="81"/>
      <c r="AZ55" s="75"/>
      <c r="BA55" s="81"/>
      <c r="BB55" s="75"/>
      <c r="BC55" s="81"/>
      <c r="BD55" s="75"/>
      <c r="BE55" s="81"/>
      <c r="BF55" s="75"/>
      <c r="BG55" s="81"/>
      <c r="BH55" s="75"/>
      <c r="BI55" s="81"/>
      <c r="BJ55" s="75"/>
      <c r="BK55" s="81"/>
      <c r="BL55" s="75"/>
      <c r="BM55" s="81"/>
      <c r="BN55" s="75"/>
      <c r="BO55" s="81"/>
      <c r="BP55" s="75"/>
      <c r="BQ55" s="81"/>
      <c r="BR55" s="75"/>
      <c r="BS55" s="81"/>
      <c r="BT55" s="75"/>
      <c r="BU55" s="81"/>
      <c r="BV55" s="75"/>
      <c r="BW55" s="81"/>
      <c r="BX55" s="75"/>
      <c r="BY55" s="81"/>
      <c r="BZ55" s="75"/>
      <c r="CA55" s="81"/>
      <c r="CB55" s="75"/>
      <c r="CC55" s="81"/>
      <c r="CD55" s="75"/>
      <c r="CE55" s="81"/>
      <c r="CF55" s="75"/>
      <c r="CG55" s="81"/>
      <c r="CH55" s="75"/>
      <c r="CI55" s="81"/>
      <c r="CJ55" s="75"/>
      <c r="CK55" s="81"/>
      <c r="CL55" s="75"/>
      <c r="CM55" s="81"/>
      <c r="CN55" s="75"/>
      <c r="CO55" s="81"/>
      <c r="CP55" s="75"/>
      <c r="CQ55" s="81"/>
      <c r="CR55" s="75"/>
      <c r="CS55" s="81"/>
      <c r="CT55" s="75"/>
      <c r="CU55" s="81"/>
      <c r="CV55" s="75"/>
      <c r="CW55" s="81"/>
      <c r="CX55" s="75"/>
      <c r="CY55" s="82" t="n">
        <f aca="false">W55+Y55+AA55+AC55+AE55+AG55+AI55+AK55+AM55+AO55+AQ55+AS55+AU55+AW55+AY55+BA55+BC55+BE55+BG55+BI55+BK55+BM55+BO55+BQ55+BS55+BU55+BW55+BY55+CA55+CC55+CE55+CG55+CI55+CK55+CM55+CO55+CQ55+CS55+CU55+CW55</f>
        <v>0</v>
      </c>
      <c r="CZ55" s="83" t="n">
        <f aca="false">IF(AND(CY55=0,DC55=0),0,(DF55+DG55)/DC55)</f>
        <v>0</v>
      </c>
      <c r="DB55" s="85" t="n">
        <f aca="false">V55</f>
        <v>37530</v>
      </c>
      <c r="DC55" s="84" t="n">
        <f aca="false">ABS(W55)+ABS(Y55)+ABS(AA55)+ABS(AC55)+ABS(AE55)+ABS(AG55)+ABS(AI55)+ABS(AK55)+ABS(AM55)+ABS(AO55)+ABS(AQ55)+ABS(AS55)+ABS(AU55)+ABS(AW55)+ABS(AY55)+ABS(BA55)+ABS(BC55)+ABS(BE55)+ABS(BG55)+ABS(BI55)+ABS(BK55)+ABS(BM55)+ABS(BO55)+ABS(BQ55)+ABS(BS55)+ABS(BU55)+ABS(BW55)+ABS(BY55)+ABS(CA55)+ABS(CC55)+ABS(CE55)+ABS(CG55)+ABS(CI55)+ABS(CK55)+ABS(CM55)+ABS(CO55)+ABS(CQ55)+ABS(CS55)+ABS(CU55)+ABS(CW55)</f>
        <v>0</v>
      </c>
      <c r="DD55" s="86" t="n">
        <f aca="false">16</f>
        <v>16</v>
      </c>
      <c r="DE55" s="84" t="n">
        <v>1</v>
      </c>
      <c r="DF55" s="43" t="n">
        <f aca="false">(ABS(W55)*X55+ABS(Y55)*Z55+ABS(AA55)*AB55+ABS(AC55)*AD55+ABS(AE55)*AF55+ABS(AG55)*AH55+ABS(AI55)*AJ55+ABS(AK55)*AL55+ABS(AM55)*AN55+ABS(AO55)*AP55+ABS(AQ55)*AR55+ABS(AS55)*AT55+ABS(AU55)*AV55+ABS(AW55)*AX55+ABS(AY55)*AZ55+ABS(BA55)*BB55+ABS(BC55)*BD55+ABS(BE55)*BF55+ABS(BG55)*BH55+ABS(BI55)*BJ55)</f>
        <v>0</v>
      </c>
      <c r="DG55" s="43" t="n">
        <f aca="false">ABS(BK55)*BL55+ABS(BM55)*BN55+ABS(BO55)*BP55+ABS(BQ55)*BR55+ABS(BS55)*BT55+ABS(BU55)*BV55+ABS(BW55)*BX55+ABS(BY55)*BZ55+ABS(CA55)*CB55+ABS(CC55)*CD55+ABS(CE55)*CF55+ABS(CG55)*CH55+ABS(CI55)*CJ55+ABS(CK55)*CL55+ABS(CM55)*CN55+ABS(CO55)*CP55+ABS(CQ55)*CR55+ABS(CS55)*CT55+ABS(CU55)*CV55+ABS(CW55)*CX55</f>
        <v>0</v>
      </c>
      <c r="DH55" s="43" t="n">
        <f aca="false">((H55-X55)*W55+(H55-Z55)*Y55+(H55-AB55)*AA55+(H55-AD55)*AC55+(H55-AF55)*AE55+(H55-AH55)*AG55+(H55-AJ55)*AI55+(H55-AL55)*AK55+(H55-AN55)*AM55+(H55-AP55)*AO55+(H55-AR55)*AQ55+(H55-AT55)*AS55+(H55-AV55)*AU55+(H55-AX55)*AW55+(H55-AZ55)*AY55+(H55-BB55)*BA55+(H55-BD55)*BC55+(H55-BF55)*BE55+(H55-BH55)*BG55+(H55-BJ55)*BI55)*DD55*DE55</f>
        <v>0</v>
      </c>
      <c r="DI55" s="43" t="n">
        <f aca="false">(((H55-BL55)*BK55+(H55-BN55)*BM55+(H55-BP55)*BO55+(H55-BR55)*BQ55+(H55-BT55)*BS55+(H55-BV55)*BU55+(H55-BX55)*BW55+(H55-BZ55)*BY55+(H55-CB55)*CA55+(H55-CD55)*CC55+(H55-CF55)*CE55+(H55-CH55)*CG55+(H55-CJ55)*CH55+(H55-CL55)*CK55+(H55-CN55)*CM55+(H55-CP55)*CO55+(H55-CR55)*CQ55+(H55-CT55)*CS55+(H55-CV55)*CU55+(H55-CX55)*CW55)*DD55*DE55)</f>
        <v>0</v>
      </c>
      <c r="DK55" s="85" t="n">
        <v>37165</v>
      </c>
      <c r="DL55" s="21" t="n">
        <v>49.552150560462</v>
      </c>
      <c r="DN55" s="21" t="n">
        <v>1</v>
      </c>
      <c r="DR55" s="146" t="n">
        <f aca="false">+VLOOKUP(A55,'NET P&amp;L'!$AH$6:$AK$31,2)</f>
        <v>23</v>
      </c>
    </row>
    <row r="56" customFormat="false" ht="18.75" hidden="false" customHeight="false" outlineLevel="0" collapsed="false">
      <c r="A56" s="147" t="n">
        <f aca="false">'NYISO A'!A56</f>
        <v>37561</v>
      </c>
      <c r="B56" s="119" t="n">
        <f aca="false">+[3]NYZoneG!$L47/16/DR56</f>
        <v>-47.7370330810547</v>
      </c>
      <c r="C56" s="148" t="n">
        <f aca="false">CY56</f>
        <v>0</v>
      </c>
      <c r="D56" s="149" t="n">
        <f aca="false">(IF(MONTH(A56)=MONTH(EOMONTH(TradeDate,1)),$AP$70,0)*VLOOKUP(A56,$DK$12:$DN$43,4))</f>
        <v>0</v>
      </c>
      <c r="E56" s="150" t="n">
        <f aca="false">B56+C56+D56</f>
        <v>-47.7370330810547</v>
      </c>
      <c r="F56" s="151" t="n">
        <f aca="false">[3]NYZoneG!$C47</f>
        <v>40.75</v>
      </c>
      <c r="G56" s="152" t="n">
        <f aca="false">IF($Q$9,Q56,P56)</f>
        <v>1.5</v>
      </c>
      <c r="H56" s="153" t="n">
        <f aca="false">F56+G56</f>
        <v>42.25</v>
      </c>
      <c r="I56" s="154" t="n">
        <f aca="false">B56*G56*DD56*DR56</f>
        <v>-22913.7758789063</v>
      </c>
      <c r="J56" s="155" t="n">
        <f aca="false">(DH56+DI56)*$DR56</f>
        <v>0</v>
      </c>
      <c r="K56" s="156" t="n">
        <f aca="false">I56+J56</f>
        <v>-22913.7758789063</v>
      </c>
      <c r="L56" s="256"/>
      <c r="M56" s="157" t="n">
        <f aca="false">A56</f>
        <v>37561</v>
      </c>
      <c r="N56" s="92" t="n">
        <v>42.25</v>
      </c>
      <c r="O56" s="92" t="n">
        <v>42.25</v>
      </c>
      <c r="P56" s="69" t="n">
        <f aca="false">AVERAGE(N56:O56)-F56</f>
        <v>1.5</v>
      </c>
      <c r="Q56" s="70"/>
      <c r="R56" s="91" t="n">
        <f aca="false">H56</f>
        <v>42.25</v>
      </c>
      <c r="S56" s="256"/>
      <c r="T56" s="256"/>
      <c r="U56" s="270"/>
      <c r="V56" s="157" t="n">
        <f aca="false">A56</f>
        <v>37561</v>
      </c>
      <c r="W56" s="271"/>
      <c r="X56" s="272"/>
      <c r="Y56" s="271"/>
      <c r="Z56" s="272"/>
      <c r="AA56" s="271"/>
      <c r="AB56" s="272"/>
      <c r="AC56" s="108"/>
      <c r="AD56" s="110"/>
      <c r="AE56" s="108"/>
      <c r="AF56" s="110"/>
      <c r="AG56" s="108"/>
      <c r="AH56" s="110"/>
      <c r="AI56" s="108"/>
      <c r="AJ56" s="110"/>
      <c r="AK56" s="108"/>
      <c r="AL56" s="110"/>
      <c r="AM56" s="108"/>
      <c r="AN56" s="110"/>
      <c r="AO56" s="108"/>
      <c r="AP56" s="110"/>
      <c r="AQ56" s="108"/>
      <c r="AR56" s="110"/>
      <c r="AS56" s="108"/>
      <c r="AT56" s="273"/>
      <c r="AU56" s="111"/>
      <c r="AV56" s="112"/>
      <c r="AW56" s="266"/>
      <c r="AX56" s="114"/>
      <c r="AY56" s="113"/>
      <c r="AZ56" s="114"/>
      <c r="BA56" s="113"/>
      <c r="BB56" s="114"/>
      <c r="BC56" s="113"/>
      <c r="BD56" s="114"/>
      <c r="BE56" s="113"/>
      <c r="BF56" s="114"/>
      <c r="BG56" s="113"/>
      <c r="BH56" s="114"/>
      <c r="BI56" s="113"/>
      <c r="BJ56" s="114"/>
      <c r="BK56" s="113"/>
      <c r="BL56" s="114"/>
      <c r="BM56" s="113"/>
      <c r="BN56" s="114"/>
      <c r="BO56" s="113"/>
      <c r="BP56" s="114"/>
      <c r="BQ56" s="113"/>
      <c r="BR56" s="114"/>
      <c r="BS56" s="113"/>
      <c r="BT56" s="114"/>
      <c r="BU56" s="113"/>
      <c r="BV56" s="114"/>
      <c r="BW56" s="113"/>
      <c r="BX56" s="114"/>
      <c r="BY56" s="113"/>
      <c r="BZ56" s="114"/>
      <c r="CA56" s="113"/>
      <c r="CB56" s="114"/>
      <c r="CC56" s="113"/>
      <c r="CD56" s="114"/>
      <c r="CE56" s="113"/>
      <c r="CF56" s="114"/>
      <c r="CG56" s="113"/>
      <c r="CH56" s="114"/>
      <c r="CI56" s="113"/>
      <c r="CJ56" s="114"/>
      <c r="CK56" s="113"/>
      <c r="CL56" s="114"/>
      <c r="CM56" s="113"/>
      <c r="CN56" s="114"/>
      <c r="CO56" s="113"/>
      <c r="CP56" s="114"/>
      <c r="CQ56" s="113"/>
      <c r="CR56" s="114"/>
      <c r="CS56" s="113"/>
      <c r="CT56" s="114"/>
      <c r="CU56" s="113"/>
      <c r="CV56" s="114"/>
      <c r="CW56" s="113"/>
      <c r="CX56" s="114"/>
      <c r="CY56" s="115" t="n">
        <f aca="false">W56+Y56+AA56+AC56+AE56+AG56+AI56+AK56+AM56+AO56+AQ56+AS56+AU56+AW56+AY56+BA56+BC56+BE56+BG56+BI56+BK56+BM56+BO56+BQ56+BS56+BU56+BW56+BY56+CA56+CC56+CE56+CG56+CI56+CK56+CM56+CO56+CQ56+CS56+CU56+CW56</f>
        <v>0</v>
      </c>
      <c r="CZ56" s="116" t="n">
        <f aca="false">IF(AND(CY56=0,DC56=0),0,(DF56+DG56)/DC56)</f>
        <v>0</v>
      </c>
      <c r="DA56" s="173"/>
      <c r="DB56" s="174" t="n">
        <f aca="false">V56</f>
        <v>37561</v>
      </c>
      <c r="DC56" s="175" t="n">
        <f aca="false">ABS(W56)+ABS(Y56)+ABS(AA56)+ABS(AC56)+ABS(AE56)+ABS(AG56)+ABS(AI56)+ABS(AK56)+ABS(AM56)+ABS(AO56)+ABS(AQ56)+ABS(AS56)+ABS(AU56)+ABS(AW56)+ABS(AY56)+ABS(BA56)+ABS(BC56)+ABS(BE56)+ABS(BG56)+ABS(BI56)+ABS(BK56)+ABS(BM56)+ABS(BO56)+ABS(BQ56)+ABS(BS56)+ABS(BU56)+ABS(BW56)+ABS(BY56)+ABS(CA56)+ABS(CC56)+ABS(CE56)+ABS(CG56)+ABS(CI56)+ABS(CK56)+ABS(CM56)+ABS(CO56)+ABS(CQ56)+ABS(CS56)+ABS(CU56)+ABS(CW56)</f>
        <v>0</v>
      </c>
      <c r="DD56" s="86" t="n">
        <f aca="false">16</f>
        <v>16</v>
      </c>
      <c r="DE56" s="175" t="n">
        <v>1</v>
      </c>
      <c r="DF56" s="43" t="n">
        <f aca="false">(ABS(W56)*X56+ABS(Y56)*Z56+ABS(AA56)*AB56+ABS(AC56)*AD56+ABS(AE56)*AF56+ABS(AG56)*AH56+ABS(AI56)*AJ56+ABS(AK56)*AL56+ABS(AM56)*AN56+ABS(AO56)*AP56+ABS(AQ56)*AR56+ABS(AS56)*AT56+ABS(AU56)*AV56+ABS(AW56)*AX56+ABS(AY56)*AZ56+ABS(BA56)*BB56+ABS(BC56)*BD56+ABS(BE56)*BF56+ABS(BG56)*BH56+ABS(BI56)*BJ56)</f>
        <v>0</v>
      </c>
      <c r="DG56" s="43" t="n">
        <f aca="false">ABS(BK56)*BL56+ABS(BM56)*BN56+ABS(BO56)*BP56+ABS(BQ56)*BR56+ABS(BS56)*BT56+ABS(BU56)*BV56+ABS(BW56)*BX56+ABS(BY56)*BZ56+ABS(CA56)*CB56+ABS(CC56)*CD56+ABS(CE56)*CF56+ABS(CG56)*CH56+ABS(CI56)*CJ56+ABS(CK56)*CL56+ABS(CM56)*CN56+ABS(CO56)*CP56+ABS(CQ56)*CR56+ABS(CS56)*CT56+ABS(CU56)*CV56+ABS(CW56)*CX56</f>
        <v>0</v>
      </c>
      <c r="DH56" s="43" t="n">
        <f aca="false">((H56-X56)*W56+(H56-Z56)*Y56+(H56-AB56)*AA56+(H56-AD56)*AC56+(H56-AF56)*AE56+(H56-AH56)*AG56+(H56-AJ56)*AI56+(H56-AL56)*AK56+(H56-AN56)*AM56+(H56-AP56)*AO56+(H56-AR56)*AQ56+(H56-AT56)*AS56+(H56-AV56)*AU56+(H56-AX56)*AW56+(H56-AZ56)*AY56+(H56-BB56)*BA56+(H56-BD56)*BC56+(H56-BF56)*BE56+(H56-BH56)*BG56+(H56-BJ56)*BI56)*DD56*DE56</f>
        <v>0</v>
      </c>
      <c r="DI56" s="43" t="n">
        <f aca="false">(((H56-BL56)*BK56+(H56-BN56)*BM56+(H56-BP56)*BO56+(H56-BR56)*BQ56+(H56-BT56)*BS56+(H56-BV56)*BU56+(H56-BX56)*BW56+(H56-BZ56)*BY56+(H56-CB56)*CA56+(H56-CD56)*CC56+(H56-CF56)*CE56+(H56-CH56)*CG56+(H56-CJ56)*CH56+(H56-CL56)*CK56+(H56-CN56)*CM56+(H56-CP56)*CO56+(H56-CR56)*CQ56+(H56-CT56)*CS56+(H56-CV56)*CU56+(H56-CX56)*CW56)*DD56*DE56)</f>
        <v>0</v>
      </c>
      <c r="DK56" s="85" t="n">
        <v>37165</v>
      </c>
      <c r="DL56" s="21" t="n">
        <v>49.552150560462</v>
      </c>
      <c r="DN56" s="21" t="n">
        <v>1</v>
      </c>
      <c r="DO56" s="173"/>
      <c r="DP56" s="173"/>
      <c r="DQ56" s="173"/>
      <c r="DR56" s="146" t="n">
        <f aca="false">+VLOOKUP(A56,'NET P&amp;L'!$AH$6:$AK$31,2)</f>
        <v>20</v>
      </c>
    </row>
    <row r="57" customFormat="false" ht="18.75" hidden="false" customHeight="false" outlineLevel="0" collapsed="false">
      <c r="A57" s="147" t="n">
        <f aca="false">'NYISO A'!A57</f>
        <v>37591</v>
      </c>
      <c r="B57" s="119" t="n">
        <v>-48</v>
      </c>
      <c r="C57" s="148" t="n">
        <f aca="false">CY57</f>
        <v>0</v>
      </c>
      <c r="D57" s="149" t="n">
        <f aca="false">(IF(MONTH(A57)=MONTH(EOMONTH(TradeDate,1)),$AP$70,0)*VLOOKUP(A57,$DK$12:$DN$43,4))</f>
        <v>0</v>
      </c>
      <c r="E57" s="150" t="n">
        <f aca="false">B57+C57+D57</f>
        <v>-48</v>
      </c>
      <c r="F57" s="151" t="n">
        <v>40.75</v>
      </c>
      <c r="G57" s="152" t="n">
        <f aca="false">IF($Q$9,Q57,P57)</f>
        <v>1.5</v>
      </c>
      <c r="H57" s="153" t="n">
        <f aca="false">F57+G57</f>
        <v>42.25</v>
      </c>
      <c r="I57" s="154" t="n">
        <f aca="false">B57*G57*DD57*DR57</f>
        <v>-24192</v>
      </c>
      <c r="J57" s="155" t="n">
        <f aca="false">(DH57+DI57)*$DR57</f>
        <v>0</v>
      </c>
      <c r="K57" s="156" t="n">
        <f aca="false">I57+J57</f>
        <v>-24192</v>
      </c>
      <c r="L57" s="256"/>
      <c r="M57" s="157" t="n">
        <f aca="false">A57</f>
        <v>37591</v>
      </c>
      <c r="N57" s="92" t="n">
        <v>42.25</v>
      </c>
      <c r="O57" s="92" t="n">
        <v>42.25</v>
      </c>
      <c r="P57" s="69" t="n">
        <f aca="false">AVERAGE(N57:O57)-F57</f>
        <v>1.5</v>
      </c>
      <c r="Q57" s="70"/>
      <c r="R57" s="91" t="n">
        <f aca="false">H57</f>
        <v>42.25</v>
      </c>
      <c r="S57" s="256"/>
      <c r="T57" s="256"/>
      <c r="U57" s="270"/>
      <c r="V57" s="157" t="n">
        <f aca="false">A57</f>
        <v>37591</v>
      </c>
      <c r="W57" s="271"/>
      <c r="X57" s="272"/>
      <c r="Y57" s="271"/>
      <c r="Z57" s="272"/>
      <c r="AA57" s="271"/>
      <c r="AB57" s="272"/>
      <c r="AC57" s="108"/>
      <c r="AD57" s="110"/>
      <c r="AE57" s="108"/>
      <c r="AF57" s="110"/>
      <c r="AG57" s="108"/>
      <c r="AH57" s="110"/>
      <c r="AI57" s="108"/>
      <c r="AJ57" s="110"/>
      <c r="AK57" s="108"/>
      <c r="AL57" s="110"/>
      <c r="AM57" s="108"/>
      <c r="AN57" s="110"/>
      <c r="AO57" s="108"/>
      <c r="AP57" s="110"/>
      <c r="AQ57" s="108"/>
      <c r="AR57" s="110"/>
      <c r="AS57" s="108"/>
      <c r="AT57" s="273"/>
      <c r="AU57" s="111"/>
      <c r="AV57" s="112"/>
      <c r="AW57" s="266"/>
      <c r="AX57" s="114"/>
      <c r="AY57" s="113"/>
      <c r="AZ57" s="114"/>
      <c r="BA57" s="113"/>
      <c r="BB57" s="114"/>
      <c r="BC57" s="113"/>
      <c r="BD57" s="114"/>
      <c r="BE57" s="113"/>
      <c r="BF57" s="114"/>
      <c r="BG57" s="113"/>
      <c r="BH57" s="114"/>
      <c r="BI57" s="113"/>
      <c r="BJ57" s="114"/>
      <c r="BK57" s="113"/>
      <c r="BL57" s="114"/>
      <c r="BM57" s="113"/>
      <c r="BN57" s="114"/>
      <c r="BO57" s="113"/>
      <c r="BP57" s="114"/>
      <c r="BQ57" s="113"/>
      <c r="BR57" s="114"/>
      <c r="BS57" s="113"/>
      <c r="BT57" s="114"/>
      <c r="BU57" s="113"/>
      <c r="BV57" s="114"/>
      <c r="BW57" s="113"/>
      <c r="BX57" s="114"/>
      <c r="BY57" s="113"/>
      <c r="BZ57" s="114"/>
      <c r="CA57" s="113"/>
      <c r="CB57" s="114"/>
      <c r="CC57" s="113"/>
      <c r="CD57" s="114"/>
      <c r="CE57" s="113"/>
      <c r="CF57" s="114"/>
      <c r="CG57" s="113"/>
      <c r="CH57" s="114"/>
      <c r="CI57" s="113"/>
      <c r="CJ57" s="114"/>
      <c r="CK57" s="113"/>
      <c r="CL57" s="114"/>
      <c r="CM57" s="113"/>
      <c r="CN57" s="114"/>
      <c r="CO57" s="113"/>
      <c r="CP57" s="114"/>
      <c r="CQ57" s="113"/>
      <c r="CR57" s="114"/>
      <c r="CS57" s="113"/>
      <c r="CT57" s="114"/>
      <c r="CU57" s="113"/>
      <c r="CV57" s="114"/>
      <c r="CW57" s="113"/>
      <c r="CX57" s="114"/>
      <c r="CY57" s="115" t="n">
        <f aca="false">W57+Y57+AA57+AC57+AE57+AG57+AI57+AK57+AM57+AO57+AQ57+AS57+AU57+AW57+AY57+BA57+BC57+BE57+BG57+BI57+BK57+BM57+BO57+BQ57+BS57+BU57+BW57+BY57+CA57+CC57+CE57+CG57+CI57+CK57+CM57+CO57+CQ57+CS57+CU57+CW57</f>
        <v>0</v>
      </c>
      <c r="CZ57" s="116" t="n">
        <f aca="false">IF(AND(CY57=0,DC57=0),0,(DF57+DG57)/DC57)</f>
        <v>0</v>
      </c>
      <c r="DA57" s="173"/>
      <c r="DB57" s="174" t="n">
        <f aca="false">V57</f>
        <v>37591</v>
      </c>
      <c r="DC57" s="175" t="n">
        <f aca="false">ABS(W57)+ABS(Y57)+ABS(AA57)+ABS(AC57)+ABS(AE57)+ABS(AG57)+ABS(AI57)+ABS(AK57)+ABS(AM57)+ABS(AO57)+ABS(AQ57)+ABS(AS57)+ABS(AU57)+ABS(AW57)+ABS(AY57)+ABS(BA57)+ABS(BC57)+ABS(BE57)+ABS(BG57)+ABS(BI57)+ABS(BK57)+ABS(BM57)+ABS(BO57)+ABS(BQ57)+ABS(BS57)+ABS(BU57)+ABS(BW57)+ABS(BY57)+ABS(CA57)+ABS(CC57)+ABS(CE57)+ABS(CG57)+ABS(CI57)+ABS(CK57)+ABS(CM57)+ABS(CO57)+ABS(CQ57)+ABS(CS57)+ABS(CU57)+ABS(CW57)</f>
        <v>0</v>
      </c>
      <c r="DD57" s="86" t="n">
        <f aca="false">16</f>
        <v>16</v>
      </c>
      <c r="DE57" s="175" t="n">
        <v>1</v>
      </c>
      <c r="DF57" s="43" t="n">
        <f aca="false">(ABS(W57)*X57+ABS(Y57)*Z57+ABS(AA57)*AB57+ABS(AC57)*AD57+ABS(AE57)*AF57+ABS(AG57)*AH57+ABS(AI57)*AJ57+ABS(AK57)*AL57+ABS(AM57)*AN57+ABS(AO57)*AP57+ABS(AQ57)*AR57+ABS(AS57)*AT57+ABS(AU57)*AV57+ABS(AW57)*AX57+ABS(AY57)*AZ57+ABS(BA57)*BB57+ABS(BC57)*BD57+ABS(BE57)*BF57+ABS(BG57)*BH57+ABS(BI57)*BJ57)</f>
        <v>0</v>
      </c>
      <c r="DG57" s="43" t="n">
        <f aca="false">ABS(BK57)*BL57+ABS(BM57)*BN57+ABS(BO57)*BP57+ABS(BQ57)*BR57+ABS(BS57)*BT57+ABS(BU57)*BV57+ABS(BW57)*BX57+ABS(BY57)*BZ57+ABS(CA57)*CB57+ABS(CC57)*CD57+ABS(CE57)*CF57+ABS(CG57)*CH57+ABS(CI57)*CJ57+ABS(CK57)*CL57+ABS(CM57)*CN57+ABS(CO57)*CP57+ABS(CQ57)*CR57+ABS(CS57)*CT57+ABS(CU57)*CV57+ABS(CW57)*CX57</f>
        <v>0</v>
      </c>
      <c r="DH57" s="43" t="n">
        <f aca="false">((H57-X57)*W57+(H57-Z57)*Y57+(H57-AB57)*AA57+(H57-AD57)*AC57+(H57-AF57)*AE57+(H57-AH57)*AG57+(H57-AJ57)*AI57+(H57-AL57)*AK57+(H57-AN57)*AM57+(H57-AP57)*AO57+(H57-AR57)*AQ57+(H57-AT57)*AS57+(H57-AV57)*AU57+(H57-AX57)*AW57+(H57-AZ57)*AY57+(H57-BB57)*BA57+(H57-BD57)*BC57+(H57-BF57)*BE57+(H57-BH57)*BG57+(H57-BJ57)*BI57)*DD57*DE57</f>
        <v>0</v>
      </c>
      <c r="DI57" s="43" t="n">
        <f aca="false">(((H57-BL57)*BK57+(H57-BN57)*BM57+(H57-BP57)*BO57+(H57-BR57)*BQ57+(H57-BT57)*BS57+(H57-BV57)*BU57+(H57-BX57)*BW57+(H57-BZ57)*BY57+(H57-CB57)*CA57+(H57-CD57)*CC57+(H57-CF57)*CE57+(H57-CH57)*CG57+(H57-CJ57)*CH57+(H57-CL57)*CK57+(H57-CN57)*CM57+(H57-CP57)*CO57+(H57-CR57)*CQ57+(H57-CT57)*CS57+(H57-CV57)*CU57+(H57-CX57)*CW57)*DD57*DE57)</f>
        <v>0</v>
      </c>
      <c r="DK57" s="85" t="n">
        <v>37165</v>
      </c>
      <c r="DL57" s="21" t="n">
        <v>49.552150560462</v>
      </c>
      <c r="DN57" s="21" t="n">
        <v>1</v>
      </c>
      <c r="DO57" s="173"/>
      <c r="DP57" s="173"/>
      <c r="DQ57" s="173"/>
      <c r="DR57" s="146" t="n">
        <f aca="false">+VLOOKUP(A57,'NET P&amp;L'!$AH$6:$AK$31,2)</f>
        <v>21</v>
      </c>
    </row>
    <row r="58" customFormat="false" ht="18.75" hidden="false" customHeight="false" outlineLevel="0" collapsed="false">
      <c r="A58" s="147" t="n">
        <f aca="false">'NYISO A'!A58</f>
        <v>37622</v>
      </c>
      <c r="B58" s="119" t="n">
        <f aca="false">+[3]NYZoneG!$L49/16/DR58</f>
        <v>0</v>
      </c>
      <c r="C58" s="148" t="n">
        <f aca="false">CY58</f>
        <v>0</v>
      </c>
      <c r="D58" s="149" t="n">
        <f aca="false">(IF(MONTH(A58)=MONTH(EOMONTH(TradeDate,1)),$AP$70,0)*VLOOKUP(A58,$DK$12:$DN$43,4))</f>
        <v>0</v>
      </c>
      <c r="E58" s="150" t="n">
        <f aca="false">B58+C58+D58</f>
        <v>0</v>
      </c>
      <c r="F58" s="151" t="n">
        <f aca="false">[3]NYZoneG!$C49</f>
        <v>0</v>
      </c>
      <c r="G58" s="152" t="n">
        <f aca="false">IF($Q$9,Q58,P58)</f>
        <v>55.5</v>
      </c>
      <c r="H58" s="153" t="n">
        <f aca="false">F58+G58</f>
        <v>55.5</v>
      </c>
      <c r="I58" s="154" t="n">
        <f aca="false">B58*G58*DD58*DR58</f>
        <v>0</v>
      </c>
      <c r="J58" s="155" t="n">
        <f aca="false">(DH58+DI58)*$DR58</f>
        <v>0</v>
      </c>
      <c r="K58" s="156" t="n">
        <f aca="false">I58+J58</f>
        <v>0</v>
      </c>
      <c r="L58" s="256"/>
      <c r="M58" s="157" t="n">
        <f aca="false">A58</f>
        <v>37622</v>
      </c>
      <c r="N58" s="92" t="n">
        <v>55.5</v>
      </c>
      <c r="O58" s="92" t="n">
        <v>55.5</v>
      </c>
      <c r="P58" s="69" t="n">
        <f aca="false">AVERAGE(N58:O58)-F58</f>
        <v>55.5</v>
      </c>
      <c r="Q58" s="70"/>
      <c r="R58" s="91" t="n">
        <f aca="false">H58</f>
        <v>55.5</v>
      </c>
      <c r="S58" s="256"/>
      <c r="T58" s="256"/>
      <c r="U58" s="270"/>
      <c r="V58" s="157" t="n">
        <f aca="false">A58</f>
        <v>37622</v>
      </c>
      <c r="W58" s="271"/>
      <c r="X58" s="272"/>
      <c r="Y58" s="271"/>
      <c r="Z58" s="272"/>
      <c r="AA58" s="271"/>
      <c r="AB58" s="272"/>
      <c r="AC58" s="108"/>
      <c r="AD58" s="110"/>
      <c r="AE58" s="108"/>
      <c r="AF58" s="110"/>
      <c r="AG58" s="108"/>
      <c r="AH58" s="110"/>
      <c r="AI58" s="108"/>
      <c r="AJ58" s="110"/>
      <c r="AK58" s="108"/>
      <c r="AL58" s="110"/>
      <c r="AM58" s="108"/>
      <c r="AN58" s="110"/>
      <c r="AO58" s="108"/>
      <c r="AP58" s="110"/>
      <c r="AQ58" s="108"/>
      <c r="AR58" s="110"/>
      <c r="AS58" s="108"/>
      <c r="AT58" s="273"/>
      <c r="AU58" s="111"/>
      <c r="AV58" s="112"/>
      <c r="AW58" s="266"/>
      <c r="AX58" s="114"/>
      <c r="AY58" s="113"/>
      <c r="AZ58" s="114"/>
      <c r="BA58" s="113"/>
      <c r="BB58" s="114"/>
      <c r="BC58" s="113"/>
      <c r="BD58" s="114"/>
      <c r="BE58" s="113"/>
      <c r="BF58" s="114"/>
      <c r="BG58" s="113"/>
      <c r="BH58" s="114"/>
      <c r="BI58" s="113"/>
      <c r="BJ58" s="114"/>
      <c r="BK58" s="113"/>
      <c r="BL58" s="114"/>
      <c r="BM58" s="113"/>
      <c r="BN58" s="114"/>
      <c r="BO58" s="113"/>
      <c r="BP58" s="114"/>
      <c r="BQ58" s="113"/>
      <c r="BR58" s="114"/>
      <c r="BS58" s="113"/>
      <c r="BT58" s="114"/>
      <c r="BU58" s="113"/>
      <c r="BV58" s="114"/>
      <c r="BW58" s="113"/>
      <c r="BX58" s="114"/>
      <c r="BY58" s="113"/>
      <c r="BZ58" s="114"/>
      <c r="CA58" s="113"/>
      <c r="CB58" s="114"/>
      <c r="CC58" s="113"/>
      <c r="CD58" s="114"/>
      <c r="CE58" s="113"/>
      <c r="CF58" s="114"/>
      <c r="CG58" s="113"/>
      <c r="CH58" s="114"/>
      <c r="CI58" s="113"/>
      <c r="CJ58" s="114"/>
      <c r="CK58" s="113"/>
      <c r="CL58" s="114"/>
      <c r="CM58" s="113"/>
      <c r="CN58" s="114"/>
      <c r="CO58" s="113"/>
      <c r="CP58" s="114"/>
      <c r="CQ58" s="113"/>
      <c r="CR58" s="114"/>
      <c r="CS58" s="113"/>
      <c r="CT58" s="114"/>
      <c r="CU58" s="113"/>
      <c r="CV58" s="114"/>
      <c r="CW58" s="113"/>
      <c r="CX58" s="114"/>
      <c r="CY58" s="115" t="n">
        <f aca="false">W58+Y58+AA58+AC58+AE58+AG58+AI58+AK58+AM58+AO58+AQ58+AS58+AU58+AW58+AY58+BA58+BC58+BE58+BG58+BI58+BK58+BM58+BO58+BQ58+BS58+BU58+BW58+BY58+CA58+CC58+CE58+CG58+CI58+CK58+CM58+CO58+CQ58+CS58+CU58+CW58</f>
        <v>0</v>
      </c>
      <c r="CZ58" s="116" t="n">
        <f aca="false">IF(AND(CY58=0,DC58=0),0,(DF58+DG58)/DC58)</f>
        <v>0</v>
      </c>
      <c r="DA58" s="173"/>
      <c r="DB58" s="174" t="n">
        <f aca="false">V58</f>
        <v>37622</v>
      </c>
      <c r="DC58" s="175" t="n">
        <f aca="false">ABS(W58)+ABS(Y58)+ABS(AA58)+ABS(AC58)+ABS(AE58)+ABS(AG58)+ABS(AI58)+ABS(AK58)+ABS(AM58)+ABS(AO58)+ABS(AQ58)+ABS(AS58)+ABS(AU58)+ABS(AW58)+ABS(AY58)+ABS(BA58)+ABS(BC58)+ABS(BE58)+ABS(BG58)+ABS(BI58)+ABS(BK58)+ABS(BM58)+ABS(BO58)+ABS(BQ58)+ABS(BS58)+ABS(BU58)+ABS(BW58)+ABS(BY58)+ABS(CA58)+ABS(CC58)+ABS(CE58)+ABS(CG58)+ABS(CI58)+ABS(CK58)+ABS(CM58)+ABS(CO58)+ABS(CQ58)+ABS(CS58)+ABS(CU58)+ABS(CW58)</f>
        <v>0</v>
      </c>
      <c r="DD58" s="86" t="n">
        <f aca="false">16</f>
        <v>16</v>
      </c>
      <c r="DE58" s="175" t="n">
        <v>1</v>
      </c>
      <c r="DF58" s="43" t="n">
        <f aca="false">(ABS(W58)*X58+ABS(Y58)*Z58+ABS(AA58)*AB58+ABS(AC58)*AD58+ABS(AE58)*AF58+ABS(AG58)*AH58+ABS(AI58)*AJ58+ABS(AK58)*AL58+ABS(AM58)*AN58+ABS(AO58)*AP58+ABS(AQ58)*AR58+ABS(AS58)*AT58+ABS(AU58)*AV58+ABS(AW58)*AX58+ABS(AY58)*AZ58+ABS(BA58)*BB58+ABS(BC58)*BD58+ABS(BE58)*BF58+ABS(BG58)*BH58+ABS(BI58)*BJ58)</f>
        <v>0</v>
      </c>
      <c r="DG58" s="43" t="n">
        <f aca="false">ABS(BK58)*BL58+ABS(BM58)*BN58+ABS(BO58)*BP58+ABS(BQ58)*BR58+ABS(BS58)*BT58+ABS(BU58)*BV58+ABS(BW58)*BX58+ABS(BY58)*BZ58+ABS(CA58)*CB58+ABS(CC58)*CD58+ABS(CE58)*CF58+ABS(CG58)*CH58+ABS(CI58)*CJ58+ABS(CK58)*CL58+ABS(CM58)*CN58+ABS(CO58)*CP58+ABS(CQ58)*CR58+ABS(CS58)*CT58+ABS(CU58)*CV58+ABS(CW58)*CX58</f>
        <v>0</v>
      </c>
      <c r="DH58" s="43" t="n">
        <f aca="false">((H58-X58)*W58+(H58-Z58)*Y58+(H58-AB58)*AA58+(H58-AD58)*AC58+(H58-AF58)*AE58+(H58-AH58)*AG58+(H58-AJ58)*AI58+(H58-AL58)*AK58+(H58-AN58)*AM58+(H58-AP58)*AO58+(H58-AR58)*AQ58+(H58-AT58)*AS58+(H58-AV58)*AU58+(H58-AX58)*AW58+(H58-AZ58)*AY58+(H58-BB58)*BA58+(H58-BD58)*BC58+(H58-BF58)*BE58+(H58-BH58)*BG58+(H58-BJ58)*BI58)*DD58*DE58</f>
        <v>0</v>
      </c>
      <c r="DI58" s="43" t="n">
        <f aca="false">(((H58-BL58)*BK58+(H58-BN58)*BM58+(H58-BP58)*BO58+(H58-BR58)*BQ58+(H58-BT58)*BS58+(H58-BV58)*BU58+(H58-BX58)*BW58+(H58-BZ58)*BY58+(H58-CB58)*CA58+(H58-CD58)*CC58+(H58-CF58)*CE58+(H58-CH58)*CG58+(H58-CJ58)*CH58+(H58-CL58)*CK58+(H58-CN58)*CM58+(H58-CP58)*CO58+(H58-CR58)*CQ58+(H58-CT58)*CS58+(H58-CV58)*CU58+(H58-CX58)*CW58)*DD58*DE58)</f>
        <v>0</v>
      </c>
      <c r="DK58" s="85" t="n">
        <v>37165</v>
      </c>
      <c r="DL58" s="21" t="n">
        <v>49.552150560462</v>
      </c>
      <c r="DN58" s="21" t="n">
        <v>1</v>
      </c>
      <c r="DO58" s="173"/>
      <c r="DP58" s="173"/>
      <c r="DQ58" s="173"/>
      <c r="DR58" s="146" t="n">
        <f aca="false">+VLOOKUP(A58,'NET P&amp;L'!$AH$6:$AK$31,2)</f>
        <v>21</v>
      </c>
    </row>
    <row r="59" customFormat="false" ht="18.75" hidden="false" customHeight="false" outlineLevel="0" collapsed="false">
      <c r="A59" s="147" t="n">
        <f aca="false">'NYISO A'!A59</f>
        <v>37653</v>
      </c>
      <c r="B59" s="119" t="n">
        <f aca="false">+[3]NYZoneG!$L50/16/DR59</f>
        <v>0</v>
      </c>
      <c r="C59" s="148" t="n">
        <f aca="false">CY59</f>
        <v>0</v>
      </c>
      <c r="D59" s="149" t="n">
        <f aca="false">(IF(MONTH(A59)=MONTH(EOMONTH(TradeDate,1)),$AP$70,0)*VLOOKUP(A59,$DK$12:$DN$43,4))</f>
        <v>0</v>
      </c>
      <c r="E59" s="150" t="n">
        <f aca="false">B59+C59+D59</f>
        <v>0</v>
      </c>
      <c r="F59" s="151" t="n">
        <f aca="false">[3]NYZoneG!$C50</f>
        <v>0</v>
      </c>
      <c r="G59" s="152" t="n">
        <f aca="false">IF($Q$9,Q59,P59)</f>
        <v>55.5</v>
      </c>
      <c r="H59" s="153" t="n">
        <f aca="false">F59+G59</f>
        <v>55.5</v>
      </c>
      <c r="I59" s="154" t="n">
        <f aca="false">B59*G59*DD59*DR59</f>
        <v>0</v>
      </c>
      <c r="J59" s="155" t="n">
        <f aca="false">(DH59+DI59)*$DR59</f>
        <v>0</v>
      </c>
      <c r="K59" s="156" t="n">
        <f aca="false">I59+J59</f>
        <v>0</v>
      </c>
      <c r="L59" s="256"/>
      <c r="M59" s="157" t="n">
        <f aca="false">A59</f>
        <v>37653</v>
      </c>
      <c r="N59" s="92" t="n">
        <v>55.5</v>
      </c>
      <c r="O59" s="92" t="n">
        <v>55.5</v>
      </c>
      <c r="P59" s="69" t="n">
        <f aca="false">AVERAGE(N59:O59)-F59</f>
        <v>55.5</v>
      </c>
      <c r="Q59" s="70"/>
      <c r="R59" s="91" t="n">
        <f aca="false">H59</f>
        <v>55.5</v>
      </c>
      <c r="S59" s="256"/>
      <c r="T59" s="256"/>
      <c r="U59" s="270"/>
      <c r="V59" s="157" t="n">
        <f aca="false">A59</f>
        <v>37653</v>
      </c>
      <c r="W59" s="271"/>
      <c r="X59" s="272"/>
      <c r="Y59" s="271"/>
      <c r="Z59" s="272"/>
      <c r="AA59" s="271"/>
      <c r="AB59" s="272"/>
      <c r="AC59" s="108"/>
      <c r="AD59" s="110"/>
      <c r="AE59" s="108"/>
      <c r="AF59" s="110"/>
      <c r="AG59" s="108"/>
      <c r="AH59" s="110"/>
      <c r="AI59" s="108"/>
      <c r="AJ59" s="110"/>
      <c r="AK59" s="108"/>
      <c r="AL59" s="110"/>
      <c r="AM59" s="108"/>
      <c r="AN59" s="110"/>
      <c r="AO59" s="108"/>
      <c r="AP59" s="110"/>
      <c r="AQ59" s="108"/>
      <c r="AR59" s="110"/>
      <c r="AS59" s="108"/>
      <c r="AT59" s="273"/>
      <c r="AU59" s="111"/>
      <c r="AV59" s="112"/>
      <c r="AW59" s="266"/>
      <c r="AX59" s="114"/>
      <c r="AY59" s="113"/>
      <c r="AZ59" s="114"/>
      <c r="BA59" s="113"/>
      <c r="BB59" s="114"/>
      <c r="BC59" s="113"/>
      <c r="BD59" s="114"/>
      <c r="BE59" s="113"/>
      <c r="BF59" s="114"/>
      <c r="BG59" s="113"/>
      <c r="BH59" s="114"/>
      <c r="BI59" s="113"/>
      <c r="BJ59" s="114"/>
      <c r="BK59" s="113"/>
      <c r="BL59" s="114"/>
      <c r="BM59" s="113"/>
      <c r="BN59" s="114"/>
      <c r="BO59" s="113"/>
      <c r="BP59" s="114"/>
      <c r="BQ59" s="113"/>
      <c r="BR59" s="114"/>
      <c r="BS59" s="113"/>
      <c r="BT59" s="114"/>
      <c r="BU59" s="113"/>
      <c r="BV59" s="114"/>
      <c r="BW59" s="113"/>
      <c r="BX59" s="114"/>
      <c r="BY59" s="113"/>
      <c r="BZ59" s="114"/>
      <c r="CA59" s="113"/>
      <c r="CB59" s="114"/>
      <c r="CC59" s="113"/>
      <c r="CD59" s="114"/>
      <c r="CE59" s="113"/>
      <c r="CF59" s="114"/>
      <c r="CG59" s="113"/>
      <c r="CH59" s="114"/>
      <c r="CI59" s="113"/>
      <c r="CJ59" s="114"/>
      <c r="CK59" s="113"/>
      <c r="CL59" s="114"/>
      <c r="CM59" s="113"/>
      <c r="CN59" s="114"/>
      <c r="CO59" s="113"/>
      <c r="CP59" s="114"/>
      <c r="CQ59" s="113"/>
      <c r="CR59" s="114"/>
      <c r="CS59" s="113"/>
      <c r="CT59" s="114"/>
      <c r="CU59" s="113"/>
      <c r="CV59" s="114"/>
      <c r="CW59" s="113"/>
      <c r="CX59" s="114"/>
      <c r="CY59" s="115" t="n">
        <f aca="false">W59+Y59+AA59+AC59+AE59+AG59+AI59+AK59+AM59+AO59+AQ59+AS59+AU59+AW59+AY59+BA59+BC59+BE59+BG59+BI59+BK59+BM59+BO59+BQ59+BS59+BU59+BW59+BY59+CA59+CC59+CE59+CG59+CI59+CK59+CM59+CO59+CQ59+CS59+CU59+CW59</f>
        <v>0</v>
      </c>
      <c r="CZ59" s="116" t="n">
        <f aca="false">IF(AND(CY59=0,DC59=0),0,(DF59+DG59)/DC59)</f>
        <v>0</v>
      </c>
      <c r="DA59" s="173"/>
      <c r="DB59" s="174" t="n">
        <f aca="false">V59</f>
        <v>37653</v>
      </c>
      <c r="DC59" s="175" t="n">
        <f aca="false">ABS(W59)+ABS(Y59)+ABS(AA59)+ABS(AC59)+ABS(AE59)+ABS(AG59)+ABS(AI59)+ABS(AK59)+ABS(AM59)+ABS(AO59)+ABS(AQ59)+ABS(AS59)+ABS(AU59)+ABS(AW59)+ABS(AY59)+ABS(BA59)+ABS(BC59)+ABS(BE59)+ABS(BG59)+ABS(BI59)+ABS(BK59)+ABS(BM59)+ABS(BO59)+ABS(BQ59)+ABS(BS59)+ABS(BU59)+ABS(BW59)+ABS(BY59)+ABS(CA59)+ABS(CC59)+ABS(CE59)+ABS(CG59)+ABS(CI59)+ABS(CK59)+ABS(CM59)+ABS(CO59)+ABS(CQ59)+ABS(CS59)+ABS(CU59)+ABS(CW59)</f>
        <v>0</v>
      </c>
      <c r="DD59" s="86" t="n">
        <f aca="false">16</f>
        <v>16</v>
      </c>
      <c r="DE59" s="175" t="n">
        <v>1</v>
      </c>
      <c r="DF59" s="43" t="n">
        <f aca="false">(ABS(W59)*X59+ABS(Y59)*Z59+ABS(AA59)*AB59+ABS(AC59)*AD59+ABS(AE59)*AF59+ABS(AG59)*AH59+ABS(AI59)*AJ59+ABS(AK59)*AL59+ABS(AM59)*AN59+ABS(AO59)*AP59+ABS(AQ59)*AR59+ABS(AS59)*AT59+ABS(AU59)*AV59+ABS(AW59)*AX59+ABS(AY59)*AZ59+ABS(BA59)*BB59+ABS(BC59)*BD59+ABS(BE59)*BF59+ABS(BG59)*BH59+ABS(BI59)*BJ59)</f>
        <v>0</v>
      </c>
      <c r="DG59" s="43" t="n">
        <f aca="false">ABS(BK59)*BL59+ABS(BM59)*BN59+ABS(BO59)*BP59+ABS(BQ59)*BR59+ABS(BS59)*BT59+ABS(BU59)*BV59+ABS(BW59)*BX59+ABS(BY59)*BZ59+ABS(CA59)*CB59+ABS(CC59)*CD59+ABS(CE59)*CF59+ABS(CG59)*CH59+ABS(CI59)*CJ59+ABS(CK59)*CL59+ABS(CM59)*CN59+ABS(CO59)*CP59+ABS(CQ59)*CR59+ABS(CS59)*CT59+ABS(CU59)*CV59+ABS(CW59)*CX59</f>
        <v>0</v>
      </c>
      <c r="DH59" s="43" t="n">
        <f aca="false">((H59-X59)*W59+(H59-Z59)*Y59+(H59-AB59)*AA59+(H59-AD59)*AC59+(H59-AF59)*AE59+(H59-AH59)*AG59+(H59-AJ59)*AI59+(H59-AL59)*AK59+(H59-AN59)*AM59+(H59-AP59)*AO59+(H59-AR59)*AQ59+(H59-AT59)*AS59+(H59-AV59)*AU59+(H59-AX59)*AW59+(H59-AZ59)*AY59+(H59-BB59)*BA59+(H59-BD59)*BC59+(H59-BF59)*BE59+(H59-BH59)*BG59+(H59-BJ59)*BI59)*DD59*DE59</f>
        <v>0</v>
      </c>
      <c r="DI59" s="43" t="n">
        <f aca="false">(((H59-BL59)*BK59+(H59-BN59)*BM59+(H59-BP59)*BO59+(H59-BR59)*BQ59+(H59-BT59)*BS59+(H59-BV59)*BU59+(H59-BX59)*BW59+(H59-BZ59)*BY59+(H59-CB59)*CA59+(H59-CD59)*CC59+(H59-CF59)*CE59+(H59-CH59)*CG59+(H59-CJ59)*CH59+(H59-CL59)*CK59+(H59-CN59)*CM59+(H59-CP59)*CO59+(H59-CR59)*CQ59+(H59-CT59)*CS59+(H59-CV59)*CU59+(H59-CX59)*CW59)*DD59*DE59)</f>
        <v>0</v>
      </c>
      <c r="DK59" s="85" t="n">
        <v>37165</v>
      </c>
      <c r="DL59" s="21" t="n">
        <v>49.552150560462</v>
      </c>
      <c r="DN59" s="21" t="n">
        <v>1</v>
      </c>
      <c r="DO59" s="173"/>
      <c r="DP59" s="173"/>
      <c r="DQ59" s="173"/>
      <c r="DR59" s="146" t="n">
        <v>22</v>
      </c>
    </row>
    <row r="60" customFormat="false" ht="16.5" hidden="false" customHeight="true" outlineLevel="0" collapsed="false">
      <c r="A60" s="176" t="n">
        <f aca="false">'NYISO A'!A60</f>
        <v>37681</v>
      </c>
      <c r="B60" s="177" t="n">
        <f aca="false">+[3]NYZoneG!$L51/16/DR60</f>
        <v>0</v>
      </c>
      <c r="C60" s="178" t="n">
        <f aca="false">CY60</f>
        <v>0</v>
      </c>
      <c r="D60" s="179" t="n">
        <f aca="false">(IF(MONTH(A60)=MONTH(EOMONTH(TradeDate,1)),$AP$70,0)*VLOOKUP(A60,$DK$12:$DN$43,4))</f>
        <v>0</v>
      </c>
      <c r="E60" s="180" t="n">
        <f aca="false">B60+C60+D60</f>
        <v>0</v>
      </c>
      <c r="F60" s="181" t="n">
        <f aca="false">[3]NYZoneG!$C51</f>
        <v>0</v>
      </c>
      <c r="G60" s="182" t="n">
        <f aca="false">IF($Q$9,Q60,P60)</f>
        <v>55.5</v>
      </c>
      <c r="H60" s="183" t="n">
        <f aca="false">F60+G60</f>
        <v>55.5</v>
      </c>
      <c r="I60" s="184" t="n">
        <f aca="false">B60*G60*DD60*DR60</f>
        <v>0</v>
      </c>
      <c r="J60" s="185" t="n">
        <f aca="false">(DH60+DI60)*$DR60</f>
        <v>0</v>
      </c>
      <c r="K60" s="186" t="n">
        <f aca="false">I60+J60</f>
        <v>0</v>
      </c>
      <c r="L60" s="256"/>
      <c r="M60" s="187" t="n">
        <f aca="false">A60</f>
        <v>37681</v>
      </c>
      <c r="N60" s="188" t="n">
        <v>55.5</v>
      </c>
      <c r="O60" s="188" t="n">
        <v>55.5</v>
      </c>
      <c r="P60" s="189" t="n">
        <f aca="false">AVERAGE(N60:O60)-F60</f>
        <v>55.5</v>
      </c>
      <c r="Q60" s="274"/>
      <c r="R60" s="275" t="n">
        <f aca="false">H60</f>
        <v>55.5</v>
      </c>
      <c r="S60" s="256"/>
      <c r="T60" s="256"/>
      <c r="U60" s="270"/>
      <c r="V60" s="187" t="n">
        <f aca="false">A60</f>
        <v>37681</v>
      </c>
      <c r="W60" s="276"/>
      <c r="X60" s="277"/>
      <c r="Y60" s="276"/>
      <c r="Z60" s="277"/>
      <c r="AA60" s="276"/>
      <c r="AB60" s="277"/>
      <c r="AC60" s="278"/>
      <c r="AD60" s="279"/>
      <c r="AE60" s="278"/>
      <c r="AF60" s="279"/>
      <c r="AG60" s="278"/>
      <c r="AH60" s="279"/>
      <c r="AI60" s="278"/>
      <c r="AJ60" s="279"/>
      <c r="AK60" s="278"/>
      <c r="AL60" s="279"/>
      <c r="AM60" s="278"/>
      <c r="AN60" s="279"/>
      <c r="AO60" s="278"/>
      <c r="AP60" s="279"/>
      <c r="AQ60" s="278"/>
      <c r="AR60" s="279"/>
      <c r="AS60" s="278"/>
      <c r="AT60" s="280"/>
      <c r="AU60" s="197"/>
      <c r="AV60" s="198"/>
      <c r="AW60" s="281"/>
      <c r="AX60" s="282"/>
      <c r="AY60" s="283"/>
      <c r="AZ60" s="282"/>
      <c r="BA60" s="283"/>
      <c r="BB60" s="282"/>
      <c r="BC60" s="283"/>
      <c r="BD60" s="282"/>
      <c r="BE60" s="283"/>
      <c r="BF60" s="282"/>
      <c r="BG60" s="283"/>
      <c r="BH60" s="282"/>
      <c r="BI60" s="283"/>
      <c r="BJ60" s="282"/>
      <c r="BK60" s="283"/>
      <c r="BL60" s="282"/>
      <c r="BM60" s="283"/>
      <c r="BN60" s="282"/>
      <c r="BO60" s="283"/>
      <c r="BP60" s="282"/>
      <c r="BQ60" s="283"/>
      <c r="BR60" s="282"/>
      <c r="BS60" s="283"/>
      <c r="BT60" s="282"/>
      <c r="BU60" s="283"/>
      <c r="BV60" s="282"/>
      <c r="BW60" s="283"/>
      <c r="BX60" s="282"/>
      <c r="BY60" s="283"/>
      <c r="BZ60" s="282"/>
      <c r="CA60" s="283"/>
      <c r="CB60" s="282"/>
      <c r="CC60" s="283"/>
      <c r="CD60" s="282"/>
      <c r="CE60" s="283"/>
      <c r="CF60" s="282"/>
      <c r="CG60" s="283"/>
      <c r="CH60" s="282"/>
      <c r="CI60" s="283"/>
      <c r="CJ60" s="282"/>
      <c r="CK60" s="283"/>
      <c r="CL60" s="282"/>
      <c r="CM60" s="283"/>
      <c r="CN60" s="282"/>
      <c r="CO60" s="283"/>
      <c r="CP60" s="282"/>
      <c r="CQ60" s="283"/>
      <c r="CR60" s="282"/>
      <c r="CS60" s="283"/>
      <c r="CT60" s="282"/>
      <c r="CU60" s="283"/>
      <c r="CV60" s="282"/>
      <c r="CW60" s="283"/>
      <c r="CX60" s="282"/>
      <c r="CY60" s="284" t="n">
        <f aca="false">W60+Y60+AA60+AC60+AE60+AG60+AI60+AK60+AM60+AO60+AQ60+AS60+AU60+AW60+AY60+BA60+BC60+BE60+BG60+BI60+BK60+BM60+BO60+BQ60+BS60+BU60+BW60+BY60+CA60+CC60+CE60+CG60+CI60+CK60+CM60+CO60+CQ60+CS60+CU60+CW60</f>
        <v>0</v>
      </c>
      <c r="CZ60" s="285" t="n">
        <f aca="false">IF(AND(CY60=0,DC60=0),0,(DF60+DG60)/DC60)</f>
        <v>0</v>
      </c>
      <c r="DA60" s="173"/>
      <c r="DB60" s="174" t="n">
        <f aca="false">V60</f>
        <v>37681</v>
      </c>
      <c r="DC60" s="175" t="n">
        <f aca="false">ABS(W60)+ABS(Y60)+ABS(AA60)+ABS(AC60)+ABS(AE60)+ABS(AG60)+ABS(AI60)+ABS(AK60)+ABS(AM60)+ABS(AO60)+ABS(AQ60)+ABS(AS60)+ABS(AU60)+ABS(AW60)+ABS(AY60)+ABS(BA60)+ABS(BC60)+ABS(BE60)+ABS(BG60)+ABS(BI60)+ABS(BK60)+ABS(BM60)+ABS(BO60)+ABS(BQ60)+ABS(BS60)+ABS(BU60)+ABS(BW60)+ABS(BY60)+ABS(CA60)+ABS(CC60)+ABS(CE60)+ABS(CG60)+ABS(CI60)+ABS(CK60)+ABS(CM60)+ABS(CO60)+ABS(CQ60)+ABS(CS60)+ABS(CU60)+ABS(CW60)</f>
        <v>0</v>
      </c>
      <c r="DD60" s="86" t="n">
        <f aca="false">16</f>
        <v>16</v>
      </c>
      <c r="DE60" s="175" t="n">
        <v>1</v>
      </c>
      <c r="DF60" s="43" t="n">
        <f aca="false">(ABS(W60)*X60+ABS(Y60)*Z60+ABS(AA60)*AB60+ABS(AC60)*AD60+ABS(AE60)*AF60+ABS(AG60)*AH60+ABS(AI60)*AJ60+ABS(AK60)*AL60+ABS(AM60)*AN60+ABS(AO60)*AP60+ABS(AQ60)*AR60+ABS(AS60)*AT60+ABS(AU60)*AV60+ABS(AW60)*AX60+ABS(AY60)*AZ60+ABS(BA60)*BB60+ABS(BC60)*BD60+ABS(BE60)*BF60+ABS(BG60)*BH60+ABS(BI60)*BJ60)</f>
        <v>0</v>
      </c>
      <c r="DG60" s="43" t="n">
        <f aca="false">ABS(BK60)*BL60+ABS(BM60)*BN60+ABS(BO60)*BP60+ABS(BQ60)*BR60+ABS(BS60)*BT60+ABS(BU60)*BV60+ABS(BW60)*BX60+ABS(BY60)*BZ60+ABS(CA60)*CB60+ABS(CC60)*CD60+ABS(CE60)*CF60+ABS(CG60)*CH60+ABS(CI60)*CJ60+ABS(CK60)*CL60+ABS(CM60)*CN60+ABS(CO60)*CP60+ABS(CQ60)*CR60+ABS(CS60)*CT60+ABS(CU60)*CV60+ABS(CW60)*CX60</f>
        <v>0</v>
      </c>
      <c r="DH60" s="43" t="n">
        <f aca="false">((H60-X60)*W60+(H60-Z60)*Y60+(H60-AB60)*AA60+(H60-AD60)*AC60+(H60-AF60)*AE60+(H60-AH60)*AG60+(H60-AJ60)*AI60+(H60-AL60)*AK60+(H60-AN60)*AM60+(H60-AP60)*AO60+(H60-AR60)*AQ60+(H60-AT60)*AS60+(H60-AV60)*AU60+(H60-AX60)*AW60+(H60-AZ60)*AY60+(H60-BB60)*BA60+(H60-BD60)*BC60+(H60-BF60)*BE60+(H60-BH60)*BG60+(H60-BJ60)*BI60)*DD60*DE60</f>
        <v>0</v>
      </c>
      <c r="DI60" s="43" t="n">
        <f aca="false">(((H60-BL60)*BK60+(H60-BN60)*BM60+(H60-BP60)*BO60+(H60-BR60)*BQ60+(H60-BT60)*BS60+(H60-BV60)*BU60+(H60-BX60)*BW60+(H60-BZ60)*BY60+(H60-CB60)*CA60+(H60-CD60)*CC60+(H60-CF60)*CE60+(H60-CH60)*CG60+(H60-CJ60)*CH60+(H60-CL60)*CK60+(H60-CN60)*CM60+(H60-CP60)*CO60+(H60-CR60)*CQ60+(H60-CT60)*CS60+(H60-CV60)*CU60+(H60-CX60)*CW60)*DD60*DE60)</f>
        <v>0</v>
      </c>
      <c r="DK60" s="85" t="n">
        <v>37165</v>
      </c>
      <c r="DL60" s="21" t="n">
        <v>49.552150560462</v>
      </c>
      <c r="DN60" s="21" t="n">
        <v>1</v>
      </c>
      <c r="DO60" s="173"/>
      <c r="DP60" s="173"/>
      <c r="DQ60" s="173"/>
      <c r="DR60" s="146" t="n">
        <v>20</v>
      </c>
    </row>
    <row r="61" customFormat="false" ht="15.75" hidden="true" customHeight="false" outlineLevel="0" collapsed="false">
      <c r="A61" s="24"/>
      <c r="B61" s="24"/>
      <c r="E61" s="27"/>
      <c r="L61" s="24"/>
      <c r="N61" s="24"/>
      <c r="O61" s="24"/>
      <c r="DL61" s="21" t="n">
        <v>0</v>
      </c>
      <c r="DR61" s="173"/>
    </row>
    <row r="62" customFormat="false" ht="16.5" hidden="false" customHeight="false" outlineLevel="0" collapsed="false">
      <c r="A62" s="24"/>
      <c r="B62" s="24"/>
      <c r="E62" s="27"/>
      <c r="L62" s="24"/>
      <c r="N62" s="24"/>
      <c r="O62" s="24"/>
      <c r="DA62" s="21" t="n">
        <f aca="false">SUM(DA12:DA61)</f>
        <v>0</v>
      </c>
      <c r="DR62" s="173"/>
    </row>
    <row r="63" customFormat="false" ht="21" hidden="false" customHeight="false" outlineLevel="0" collapsed="false">
      <c r="A63" s="204"/>
      <c r="B63" s="205" t="s">
        <v>80</v>
      </c>
      <c r="C63" s="205"/>
      <c r="D63" s="205"/>
      <c r="E63" s="205"/>
      <c r="F63" s="205"/>
      <c r="G63" s="205"/>
      <c r="H63" s="205"/>
      <c r="I63" s="205"/>
      <c r="J63" s="205"/>
      <c r="K63" s="205"/>
      <c r="L63" s="206" t="s">
        <v>81</v>
      </c>
      <c r="M63" s="206"/>
      <c r="N63" s="206"/>
      <c r="O63" s="206"/>
      <c r="P63" s="206"/>
      <c r="Q63" s="206"/>
      <c r="R63" s="206"/>
      <c r="S63" s="206"/>
      <c r="T63" s="207"/>
      <c r="U63" s="208"/>
      <c r="V63" s="205" t="s">
        <v>82</v>
      </c>
      <c r="W63" s="205"/>
      <c r="X63" s="205"/>
      <c r="Y63" s="205"/>
      <c r="Z63" s="205"/>
      <c r="AA63" s="205"/>
      <c r="AB63" s="205"/>
      <c r="AC63" s="205"/>
      <c r="AD63" s="205"/>
      <c r="AE63" s="205"/>
      <c r="AF63" s="205" t="s">
        <v>83</v>
      </c>
      <c r="AG63" s="205"/>
      <c r="AH63" s="205"/>
      <c r="AI63" s="205"/>
      <c r="AJ63" s="205"/>
      <c r="AK63" s="205"/>
      <c r="AL63" s="205"/>
      <c r="AM63" s="205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09"/>
      <c r="BN63" s="209"/>
      <c r="BO63" s="209"/>
      <c r="BP63" s="209"/>
      <c r="BQ63" s="209"/>
      <c r="BR63" s="209"/>
      <c r="BS63" s="209"/>
      <c r="BT63" s="209"/>
      <c r="BU63" s="209"/>
      <c r="BV63" s="209"/>
      <c r="BW63" s="209"/>
      <c r="BX63" s="209"/>
      <c r="BY63" s="209"/>
      <c r="BZ63" s="209"/>
      <c r="CA63" s="209"/>
      <c r="CB63" s="209"/>
      <c r="CC63" s="209"/>
      <c r="CD63" s="209"/>
      <c r="CE63" s="209"/>
      <c r="CF63" s="209"/>
      <c r="CG63" s="209"/>
      <c r="CH63" s="209"/>
      <c r="CI63" s="209"/>
      <c r="CJ63" s="209"/>
      <c r="CK63" s="209"/>
      <c r="CL63" s="209"/>
      <c r="CM63" s="209"/>
      <c r="CN63" s="209"/>
      <c r="CO63" s="209"/>
      <c r="CP63" s="209"/>
      <c r="CQ63" s="209"/>
      <c r="CR63" s="209"/>
      <c r="CS63" s="209"/>
      <c r="CT63" s="209"/>
      <c r="CU63" s="209"/>
      <c r="CV63" s="209"/>
      <c r="CW63" s="209"/>
      <c r="CX63" s="209"/>
      <c r="CY63" s="209"/>
      <c r="CZ63" s="209"/>
      <c r="DA63" s="209"/>
      <c r="DB63" s="209"/>
      <c r="DC63" s="209"/>
      <c r="DD63" s="209"/>
      <c r="DE63" s="209"/>
      <c r="DF63" s="209"/>
      <c r="DG63" s="209"/>
      <c r="DH63" s="209"/>
      <c r="DI63" s="209"/>
      <c r="DJ63" s="209"/>
      <c r="DK63" s="209"/>
      <c r="DL63" s="209"/>
      <c r="DM63" s="209"/>
      <c r="DN63" s="209"/>
      <c r="DO63" s="209"/>
      <c r="DP63" s="209"/>
      <c r="DQ63" s="209"/>
      <c r="DR63" s="209"/>
      <c r="DS63" s="209"/>
      <c r="DT63" s="209"/>
      <c r="DU63" s="209"/>
      <c r="DV63" s="209"/>
      <c r="DW63" s="209"/>
      <c r="DX63" s="209"/>
      <c r="DY63" s="209"/>
      <c r="DZ63" s="209"/>
      <c r="EA63" s="209"/>
      <c r="EB63" s="209"/>
      <c r="EC63" s="209"/>
      <c r="ED63" s="209"/>
      <c r="EE63" s="209"/>
      <c r="EF63" s="209"/>
      <c r="EG63" s="209"/>
      <c r="EH63" s="209"/>
      <c r="EI63" s="209"/>
      <c r="EJ63" s="209"/>
      <c r="EK63" s="209"/>
      <c r="EL63" s="209"/>
      <c r="EM63" s="209"/>
      <c r="EN63" s="209"/>
      <c r="EO63" s="209"/>
      <c r="EP63" s="209"/>
      <c r="EQ63" s="209"/>
      <c r="ER63" s="209"/>
      <c r="ES63" s="209"/>
      <c r="ET63" s="209"/>
      <c r="EU63" s="209"/>
      <c r="EV63" s="209"/>
      <c r="EW63" s="209"/>
      <c r="EX63" s="209"/>
      <c r="EY63" s="209"/>
      <c r="EZ63" s="209"/>
      <c r="FA63" s="209"/>
      <c r="FB63" s="209"/>
      <c r="FC63" s="209"/>
      <c r="FD63" s="209"/>
      <c r="FE63" s="209"/>
      <c r="FF63" s="209"/>
      <c r="FG63" s="209"/>
      <c r="FH63" s="209"/>
      <c r="FI63" s="209"/>
      <c r="FJ63" s="209"/>
      <c r="FK63" s="209"/>
      <c r="FL63" s="209"/>
      <c r="FM63" s="209"/>
      <c r="FN63" s="209"/>
      <c r="FO63" s="209"/>
      <c r="FP63" s="209"/>
      <c r="FQ63" s="209"/>
      <c r="FR63" s="209"/>
      <c r="FS63" s="209"/>
      <c r="FT63" s="209"/>
      <c r="FU63" s="209"/>
      <c r="FV63" s="209"/>
      <c r="FW63" s="209"/>
      <c r="FX63" s="209"/>
      <c r="FY63" s="209"/>
      <c r="FZ63" s="209"/>
      <c r="GA63" s="209"/>
      <c r="GB63" s="209"/>
      <c r="GC63" s="209"/>
      <c r="GD63" s="209"/>
      <c r="GE63" s="209"/>
      <c r="GF63" s="209"/>
      <c r="GG63" s="209"/>
      <c r="GH63" s="209"/>
      <c r="GI63" s="209"/>
      <c r="GJ63" s="209"/>
      <c r="GK63" s="209"/>
      <c r="GL63" s="209"/>
      <c r="GM63" s="209"/>
      <c r="GN63" s="209"/>
      <c r="GO63" s="209"/>
      <c r="GP63" s="209"/>
      <c r="GQ63" s="209"/>
      <c r="GR63" s="209"/>
      <c r="GS63" s="209"/>
      <c r="GT63" s="209"/>
      <c r="GU63" s="209"/>
      <c r="GV63" s="209"/>
      <c r="GW63" s="209"/>
      <c r="GX63" s="209"/>
      <c r="GY63" s="209"/>
      <c r="GZ63" s="209"/>
      <c r="HA63" s="209"/>
      <c r="HB63" s="209"/>
      <c r="HC63" s="209"/>
      <c r="HD63" s="209"/>
      <c r="HE63" s="209"/>
      <c r="HF63" s="209"/>
      <c r="HG63" s="209"/>
      <c r="HH63" s="209"/>
      <c r="HI63" s="209"/>
      <c r="HJ63" s="209"/>
      <c r="HK63" s="209"/>
      <c r="HL63" s="209"/>
      <c r="HM63" s="209"/>
      <c r="HN63" s="209"/>
      <c r="HO63" s="209"/>
      <c r="HP63" s="209"/>
      <c r="HQ63" s="209"/>
      <c r="HR63" s="209"/>
      <c r="HS63" s="209"/>
      <c r="HT63" s="209"/>
      <c r="HU63" s="209"/>
      <c r="HV63" s="209"/>
      <c r="HW63" s="209"/>
      <c r="HX63" s="209"/>
      <c r="HY63" s="209"/>
      <c r="HZ63" s="209"/>
      <c r="IA63" s="209"/>
      <c r="IB63" s="209"/>
      <c r="IC63" s="209"/>
      <c r="ID63" s="209"/>
      <c r="IE63" s="209"/>
      <c r="IF63" s="209"/>
      <c r="IG63" s="209"/>
      <c r="IH63" s="209"/>
      <c r="II63" s="209"/>
      <c r="IJ63" s="209"/>
      <c r="IK63" s="209"/>
      <c r="IL63" s="209"/>
      <c r="IM63" s="209"/>
      <c r="IN63" s="209"/>
      <c r="IO63" s="209"/>
      <c r="IP63" s="209"/>
      <c r="IQ63" s="209"/>
      <c r="IR63" s="209"/>
      <c r="IS63" s="209"/>
      <c r="IT63" s="209"/>
      <c r="IU63" s="209"/>
      <c r="IV63" s="209"/>
      <c r="IW63" s="209"/>
    </row>
    <row r="64" customFormat="false" ht="19.5" hidden="false" customHeight="false" outlineLevel="0" collapsed="false">
      <c r="A64" s="210"/>
      <c r="B64" s="211" t="s">
        <v>84</v>
      </c>
      <c r="C64" s="211"/>
      <c r="D64" s="211"/>
      <c r="E64" s="211"/>
      <c r="F64" s="211"/>
      <c r="G64" s="212" t="s">
        <v>85</v>
      </c>
      <c r="H64" s="212"/>
      <c r="I64" s="212"/>
      <c r="J64" s="212"/>
      <c r="K64" s="212"/>
      <c r="L64" s="213" t="s">
        <v>84</v>
      </c>
      <c r="M64" s="213"/>
      <c r="N64" s="214"/>
      <c r="O64" s="214"/>
      <c r="P64" s="215"/>
      <c r="Q64" s="216" t="s">
        <v>85</v>
      </c>
      <c r="R64" s="216"/>
      <c r="S64" s="216"/>
      <c r="T64" s="217"/>
      <c r="U64" s="218"/>
      <c r="V64" s="211" t="s">
        <v>84</v>
      </c>
      <c r="W64" s="211"/>
      <c r="X64" s="211"/>
      <c r="Y64" s="211"/>
      <c r="Z64" s="211"/>
      <c r="AA64" s="212" t="s">
        <v>85</v>
      </c>
      <c r="AB64" s="212"/>
      <c r="AC64" s="212"/>
      <c r="AD64" s="212"/>
      <c r="AE64" s="212"/>
      <c r="AF64" s="213" t="s">
        <v>84</v>
      </c>
      <c r="AG64" s="213"/>
      <c r="AH64" s="213"/>
      <c r="AI64" s="213"/>
      <c r="AJ64" s="213"/>
      <c r="AK64" s="286" t="s">
        <v>85</v>
      </c>
      <c r="AL64" s="286"/>
      <c r="AM64" s="286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6.5" hidden="false" customHeight="false" outlineLevel="0" collapsed="false">
      <c r="A65" s="220" t="s">
        <v>86</v>
      </c>
      <c r="B65" s="221" t="n">
        <v>0</v>
      </c>
      <c r="C65" s="222" t="n">
        <v>0</v>
      </c>
      <c r="D65" s="222" t="n">
        <v>0</v>
      </c>
      <c r="E65" s="222" t="n">
        <v>0</v>
      </c>
      <c r="F65" s="223" t="n">
        <v>0</v>
      </c>
      <c r="G65" s="221" t="n">
        <v>0</v>
      </c>
      <c r="H65" s="222" t="n">
        <v>0</v>
      </c>
      <c r="I65" s="222" t="n">
        <v>0</v>
      </c>
      <c r="J65" s="222" t="n">
        <v>0</v>
      </c>
      <c r="K65" s="223" t="n">
        <v>0</v>
      </c>
      <c r="L65" s="221" t="n">
        <v>0</v>
      </c>
      <c r="M65" s="222" t="n">
        <v>0</v>
      </c>
      <c r="N65" s="222" t="n">
        <v>0</v>
      </c>
      <c r="O65" s="222" t="n">
        <v>0</v>
      </c>
      <c r="P65" s="223" t="n">
        <v>0</v>
      </c>
      <c r="Q65" s="221" t="n">
        <v>85</v>
      </c>
      <c r="R65" s="222" t="n">
        <v>0</v>
      </c>
      <c r="S65" s="222" t="n">
        <v>0</v>
      </c>
      <c r="T65" s="222" t="n">
        <v>0</v>
      </c>
      <c r="U65" s="223" t="n">
        <v>0</v>
      </c>
      <c r="V65" s="221" t="n">
        <v>0</v>
      </c>
      <c r="W65" s="222" t="n">
        <v>0</v>
      </c>
      <c r="X65" s="222" t="n">
        <v>0</v>
      </c>
      <c r="Y65" s="222" t="n">
        <v>0</v>
      </c>
      <c r="Z65" s="223" t="n">
        <v>0</v>
      </c>
      <c r="AA65" s="221" t="n">
        <v>0</v>
      </c>
      <c r="AB65" s="222" t="n">
        <v>0</v>
      </c>
      <c r="AC65" s="222" t="n">
        <v>0</v>
      </c>
      <c r="AD65" s="222" t="n">
        <v>0</v>
      </c>
      <c r="AE65" s="223" t="n">
        <v>0</v>
      </c>
      <c r="AF65" s="221" t="n">
        <v>0</v>
      </c>
      <c r="AG65" s="222" t="n">
        <v>0</v>
      </c>
      <c r="AH65" s="222" t="n">
        <v>0</v>
      </c>
      <c r="AI65" s="221"/>
      <c r="AJ65" s="222"/>
      <c r="AK65" s="222" t="n">
        <v>0</v>
      </c>
      <c r="AL65" s="222" t="n">
        <v>0</v>
      </c>
      <c r="AM65" s="223" t="n">
        <v>0</v>
      </c>
      <c r="AN65" s="224" t="n">
        <v>0</v>
      </c>
      <c r="AO65" s="224" t="n">
        <v>0</v>
      </c>
      <c r="AP65" s="224"/>
      <c r="AQ65" s="224"/>
      <c r="AR65" s="224"/>
      <c r="AS65" s="224"/>
      <c r="AT65" s="224"/>
      <c r="AU65" s="224"/>
      <c r="AV65" s="224"/>
      <c r="AW65" s="224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  <c r="CM65" s="224"/>
      <c r="CN65" s="224"/>
      <c r="CO65" s="224"/>
      <c r="CP65" s="224"/>
      <c r="CQ65" s="224"/>
      <c r="CR65" s="224"/>
      <c r="CS65" s="224"/>
      <c r="CT65" s="224"/>
      <c r="CU65" s="224"/>
      <c r="CV65" s="224"/>
      <c r="CW65" s="224"/>
      <c r="CX65" s="224"/>
      <c r="CY65" s="224"/>
      <c r="CZ65" s="224"/>
      <c r="DA65" s="224"/>
      <c r="DB65" s="224"/>
      <c r="DC65" s="224"/>
      <c r="DD65" s="224"/>
      <c r="DE65" s="224"/>
      <c r="DF65" s="224"/>
      <c r="DG65" s="224"/>
      <c r="DH65" s="224"/>
      <c r="DI65" s="224"/>
      <c r="DJ65" s="224"/>
      <c r="DK65" s="224"/>
      <c r="DL65" s="224"/>
      <c r="DM65" s="224"/>
      <c r="DN65" s="224"/>
      <c r="DO65" s="224"/>
      <c r="DP65" s="224"/>
      <c r="DQ65" s="224"/>
      <c r="DR65" s="224"/>
      <c r="DS65" s="224"/>
      <c r="DT65" s="224"/>
      <c r="DU65" s="224"/>
      <c r="DV65" s="224"/>
      <c r="DW65" s="224"/>
      <c r="DX65" s="224"/>
      <c r="DY65" s="224"/>
      <c r="DZ65" s="224"/>
      <c r="EA65" s="224"/>
      <c r="EB65" s="224"/>
      <c r="EC65" s="224"/>
      <c r="ED65" s="224"/>
      <c r="EE65" s="224"/>
      <c r="EF65" s="224"/>
      <c r="EG65" s="224"/>
      <c r="EH65" s="224"/>
      <c r="EI65" s="224"/>
      <c r="EJ65" s="224"/>
      <c r="EK65" s="224"/>
      <c r="EL65" s="224"/>
      <c r="EM65" s="224"/>
      <c r="EN65" s="224"/>
      <c r="EO65" s="224"/>
      <c r="EP65" s="224"/>
      <c r="EQ65" s="224"/>
      <c r="ER65" s="224"/>
      <c r="ES65" s="224"/>
      <c r="ET65" s="224"/>
      <c r="EU65" s="224"/>
      <c r="EV65" s="224"/>
      <c r="EW65" s="224"/>
      <c r="EX65" s="224"/>
      <c r="EY65" s="224"/>
      <c r="EZ65" s="224"/>
      <c r="FA65" s="224"/>
      <c r="FB65" s="224"/>
      <c r="FC65" s="224"/>
      <c r="FD65" s="224"/>
      <c r="FE65" s="224"/>
      <c r="FF65" s="224"/>
      <c r="FG65" s="224"/>
      <c r="FH65" s="224"/>
      <c r="FI65" s="224"/>
      <c r="FJ65" s="224"/>
      <c r="FK65" s="224"/>
      <c r="FL65" s="224"/>
      <c r="FM65" s="224"/>
      <c r="FN65" s="224"/>
      <c r="FO65" s="224"/>
      <c r="FP65" s="224"/>
      <c r="FQ65" s="224"/>
      <c r="FR65" s="224"/>
      <c r="FS65" s="224"/>
      <c r="FT65" s="224"/>
      <c r="FU65" s="224"/>
      <c r="FV65" s="224"/>
      <c r="FW65" s="224"/>
      <c r="FX65" s="224"/>
      <c r="FY65" s="224"/>
      <c r="FZ65" s="224"/>
      <c r="GA65" s="224"/>
      <c r="GB65" s="224"/>
      <c r="GC65" s="224"/>
      <c r="GD65" s="224"/>
      <c r="GE65" s="224"/>
      <c r="GF65" s="224"/>
      <c r="GG65" s="224"/>
      <c r="GH65" s="224"/>
      <c r="GI65" s="224"/>
      <c r="GJ65" s="224"/>
      <c r="GK65" s="224"/>
      <c r="GL65" s="224"/>
      <c r="GM65" s="224"/>
      <c r="GN65" s="224"/>
      <c r="GO65" s="224"/>
      <c r="GP65" s="224"/>
      <c r="GQ65" s="224"/>
      <c r="GR65" s="224"/>
      <c r="GS65" s="224"/>
      <c r="GT65" s="224"/>
      <c r="GU65" s="224"/>
      <c r="GV65" s="224"/>
      <c r="GW65" s="224"/>
      <c r="GX65" s="224"/>
      <c r="GY65" s="224"/>
      <c r="GZ65" s="224"/>
      <c r="HA65" s="224"/>
      <c r="HB65" s="224"/>
      <c r="HC65" s="224"/>
      <c r="HD65" s="224"/>
      <c r="HE65" s="224"/>
      <c r="HF65" s="224"/>
      <c r="HG65" s="224"/>
      <c r="HH65" s="224"/>
      <c r="HI65" s="224"/>
      <c r="HJ65" s="224"/>
      <c r="HK65" s="224"/>
      <c r="HL65" s="224"/>
      <c r="HM65" s="224"/>
      <c r="HN65" s="224"/>
      <c r="HO65" s="224"/>
      <c r="HP65" s="224"/>
      <c r="HQ65" s="224"/>
      <c r="HR65" s="224"/>
      <c r="HS65" s="224"/>
      <c r="HT65" s="224"/>
      <c r="HU65" s="224"/>
      <c r="HV65" s="224"/>
      <c r="HW65" s="224"/>
      <c r="HX65" s="224"/>
      <c r="HY65" s="224"/>
      <c r="HZ65" s="224"/>
      <c r="IA65" s="224"/>
      <c r="IB65" s="224"/>
      <c r="IC65" s="224"/>
      <c r="ID65" s="224"/>
      <c r="IE65" s="224"/>
      <c r="IF65" s="224"/>
      <c r="IG65" s="224"/>
      <c r="IH65" s="224"/>
      <c r="II65" s="224"/>
      <c r="IJ65" s="224"/>
      <c r="IK65" s="224"/>
      <c r="IL65" s="224"/>
      <c r="IM65" s="224"/>
      <c r="IN65" s="224"/>
      <c r="IO65" s="224"/>
      <c r="IP65" s="224"/>
      <c r="IQ65" s="224"/>
      <c r="IR65" s="224"/>
      <c r="IS65" s="224"/>
      <c r="IT65" s="224"/>
      <c r="IU65" s="224"/>
      <c r="IV65" s="224"/>
      <c r="IW65" s="224"/>
    </row>
    <row r="66" customFormat="false" ht="15.75" hidden="false" customHeight="false" outlineLevel="0" collapsed="false">
      <c r="A66" s="225" t="s">
        <v>87</v>
      </c>
      <c r="B66" s="226" t="n">
        <v>0</v>
      </c>
      <c r="C66" s="227" t="n">
        <v>0</v>
      </c>
      <c r="D66" s="227" t="n">
        <v>0</v>
      </c>
      <c r="E66" s="227" t="n">
        <v>0</v>
      </c>
      <c r="F66" s="228" t="n">
        <v>0</v>
      </c>
      <c r="G66" s="226" t="n">
        <v>0</v>
      </c>
      <c r="H66" s="227" t="n">
        <v>0</v>
      </c>
      <c r="I66" s="227" t="n">
        <v>0</v>
      </c>
      <c r="J66" s="227" t="n">
        <v>0</v>
      </c>
      <c r="K66" s="228" t="n">
        <v>0</v>
      </c>
      <c r="L66" s="226" t="n">
        <v>0</v>
      </c>
      <c r="M66" s="227" t="n">
        <v>0</v>
      </c>
      <c r="N66" s="227" t="n">
        <v>0</v>
      </c>
      <c r="O66" s="227" t="n">
        <v>0</v>
      </c>
      <c r="P66" s="228" t="n">
        <v>0</v>
      </c>
      <c r="Q66" s="227" t="n">
        <v>0</v>
      </c>
      <c r="R66" s="227" t="n">
        <v>0</v>
      </c>
      <c r="S66" s="227" t="n">
        <v>0</v>
      </c>
      <c r="T66" s="227" t="n">
        <v>0</v>
      </c>
      <c r="U66" s="228" t="n">
        <v>0</v>
      </c>
      <c r="V66" s="226" t="n">
        <v>0</v>
      </c>
      <c r="W66" s="227" t="n">
        <v>0</v>
      </c>
      <c r="X66" s="227" t="n">
        <v>0</v>
      </c>
      <c r="Y66" s="227" t="n">
        <v>0</v>
      </c>
      <c r="Z66" s="228" t="n">
        <v>0</v>
      </c>
      <c r="AA66" s="226" t="n">
        <v>0</v>
      </c>
      <c r="AB66" s="227" t="n">
        <v>0</v>
      </c>
      <c r="AC66" s="227" t="n">
        <v>0</v>
      </c>
      <c r="AD66" s="227" t="n">
        <v>0</v>
      </c>
      <c r="AE66" s="228" t="n">
        <v>0</v>
      </c>
      <c r="AF66" s="226" t="n">
        <v>0</v>
      </c>
      <c r="AG66" s="227" t="n">
        <v>0</v>
      </c>
      <c r="AH66" s="227" t="n">
        <v>0</v>
      </c>
      <c r="AI66" s="226"/>
      <c r="AJ66" s="227"/>
      <c r="AK66" s="227" t="n">
        <v>0</v>
      </c>
      <c r="AL66" s="227" t="n">
        <v>0</v>
      </c>
      <c r="AM66" s="228" t="n">
        <v>0</v>
      </c>
      <c r="AN66" s="21" t="n">
        <v>0</v>
      </c>
      <c r="AO66" s="21" t="n">
        <v>0</v>
      </c>
    </row>
    <row r="67" customFormat="false" ht="16.5" hidden="false" customHeight="false" outlineLevel="0" collapsed="false">
      <c r="A67" s="225" t="s">
        <v>88</v>
      </c>
      <c r="B67" s="226"/>
      <c r="C67" s="227"/>
      <c r="D67" s="227"/>
      <c r="E67" s="227"/>
      <c r="F67" s="228"/>
      <c r="G67" s="229"/>
      <c r="H67" s="230"/>
      <c r="I67" s="230"/>
      <c r="J67" s="230"/>
      <c r="K67" s="231"/>
      <c r="L67" s="226"/>
      <c r="M67" s="227"/>
      <c r="N67" s="233"/>
      <c r="O67" s="233"/>
      <c r="P67" s="228"/>
      <c r="Q67" s="229" t="n">
        <v>50</v>
      </c>
      <c r="R67" s="230"/>
      <c r="S67" s="230"/>
      <c r="T67" s="230"/>
      <c r="U67" s="231"/>
      <c r="V67" s="226"/>
      <c r="W67" s="227"/>
      <c r="X67" s="227"/>
      <c r="Y67" s="227"/>
      <c r="Z67" s="228"/>
      <c r="AA67" s="229"/>
      <c r="AB67" s="230"/>
      <c r="AC67" s="230"/>
      <c r="AD67" s="230"/>
      <c r="AE67" s="231"/>
      <c r="AF67" s="226"/>
      <c r="AG67" s="227"/>
      <c r="AH67" s="227"/>
      <c r="AI67" s="229"/>
      <c r="AJ67" s="230"/>
      <c r="AK67" s="230"/>
      <c r="AL67" s="230"/>
      <c r="AM67" s="231"/>
    </row>
    <row r="68" customFormat="false" ht="16.5" hidden="false" customHeight="false" outlineLevel="0" collapsed="false">
      <c r="A68" s="36" t="s">
        <v>89</v>
      </c>
      <c r="B68" s="232"/>
      <c r="C68" s="233"/>
      <c r="D68" s="233"/>
      <c r="E68" s="233"/>
      <c r="F68" s="234"/>
      <c r="G68" s="235"/>
      <c r="H68" s="236"/>
      <c r="I68" s="236"/>
      <c r="J68" s="236"/>
      <c r="K68" s="237"/>
      <c r="L68" s="232"/>
      <c r="M68" s="233"/>
      <c r="N68" s="243"/>
      <c r="O68" s="243"/>
      <c r="P68" s="234"/>
      <c r="Q68" s="235"/>
      <c r="R68" s="236"/>
      <c r="S68" s="236"/>
      <c r="T68" s="236"/>
      <c r="U68" s="237"/>
      <c r="V68" s="232"/>
      <c r="W68" s="233"/>
      <c r="X68" s="233"/>
      <c r="Y68" s="233"/>
      <c r="Z68" s="234"/>
      <c r="AA68" s="235"/>
      <c r="AB68" s="236"/>
      <c r="AC68" s="236"/>
      <c r="AD68" s="236"/>
      <c r="AE68" s="237"/>
      <c r="AF68" s="232"/>
      <c r="AG68" s="233"/>
      <c r="AH68" s="233"/>
      <c r="AI68" s="235"/>
      <c r="AJ68" s="236"/>
      <c r="AK68" s="236"/>
      <c r="AL68" s="236"/>
      <c r="AM68" s="237"/>
    </row>
    <row r="69" customFormat="false" ht="16.5" hidden="false" customHeight="false" outlineLevel="0" collapsed="false">
      <c r="A69" s="238" t="s">
        <v>90</v>
      </c>
      <c r="B69" s="239" t="n">
        <f aca="false">B66*B67</f>
        <v>0</v>
      </c>
      <c r="C69" s="240" t="n">
        <f aca="false">C66*C67</f>
        <v>0</v>
      </c>
      <c r="D69" s="240" t="n">
        <f aca="false">D66*D67</f>
        <v>0</v>
      </c>
      <c r="E69" s="240" t="n">
        <f aca="false">E66*E67</f>
        <v>0</v>
      </c>
      <c r="F69" s="241" t="n">
        <f aca="false">F66*F67</f>
        <v>0</v>
      </c>
      <c r="G69" s="239" t="n">
        <f aca="false">G66*G67</f>
        <v>0</v>
      </c>
      <c r="H69" s="240" t="n">
        <f aca="false">H66*H67</f>
        <v>0</v>
      </c>
      <c r="I69" s="240" t="n">
        <f aca="false">I66*I67</f>
        <v>0</v>
      </c>
      <c r="J69" s="240" t="n">
        <f aca="false">J66*J67</f>
        <v>0</v>
      </c>
      <c r="K69" s="241" t="n">
        <f aca="false">K66*K67</f>
        <v>0</v>
      </c>
      <c r="L69" s="242"/>
      <c r="M69" s="243"/>
      <c r="N69" s="251"/>
      <c r="O69" s="251"/>
      <c r="P69" s="244"/>
      <c r="Q69" s="242"/>
      <c r="R69" s="243"/>
      <c r="S69" s="243"/>
      <c r="T69" s="243"/>
      <c r="U69" s="244"/>
      <c r="V69" s="239" t="n">
        <f aca="false">-V66*V67</f>
        <v>-0</v>
      </c>
      <c r="W69" s="240" t="n">
        <f aca="false">-W66*W67</f>
        <v>-0</v>
      </c>
      <c r="X69" s="240" t="n">
        <f aca="false">-X66*X67</f>
        <v>-0</v>
      </c>
      <c r="Y69" s="240" t="n">
        <f aca="false">-Y66*Y67</f>
        <v>-0</v>
      </c>
      <c r="Z69" s="241" t="n">
        <f aca="false">-Z66*Z67</f>
        <v>-0</v>
      </c>
      <c r="AA69" s="239" t="n">
        <f aca="false">-AA66*AA67</f>
        <v>-0</v>
      </c>
      <c r="AB69" s="240" t="n">
        <f aca="false">-AB66*AB67</f>
        <v>-0</v>
      </c>
      <c r="AC69" s="240" t="n">
        <f aca="false">-AC66*AC67</f>
        <v>-0</v>
      </c>
      <c r="AD69" s="240" t="n">
        <f aca="false">-AD66*AD67</f>
        <v>-0</v>
      </c>
      <c r="AE69" s="241" t="n">
        <f aca="false">-AE66*AE67</f>
        <v>-0</v>
      </c>
      <c r="AF69" s="242"/>
      <c r="AG69" s="243"/>
      <c r="AH69" s="243"/>
      <c r="AI69" s="243"/>
      <c r="AJ69" s="243"/>
      <c r="AK69" s="243"/>
      <c r="AL69" s="243"/>
      <c r="AM69" s="244"/>
      <c r="AN69" s="245"/>
      <c r="AP69" s="21" t="n">
        <f aca="false">SUM(B69:AO69)</f>
        <v>0</v>
      </c>
    </row>
    <row r="70" customFormat="false" ht="16.5" hidden="false" customHeight="false" outlineLevel="0" collapsed="false">
      <c r="A70" s="246" t="s">
        <v>91</v>
      </c>
      <c r="B70" s="247"/>
      <c r="C70" s="248"/>
      <c r="D70" s="248"/>
      <c r="E70" s="248"/>
      <c r="F70" s="249"/>
      <c r="G70" s="247"/>
      <c r="H70" s="248"/>
      <c r="I70" s="248"/>
      <c r="J70" s="248"/>
      <c r="K70" s="249"/>
      <c r="L70" s="250" t="n">
        <f aca="false">L66*L67</f>
        <v>0</v>
      </c>
      <c r="M70" s="251" t="n">
        <f aca="false">M66*M67</f>
        <v>0</v>
      </c>
      <c r="N70" s="21" t="n">
        <f aca="false">N66*N67</f>
        <v>0</v>
      </c>
      <c r="O70" s="21" t="n">
        <f aca="false">O66*O67</f>
        <v>0</v>
      </c>
      <c r="P70" s="252" t="n">
        <f aca="false">P66*P67</f>
        <v>0</v>
      </c>
      <c r="Q70" s="250" t="n">
        <f aca="false">Q67*Q66</f>
        <v>0</v>
      </c>
      <c r="R70" s="251" t="n">
        <f aca="false">R67*R66</f>
        <v>0</v>
      </c>
      <c r="S70" s="251" t="n">
        <f aca="false">S67*S66</f>
        <v>0</v>
      </c>
      <c r="T70" s="251" t="n">
        <f aca="false">T67*T66</f>
        <v>0</v>
      </c>
      <c r="U70" s="252" t="n">
        <f aca="false">U67*U66</f>
        <v>0</v>
      </c>
      <c r="V70" s="247"/>
      <c r="W70" s="248"/>
      <c r="X70" s="248"/>
      <c r="Y70" s="248"/>
      <c r="Z70" s="249"/>
      <c r="AA70" s="247"/>
      <c r="AB70" s="248"/>
      <c r="AC70" s="248"/>
      <c r="AD70" s="248"/>
      <c r="AE70" s="249"/>
      <c r="AF70" s="250" t="n">
        <f aca="false">-AF66*AF67</f>
        <v>-0</v>
      </c>
      <c r="AG70" s="251" t="n">
        <f aca="false">-AG66*AG67</f>
        <v>-0</v>
      </c>
      <c r="AH70" s="251" t="n">
        <f aca="false">-AH66*AH67</f>
        <v>-0</v>
      </c>
      <c r="AI70" s="251"/>
      <c r="AJ70" s="251"/>
      <c r="AK70" s="251" t="n">
        <f aca="false">-AK66*AK67</f>
        <v>-0</v>
      </c>
      <c r="AL70" s="251" t="n">
        <f aca="false">-AL66*AL67</f>
        <v>-0</v>
      </c>
      <c r="AM70" s="252" t="n">
        <f aca="false">-AM66*AM67</f>
        <v>-0</v>
      </c>
      <c r="AN70" s="253" t="n">
        <f aca="false">-AN66*AN67</f>
        <v>-0</v>
      </c>
      <c r="AO70" s="21" t="n">
        <f aca="false">-AO66*AO67</f>
        <v>-0</v>
      </c>
      <c r="AP70" s="21" t="n">
        <f aca="false">SUM(B70:AO70)</f>
        <v>0</v>
      </c>
    </row>
    <row r="71" customFormat="false" ht="12.75" hidden="false" customHeight="false" outlineLevel="0" collapsed="false">
      <c r="A71" s="24"/>
      <c r="B71" s="24" t="n">
        <f aca="false">(B65-$H$12)*B69*16</f>
        <v>-0</v>
      </c>
      <c r="C71" s="24" t="n">
        <f aca="false">(C65-$H$12)*C69*16</f>
        <v>-0</v>
      </c>
      <c r="D71" s="24" t="n">
        <f aca="false">(D65-$H$12)*D69*16</f>
        <v>-0</v>
      </c>
      <c r="E71" s="24" t="n">
        <f aca="false">(E65-$H$12)*E69*16</f>
        <v>-0</v>
      </c>
      <c r="F71" s="24" t="n">
        <f aca="false">(F65-$H$12)*F69*16</f>
        <v>-0</v>
      </c>
      <c r="G71" s="24" t="n">
        <f aca="false">($H$12-G65)*G69*16</f>
        <v>0</v>
      </c>
      <c r="H71" s="24" t="n">
        <f aca="false">($H$12-H65)*H69*16</f>
        <v>0</v>
      </c>
      <c r="I71" s="24" t="n">
        <f aca="false">($H$12-I65)*I69*16</f>
        <v>0</v>
      </c>
      <c r="J71" s="24" t="n">
        <f aca="false">($H$12-J65)*J69*16</f>
        <v>0</v>
      </c>
      <c r="K71" s="24" t="n">
        <f aca="false">($H$12-K65)*K69*16</f>
        <v>0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 t="n">
        <f aca="false">V69*($H$12-V65)*16</f>
        <v>-0</v>
      </c>
      <c r="W71" s="24" t="n">
        <f aca="false">W69*($H$12-W65)*16</f>
        <v>-0</v>
      </c>
      <c r="X71" s="24" t="n">
        <f aca="false">X69*($H$12-X65)*16</f>
        <v>-0</v>
      </c>
      <c r="Y71" s="24" t="n">
        <f aca="false">Y69*($H$12-Y65)*16</f>
        <v>-0</v>
      </c>
      <c r="Z71" s="24" t="n">
        <f aca="false">Z69*($H$12-Z65)*16</f>
        <v>-0</v>
      </c>
      <c r="AA71" s="24" t="n">
        <f aca="false">AA69*($H$12-AA65)*16</f>
        <v>-0</v>
      </c>
      <c r="AB71" s="24" t="n">
        <f aca="false">AB69*($H$12-AB65)*16</f>
        <v>-0</v>
      </c>
      <c r="AC71" s="24" t="n">
        <f aca="false">AC69*($H$12-AC65)*16</f>
        <v>-0</v>
      </c>
      <c r="AD71" s="24" t="n">
        <f aca="false">AD69*($H$12-AD65)*16</f>
        <v>-0</v>
      </c>
      <c r="AE71" s="24" t="n">
        <f aca="false">AE69*($H$12-AE65)*16</f>
        <v>-0</v>
      </c>
      <c r="AH71" s="21"/>
      <c r="AI71" s="21"/>
      <c r="AJ71" s="21"/>
      <c r="AK71" s="21"/>
      <c r="AP71" s="21" t="n">
        <f aca="false">SUM(B71:AO71)</f>
        <v>0</v>
      </c>
    </row>
    <row r="74" customFormat="false" ht="15.75" hidden="false" customHeight="false" outlineLevel="0" collapsed="false">
      <c r="B74" s="254"/>
      <c r="C74" s="255"/>
      <c r="D74" s="255"/>
      <c r="E74" s="255"/>
      <c r="F74" s="51"/>
    </row>
    <row r="75" customFormat="false" ht="15.75" hidden="false" customHeight="false" outlineLevel="0" collapsed="false">
      <c r="B75" s="131"/>
      <c r="C75" s="131"/>
      <c r="D75" s="131"/>
      <c r="E75" s="131"/>
      <c r="F75" s="131"/>
    </row>
    <row r="76" customFormat="false" ht="15.75" hidden="false" customHeight="false" outlineLevel="0" collapsed="false">
      <c r="B76" s="131"/>
      <c r="C76" s="131"/>
      <c r="D76" s="131"/>
      <c r="E76" s="131"/>
      <c r="F76" s="131"/>
    </row>
    <row r="77" customFormat="false" ht="12" hidden="false" customHeight="true" outlineLevel="0" collapsed="false">
      <c r="B77" s="131"/>
      <c r="C77" s="131"/>
      <c r="D77" s="131"/>
      <c r="E77" s="131"/>
      <c r="F77" s="131"/>
    </row>
    <row r="79" customFormat="false" ht="15.75" hidden="false" customHeight="false" outlineLevel="0" collapsed="false">
      <c r="B79" s="131"/>
      <c r="C79" s="131"/>
      <c r="D79" s="131"/>
      <c r="E79" s="131"/>
      <c r="F79" s="131"/>
    </row>
    <row r="80" customFormat="false" ht="15.75" hidden="false" customHeight="false" outlineLevel="0" collapsed="false">
      <c r="B80" s="131"/>
      <c r="C80" s="131"/>
      <c r="D80" s="131"/>
      <c r="E80" s="131"/>
      <c r="F80" s="131"/>
    </row>
    <row r="81" customFormat="false" ht="15.75" hidden="false" customHeight="false" outlineLevel="0" collapsed="false">
      <c r="B81" s="131"/>
      <c r="C81" s="131"/>
      <c r="D81" s="131"/>
      <c r="E81" s="131"/>
      <c r="F81" s="131"/>
    </row>
    <row r="82" customFormat="false" ht="15.75" hidden="false" customHeight="false" outlineLevel="0" collapsed="false">
      <c r="B82" s="254"/>
      <c r="C82" s="255"/>
      <c r="D82" s="255"/>
      <c r="E82" s="255"/>
      <c r="F82" s="131"/>
    </row>
    <row r="83" customFormat="false" ht="15.75" hidden="false" customHeight="false" outlineLevel="0" collapsed="false">
      <c r="B83" s="131"/>
      <c r="C83" s="131"/>
      <c r="D83" s="131"/>
      <c r="E83" s="131"/>
      <c r="F83" s="131"/>
    </row>
    <row r="84" customFormat="false" ht="15.75" hidden="false" customHeight="false" outlineLevel="0" collapsed="false">
      <c r="B84" s="131"/>
      <c r="C84" s="131"/>
      <c r="D84" s="131"/>
      <c r="E84" s="131"/>
      <c r="F84" s="131"/>
    </row>
    <row r="85" customFormat="false" ht="15.75" hidden="false" customHeight="false" outlineLevel="0" collapsed="false">
      <c r="B85" s="131"/>
      <c r="C85" s="131"/>
      <c r="D85" s="131"/>
      <c r="E85" s="131"/>
      <c r="F85" s="131"/>
    </row>
    <row r="86" customFormat="false" ht="15.75" hidden="false" customHeight="false" outlineLevel="0" collapsed="false">
      <c r="B86" s="131"/>
      <c r="C86" s="131"/>
      <c r="D86" s="131"/>
      <c r="E86" s="131"/>
      <c r="F86" s="131"/>
    </row>
    <row r="87" customFormat="false" ht="15.75" hidden="false" customHeight="false" outlineLevel="0" collapsed="false">
      <c r="B87" s="131"/>
      <c r="C87" s="131"/>
      <c r="D87" s="131"/>
      <c r="E87" s="131"/>
      <c r="F87" s="131"/>
    </row>
    <row r="88" customFormat="false" ht="15.75" hidden="false" customHeight="false" outlineLevel="0" collapsed="false">
      <c r="B88" s="256"/>
      <c r="C88" s="255"/>
      <c r="D88" s="255"/>
      <c r="E88" s="255"/>
      <c r="F88" s="131"/>
    </row>
    <row r="89" customFormat="false" ht="15.75" hidden="false" customHeight="false" outlineLevel="0" collapsed="false">
      <c r="B89" s="257"/>
      <c r="C89" s="131"/>
      <c r="D89" s="131"/>
      <c r="E89" s="131"/>
      <c r="F89" s="131"/>
    </row>
    <row r="90" customFormat="false" ht="15.75" hidden="false" customHeight="false" outlineLevel="0" collapsed="false">
      <c r="B90" s="131"/>
      <c r="C90" s="131"/>
      <c r="D90" s="131"/>
      <c r="E90" s="131"/>
      <c r="F90" s="131"/>
    </row>
    <row r="91" customFormat="false" ht="15.75" hidden="false" customHeight="false" outlineLevel="0" collapsed="false">
      <c r="B91" s="131"/>
      <c r="C91" s="131"/>
      <c r="D91" s="131"/>
      <c r="E91" s="131"/>
      <c r="F91" s="131"/>
    </row>
    <row r="92" customFormat="false" ht="15.75" hidden="false" customHeight="false" outlineLevel="0" collapsed="false">
      <c r="B92" s="131"/>
      <c r="C92" s="131"/>
      <c r="D92" s="131"/>
      <c r="E92" s="131"/>
      <c r="F92" s="131"/>
    </row>
    <row r="93" customFormat="false" ht="15.75" hidden="false" customHeight="false" outlineLevel="0" collapsed="false">
      <c r="B93" s="131"/>
      <c r="C93" s="131"/>
      <c r="D93" s="131"/>
      <c r="E93" s="131"/>
      <c r="F93" s="131"/>
    </row>
    <row r="95" customFormat="false" ht="12" hidden="false" customHeight="true" outlineLevel="0" collapsed="false">
      <c r="B95" s="131"/>
      <c r="C95" s="131"/>
      <c r="D95" s="131"/>
      <c r="E95" s="131"/>
      <c r="F95" s="131"/>
    </row>
    <row r="96" customFormat="false" ht="15.75" hidden="false" customHeight="false" outlineLevel="0" collapsed="false">
      <c r="B96" s="131"/>
      <c r="C96" s="131"/>
      <c r="D96" s="131"/>
      <c r="E96" s="131"/>
      <c r="F96" s="131"/>
    </row>
    <row r="97" customFormat="false" ht="15.75" hidden="false" customHeight="false" outlineLevel="0" collapsed="false">
      <c r="B97" s="131"/>
      <c r="C97" s="131"/>
      <c r="D97" s="131"/>
      <c r="E97" s="131"/>
      <c r="F97" s="131"/>
    </row>
    <row r="98" customFormat="false" ht="15.75" hidden="false" customHeight="false" outlineLevel="0" collapsed="false">
      <c r="B98" s="131"/>
      <c r="C98" s="131"/>
      <c r="D98" s="131"/>
      <c r="E98" s="131"/>
      <c r="F98" s="131"/>
    </row>
    <row r="99" customFormat="false" ht="15.75" hidden="false" customHeight="false" outlineLevel="0" collapsed="false">
      <c r="B99" s="131"/>
      <c r="C99" s="131"/>
      <c r="D99" s="131"/>
      <c r="E99" s="131"/>
      <c r="F99" s="131"/>
    </row>
    <row r="100" customFormat="false" ht="15.75" hidden="false" customHeight="false" outlineLevel="0" collapsed="false">
      <c r="B100" s="131"/>
      <c r="C100" s="131"/>
      <c r="D100" s="131"/>
      <c r="E100" s="131"/>
      <c r="F100" s="131"/>
    </row>
    <row r="101" customFormat="false" ht="15.75" hidden="false" customHeight="false" outlineLevel="0" collapsed="false">
      <c r="B101" s="131"/>
      <c r="C101" s="131"/>
      <c r="D101" s="131"/>
      <c r="E101" s="131"/>
      <c r="F101" s="131"/>
    </row>
    <row r="102" customFormat="false" ht="15.75" hidden="false" customHeight="false" outlineLevel="0" collapsed="false">
      <c r="B102" s="131"/>
      <c r="C102" s="131"/>
      <c r="D102" s="131"/>
      <c r="E102" s="258"/>
      <c r="F102" s="258"/>
    </row>
    <row r="103" customFormat="false" ht="15.75" hidden="false" customHeight="false" outlineLevel="0" collapsed="false">
      <c r="B103" s="131"/>
      <c r="C103" s="131"/>
      <c r="D103" s="131"/>
      <c r="E103" s="131"/>
      <c r="F103" s="131"/>
    </row>
  </sheetData>
  <mergeCells count="52">
    <mergeCell ref="W10:X10"/>
    <mergeCell ref="Y10:Z10"/>
    <mergeCell ref="AA10:AB10"/>
    <mergeCell ref="AC10:AD10"/>
    <mergeCell ref="AE10:AF10"/>
    <mergeCell ref="AG10:AH10"/>
    <mergeCell ref="AI10:AJ10"/>
    <mergeCell ref="AK10:AL10"/>
    <mergeCell ref="AM10:AN10"/>
    <mergeCell ref="AO10:AP10"/>
    <mergeCell ref="AQ10:AR10"/>
    <mergeCell ref="AS10:AT10"/>
    <mergeCell ref="AU10:AV10"/>
    <mergeCell ref="AW10:AX10"/>
    <mergeCell ref="AY10:AZ10"/>
    <mergeCell ref="BA10:BB10"/>
    <mergeCell ref="BC10:BD10"/>
    <mergeCell ref="BE10:BF10"/>
    <mergeCell ref="BG10:BH10"/>
    <mergeCell ref="BI10:BJ10"/>
    <mergeCell ref="BK10:BL10"/>
    <mergeCell ref="BM10:BN10"/>
    <mergeCell ref="BO10:BP10"/>
    <mergeCell ref="BQ10:BR10"/>
    <mergeCell ref="BS10:BT10"/>
    <mergeCell ref="BU10:BV10"/>
    <mergeCell ref="BW10:BX10"/>
    <mergeCell ref="BY10:BZ10"/>
    <mergeCell ref="CA10:CB10"/>
    <mergeCell ref="CC10:CD10"/>
    <mergeCell ref="CE10:CF10"/>
    <mergeCell ref="CG10:CH10"/>
    <mergeCell ref="CI10:CJ10"/>
    <mergeCell ref="CK10:CL10"/>
    <mergeCell ref="CM10:CN10"/>
    <mergeCell ref="CO10:CP10"/>
    <mergeCell ref="CQ10:CR10"/>
    <mergeCell ref="CS10:CT10"/>
    <mergeCell ref="CU10:CV10"/>
    <mergeCell ref="CW10:CX10"/>
    <mergeCell ref="B63:K63"/>
    <mergeCell ref="L63:S63"/>
    <mergeCell ref="V63:AE63"/>
    <mergeCell ref="AF63:AM63"/>
    <mergeCell ref="B64:F64"/>
    <mergeCell ref="G64:K64"/>
    <mergeCell ref="L64:M64"/>
    <mergeCell ref="Q64:S64"/>
    <mergeCell ref="V64:Z64"/>
    <mergeCell ref="AA64:AE64"/>
    <mergeCell ref="AF64:AJ64"/>
    <mergeCell ref="AK64:AM6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">
              <controlPr defaultSize="0" locked="1" autoFill="0" autoLine="0" autoPict="0" print="true" altText="Check Box 1">
                <anchor moveWithCells="true" sizeWithCells="false">
                  <from>
                    <xdr:col>16</xdr:col>
                    <xdr:colOff>9720</xdr:colOff>
                    <xdr:row>8</xdr:row>
                    <xdr:rowOff>37800</xdr:rowOff>
                  </from>
                  <to>
                    <xdr:col>17</xdr:col>
                    <xdr:colOff>-511920</xdr:colOff>
                    <xdr:row>9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">
              <controlPr defaultSize="0" locked="1" autoFill="0" autoLine="0" autoPict="0" print="true" altText="Check Box 2">
                <anchor moveWithCells="true" sizeWithCells="false">
                  <from>
                    <xdr:col>16</xdr:col>
                    <xdr:colOff>9720</xdr:colOff>
                    <xdr:row>8</xdr:row>
                    <xdr:rowOff>29160</xdr:rowOff>
                  </from>
                  <to>
                    <xdr:col>17</xdr:col>
                    <xdr:colOff>-471960</xdr:colOff>
                    <xdr:row>9</xdr:row>
                    <xdr:rowOff>28800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"/>
  <sheetViews>
    <sheetView showFormulas="false" showGridLines="true" showRowColHeaders="true" showZeros="true" rightToLeft="false" tabSelected="false" showOutlineSymbols="true" defaultGridColor="true" view="normal" topLeftCell="DF1" colorId="64" zoomScale="75" zoomScaleNormal="75" zoomScalePageLayoutView="100" workbookViewId="0">
      <selection pane="topLeft" activeCell="DL12" activeCellId="0" sqref="DL12:DL4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" width="17.56"/>
    <col collapsed="false" customWidth="true" hidden="false" outlineLevel="0" max="2" min="2" style="21" width="12.28"/>
    <col collapsed="false" customWidth="true" hidden="false" outlineLevel="0" max="3" min="3" style="21" width="9.85"/>
    <col collapsed="false" customWidth="true" hidden="false" outlineLevel="0" max="4" min="4" style="21" width="10.13"/>
    <col collapsed="false" customWidth="true" hidden="false" outlineLevel="0" max="5" min="5" style="21" width="14.28"/>
    <col collapsed="false" customWidth="true" hidden="false" outlineLevel="0" max="6" min="6" style="21" width="10.71"/>
    <col collapsed="false" customWidth="true" hidden="false" outlineLevel="0" max="7" min="7" style="21" width="11.13"/>
    <col collapsed="false" customWidth="true" hidden="false" outlineLevel="0" max="8" min="8" style="21" width="10.71"/>
    <col collapsed="false" customWidth="true" hidden="false" outlineLevel="0" max="9" min="9" style="287" width="13.28"/>
    <col collapsed="false" customWidth="true" hidden="false" outlineLevel="0" max="10" min="10" style="21" width="12.7"/>
    <col collapsed="false" customWidth="true" hidden="false" outlineLevel="0" max="11" min="11" style="288" width="17.14"/>
    <col collapsed="false" customWidth="true" hidden="false" outlineLevel="0" max="12" min="12" style="21" width="12.56"/>
    <col collapsed="false" customWidth="true" hidden="false" outlineLevel="0" max="13" min="13" style="21" width="13.99"/>
    <col collapsed="false" customWidth="true" hidden="false" outlineLevel="0" max="14" min="14" style="21" width="10.13"/>
    <col collapsed="false" customWidth="true" hidden="false" outlineLevel="0" max="15" min="15" style="21" width="9.85"/>
    <col collapsed="false" customWidth="true" hidden="false" outlineLevel="0" max="17" min="16" style="21" width="13.28"/>
    <col collapsed="false" customWidth="true" hidden="false" outlineLevel="0" max="18" min="18" style="21" width="9.56"/>
    <col collapsed="false" customWidth="true" hidden="false" outlineLevel="0" max="19" min="19" style="22" width="6.99"/>
    <col collapsed="false" customWidth="true" hidden="false" outlineLevel="0" max="21" min="20" style="23" width="6.99"/>
    <col collapsed="false" customWidth="true" hidden="false" outlineLevel="0" max="22" min="22" style="21" width="13.99"/>
    <col collapsed="false" customWidth="true" hidden="false" outlineLevel="0" max="23" min="23" style="21" width="9.85"/>
    <col collapsed="false" customWidth="true" hidden="false" outlineLevel="0" max="24" min="24" style="21" width="10.28"/>
    <col collapsed="false" customWidth="true" hidden="false" outlineLevel="0" max="25" min="25" style="21" width="8.85"/>
    <col collapsed="false" customWidth="true" hidden="false" outlineLevel="0" max="26" min="26" style="21" width="11.99"/>
    <col collapsed="false" customWidth="true" hidden="false" outlineLevel="0" max="27" min="27" style="21" width="8.85"/>
    <col collapsed="false" customWidth="true" hidden="false" outlineLevel="0" max="28" min="28" style="21" width="10.28"/>
    <col collapsed="false" customWidth="true" hidden="false" outlineLevel="0" max="29" min="29" style="21" width="8.85"/>
    <col collapsed="false" customWidth="true" hidden="false" outlineLevel="0" max="30" min="30" style="21" width="10.28"/>
    <col collapsed="false" customWidth="true" hidden="false" outlineLevel="0" max="31" min="31" style="21" width="8.85"/>
    <col collapsed="false" customWidth="true" hidden="false" outlineLevel="0" max="32" min="32" style="21" width="11.99"/>
    <col collapsed="false" customWidth="true" hidden="false" outlineLevel="0" max="33" min="33" style="21" width="8.85"/>
    <col collapsed="false" customWidth="false" hidden="false" outlineLevel="0" max="34" min="34" style="24" width="9.14"/>
    <col collapsed="false" customWidth="true" hidden="false" outlineLevel="0" max="35" min="35" style="24" width="8.85"/>
    <col collapsed="false" customWidth="false" hidden="false" outlineLevel="0" max="36" min="36" style="24" width="9.14"/>
    <col collapsed="false" customWidth="true" hidden="false" outlineLevel="0" max="37" min="37" style="24" width="8.85"/>
    <col collapsed="false" customWidth="true" hidden="false" outlineLevel="0" max="38" min="38" style="21" width="10.28"/>
    <col collapsed="false" customWidth="true" hidden="false" outlineLevel="0" max="39" min="39" style="21" width="8.85"/>
    <col collapsed="false" customWidth="true" hidden="false" outlineLevel="0" max="40" min="40" style="21" width="10.28"/>
    <col collapsed="false" customWidth="true" hidden="false" outlineLevel="0" max="41" min="41" style="21" width="8.85"/>
    <col collapsed="false" customWidth="true" hidden="false" outlineLevel="0" max="42" min="42" style="21" width="10.28"/>
    <col collapsed="false" customWidth="true" hidden="false" outlineLevel="0" max="43" min="43" style="21" width="8.85"/>
    <col collapsed="false" customWidth="false" hidden="false" outlineLevel="0" max="44" min="44" style="21" width="9.14"/>
    <col collapsed="false" customWidth="true" hidden="false" outlineLevel="0" max="45" min="45" style="21" width="8.85"/>
    <col collapsed="false" customWidth="true" hidden="false" outlineLevel="0" max="46" min="46" style="21" width="10.28"/>
    <col collapsed="false" customWidth="true" hidden="false" outlineLevel="0" max="47" min="47" style="21" width="8.85"/>
    <col collapsed="false" customWidth="true" hidden="false" outlineLevel="0" max="48" min="48" style="21" width="6.85"/>
    <col collapsed="false" customWidth="true" hidden="false" outlineLevel="0" max="49" min="49" style="21" width="8.85"/>
    <col collapsed="false" customWidth="true" hidden="false" outlineLevel="0" max="50" min="50" style="21" width="6.85"/>
    <col collapsed="false" customWidth="true" hidden="false" outlineLevel="0" max="51" min="51" style="21" width="8.85"/>
    <col collapsed="false" customWidth="true" hidden="false" outlineLevel="0" max="52" min="52" style="21" width="6.85"/>
    <col collapsed="false" customWidth="true" hidden="false" outlineLevel="0" max="53" min="53" style="21" width="8.85"/>
    <col collapsed="false" customWidth="true" hidden="false" outlineLevel="0" max="54" min="54" style="21" width="6.85"/>
    <col collapsed="false" customWidth="true" hidden="false" outlineLevel="0" max="55" min="55" style="21" width="8.85"/>
    <col collapsed="false" customWidth="true" hidden="false" outlineLevel="0" max="56" min="56" style="21" width="6.85"/>
    <col collapsed="false" customWidth="true" hidden="false" outlineLevel="0" max="57" min="57" style="21" width="8.85"/>
    <col collapsed="false" customWidth="true" hidden="false" outlineLevel="0" max="58" min="58" style="21" width="6.85"/>
    <col collapsed="false" customWidth="true" hidden="false" outlineLevel="0" max="59" min="59" style="21" width="8.85"/>
    <col collapsed="false" customWidth="true" hidden="false" outlineLevel="0" max="60" min="60" style="21" width="6.85"/>
    <col collapsed="false" customWidth="true" hidden="false" outlineLevel="0" max="61" min="61" style="21" width="8.85"/>
    <col collapsed="false" customWidth="true" hidden="false" outlineLevel="0" max="62" min="62" style="21" width="6.85"/>
    <col collapsed="false" customWidth="true" hidden="false" outlineLevel="0" max="63" min="63" style="21" width="8.85"/>
    <col collapsed="false" customWidth="true" hidden="false" outlineLevel="0" max="64" min="64" style="21" width="6.85"/>
    <col collapsed="false" customWidth="true" hidden="false" outlineLevel="0" max="65" min="65" style="21" width="8.85"/>
    <col collapsed="false" customWidth="true" hidden="false" outlineLevel="0" max="66" min="66" style="21" width="6.85"/>
    <col collapsed="false" customWidth="true" hidden="false" outlineLevel="0" max="67" min="67" style="21" width="8.85"/>
    <col collapsed="false" customWidth="true" hidden="false" outlineLevel="0" max="68" min="68" style="21" width="6.85"/>
    <col collapsed="false" customWidth="true" hidden="false" outlineLevel="0" max="69" min="69" style="21" width="8.85"/>
    <col collapsed="false" customWidth="true" hidden="false" outlineLevel="0" max="70" min="70" style="21" width="6.85"/>
    <col collapsed="false" customWidth="true" hidden="false" outlineLevel="0" max="71" min="71" style="21" width="8.85"/>
    <col collapsed="false" customWidth="true" hidden="false" outlineLevel="0" max="72" min="72" style="21" width="6.85"/>
    <col collapsed="false" customWidth="true" hidden="false" outlineLevel="0" max="73" min="73" style="21" width="8.85"/>
    <col collapsed="false" customWidth="true" hidden="false" outlineLevel="0" max="74" min="74" style="21" width="6.85"/>
    <col collapsed="false" customWidth="true" hidden="false" outlineLevel="0" max="75" min="75" style="21" width="8.85"/>
    <col collapsed="false" customWidth="true" hidden="false" outlineLevel="0" max="76" min="76" style="21" width="6.85"/>
    <col collapsed="false" customWidth="true" hidden="false" outlineLevel="0" max="77" min="77" style="21" width="8.85"/>
    <col collapsed="false" customWidth="true" hidden="false" outlineLevel="0" max="78" min="78" style="21" width="6.85"/>
    <col collapsed="false" customWidth="true" hidden="false" outlineLevel="0" max="79" min="79" style="21" width="8.85"/>
    <col collapsed="false" customWidth="true" hidden="false" outlineLevel="0" max="80" min="80" style="21" width="6.85"/>
    <col collapsed="false" customWidth="true" hidden="false" outlineLevel="0" max="81" min="81" style="21" width="8.85"/>
    <col collapsed="false" customWidth="true" hidden="false" outlineLevel="0" max="82" min="82" style="21" width="6.85"/>
    <col collapsed="false" customWidth="true" hidden="false" outlineLevel="0" max="83" min="83" style="21" width="8.85"/>
    <col collapsed="false" customWidth="true" hidden="false" outlineLevel="0" max="84" min="84" style="21" width="6.85"/>
    <col collapsed="false" customWidth="true" hidden="false" outlineLevel="0" max="85" min="85" style="21" width="8.85"/>
    <col collapsed="false" customWidth="true" hidden="false" outlineLevel="0" max="86" min="86" style="21" width="6.85"/>
    <col collapsed="false" customWidth="true" hidden="false" outlineLevel="0" max="87" min="87" style="21" width="8.85"/>
    <col collapsed="false" customWidth="true" hidden="false" outlineLevel="0" max="88" min="88" style="21" width="6.85"/>
    <col collapsed="false" customWidth="true" hidden="false" outlineLevel="0" max="89" min="89" style="21" width="8.85"/>
    <col collapsed="false" customWidth="true" hidden="false" outlineLevel="0" max="90" min="90" style="21" width="6.85"/>
    <col collapsed="false" customWidth="true" hidden="false" outlineLevel="0" max="91" min="91" style="21" width="8.85"/>
    <col collapsed="false" customWidth="true" hidden="false" outlineLevel="0" max="92" min="92" style="21" width="6.85"/>
    <col collapsed="false" customWidth="true" hidden="false" outlineLevel="0" max="93" min="93" style="21" width="8.85"/>
    <col collapsed="false" customWidth="true" hidden="false" outlineLevel="0" max="94" min="94" style="21" width="6.85"/>
    <col collapsed="false" customWidth="true" hidden="false" outlineLevel="0" max="95" min="95" style="21" width="8.85"/>
    <col collapsed="false" customWidth="true" hidden="false" outlineLevel="0" max="96" min="96" style="21" width="6.85"/>
    <col collapsed="false" customWidth="true" hidden="false" outlineLevel="0" max="97" min="97" style="21" width="8.85"/>
    <col collapsed="false" customWidth="true" hidden="false" outlineLevel="0" max="98" min="98" style="21" width="6.85"/>
    <col collapsed="false" customWidth="true" hidden="false" outlineLevel="0" max="99" min="99" style="21" width="8.85"/>
    <col collapsed="false" customWidth="true" hidden="false" outlineLevel="0" max="100" min="100" style="21" width="6.85"/>
    <col collapsed="false" customWidth="true" hidden="false" outlineLevel="0" max="101" min="101" style="21" width="8.85"/>
    <col collapsed="false" customWidth="true" hidden="false" outlineLevel="0" max="102" min="102" style="21" width="6.85"/>
    <col collapsed="false" customWidth="true" hidden="false" outlineLevel="0" max="103" min="103" style="21" width="8.85"/>
    <col collapsed="false" customWidth="true" hidden="false" outlineLevel="0" max="104" min="104" style="21" width="9.7"/>
    <col collapsed="false" customWidth="true" hidden="false" outlineLevel="0" max="105" min="105" style="21" width="4.14"/>
    <col collapsed="false" customWidth="true" hidden="false" outlineLevel="0" max="106" min="106" style="21" width="11.42"/>
    <col collapsed="false" customWidth="true" hidden="false" outlineLevel="0" max="107" min="107" style="21" width="14.56"/>
    <col collapsed="false" customWidth="true" hidden="false" outlineLevel="0" max="108" min="108" style="21" width="8.85"/>
    <col collapsed="false" customWidth="true" hidden="false" outlineLevel="0" max="109" min="109" style="21" width="17.42"/>
    <col collapsed="false" customWidth="true" hidden="false" outlineLevel="0" max="111" min="110" style="21" width="11.13"/>
    <col collapsed="false" customWidth="true" hidden="false" outlineLevel="0" max="113" min="112" style="21" width="10.56"/>
    <col collapsed="false" customWidth="false" hidden="false" outlineLevel="0" max="114" min="114" style="21" width="9.14"/>
    <col collapsed="false" customWidth="true" hidden="false" outlineLevel="0" max="115" min="115" style="21" width="10.99"/>
    <col collapsed="false" customWidth="true" hidden="false" outlineLevel="0" max="116" min="116" style="21" width="12.28"/>
    <col collapsed="false" customWidth="true" hidden="false" outlineLevel="0" max="117" min="117" style="21" width="7.56"/>
    <col collapsed="false" customWidth="true" hidden="false" outlineLevel="0" max="118" min="118" style="21" width="8.85"/>
    <col collapsed="false" customWidth="false" hidden="false" outlineLevel="0" max="121" min="119" style="21" width="9.14"/>
    <col collapsed="false" customWidth="true" hidden="false" outlineLevel="0" max="122" min="122" style="21" width="9.85"/>
    <col collapsed="false" customWidth="false" hidden="false" outlineLevel="0" max="257" min="123" style="21" width="9.14"/>
  </cols>
  <sheetData>
    <row r="1" customFormat="false" ht="15.75" hidden="false" customHeight="false" outlineLevel="0" collapsed="false">
      <c r="U1" s="23" t="s">
        <v>39</v>
      </c>
      <c r="AH1" s="21"/>
      <c r="AI1" s="21"/>
      <c r="AJ1" s="21"/>
      <c r="AK1" s="21"/>
    </row>
    <row r="2" customFormat="false" ht="25.5" hidden="false" customHeight="false" outlineLevel="0" collapsed="false">
      <c r="A2" s="259" t="s">
        <v>40</v>
      </c>
      <c r="N2" s="26"/>
      <c r="AH2" s="21"/>
      <c r="AI2" s="21"/>
      <c r="AJ2" s="21"/>
      <c r="AK2" s="21"/>
    </row>
    <row r="3" customFormat="false" ht="16.5" hidden="false" customHeight="false" outlineLevel="0" collapsed="false">
      <c r="N3" s="26"/>
      <c r="AH3" s="21"/>
      <c r="AI3" s="21"/>
      <c r="AJ3" s="21"/>
      <c r="AK3" s="21"/>
    </row>
    <row r="4" customFormat="false" ht="16.5" hidden="false" customHeight="false" outlineLevel="0" collapsed="false">
      <c r="I4" s="289" t="s">
        <v>41</v>
      </c>
      <c r="J4" s="29" t="s">
        <v>42</v>
      </c>
      <c r="K4" s="290"/>
      <c r="N4" s="26"/>
      <c r="S4" s="24"/>
      <c r="T4" s="24"/>
      <c r="AH4" s="21"/>
      <c r="AI4" s="21"/>
      <c r="AJ4" s="21"/>
      <c r="AK4" s="21"/>
    </row>
    <row r="5" customFormat="false" ht="13.5" hidden="false" customHeight="false" outlineLevel="0" collapsed="false">
      <c r="A5" s="31" t="s">
        <v>43</v>
      </c>
      <c r="B5" s="32" t="n">
        <f aca="false">[3]Top!$B$4</f>
        <v>37134</v>
      </c>
      <c r="G5" s="21" t="n">
        <f aca="false">54.75-8.5</f>
        <v>46.25</v>
      </c>
      <c r="I5" s="291" t="s">
        <v>44</v>
      </c>
      <c r="J5" s="34" t="s">
        <v>45</v>
      </c>
      <c r="K5" s="292" t="s">
        <v>46</v>
      </c>
      <c r="S5" s="24"/>
      <c r="T5" s="24"/>
      <c r="U5" s="35"/>
      <c r="AH5" s="21"/>
      <c r="AI5" s="21"/>
      <c r="AJ5" s="21"/>
      <c r="AK5" s="21"/>
    </row>
    <row r="6" customFormat="false" ht="16.5" hidden="false" customHeight="false" outlineLevel="0" collapsed="false">
      <c r="A6" s="36" t="s">
        <v>47</v>
      </c>
      <c r="B6" s="37" t="n">
        <f aca="false">[3]Top!$B$5</f>
        <v>37133</v>
      </c>
      <c r="E6" s="38"/>
      <c r="I6" s="39" t="n">
        <f aca="false">SUM(I12:I56)</f>
        <v>55077.6754760742</v>
      </c>
      <c r="J6" s="39" t="n">
        <f aca="false">SUM(J12:J56)</f>
        <v>0</v>
      </c>
      <c r="K6" s="39" t="n">
        <f aca="false">SUM(K12:K56)</f>
        <v>55077.6754760742</v>
      </c>
      <c r="S6" s="24"/>
      <c r="T6" s="24"/>
      <c r="U6" s="35"/>
      <c r="AH6" s="21"/>
      <c r="AI6" s="21"/>
      <c r="AJ6" s="21"/>
      <c r="AK6" s="21"/>
    </row>
    <row r="7" customFormat="false" ht="12.75" hidden="false" customHeight="false" outlineLevel="0" collapsed="false">
      <c r="S7" s="24"/>
      <c r="T7" s="24"/>
      <c r="U7" s="35"/>
      <c r="AH7" s="21"/>
      <c r="AI7" s="21"/>
      <c r="AJ7" s="21"/>
      <c r="AK7" s="21"/>
    </row>
    <row r="8" customFormat="false" ht="13.5" hidden="false" customHeight="false" outlineLevel="0" collapsed="false">
      <c r="P8" s="43"/>
      <c r="Q8" s="43"/>
      <c r="R8" s="43"/>
      <c r="S8" s="24"/>
      <c r="T8" s="24"/>
      <c r="U8" s="35"/>
      <c r="AH8" s="21"/>
      <c r="AI8" s="21"/>
      <c r="AJ8" s="21"/>
      <c r="AK8" s="21"/>
    </row>
    <row r="9" customFormat="false" ht="25.5" hidden="false" customHeight="true" outlineLevel="0" collapsed="false">
      <c r="H9" s="44"/>
      <c r="L9" s="24"/>
      <c r="N9" s="260" t="n">
        <f aca="false">+AVERAGE(N15:N16,N18:N19,N22:N26,N29:N30,N29:N33,N36:N40,N43,N43)</f>
        <v>46.1630434782609</v>
      </c>
      <c r="O9" s="260" t="n">
        <f aca="false">+AVERAGE(O15:O16,O18:O19,O22:O26,O29:O30,O29:O33,O36:O40,O43,O43)</f>
        <v>46.1630434782609</v>
      </c>
      <c r="P9" s="43"/>
      <c r="Q9" s="45" t="b">
        <f aca="false">FALSE()</f>
        <v>0</v>
      </c>
      <c r="R9" s="43"/>
      <c r="S9" s="24"/>
      <c r="T9" s="24"/>
      <c r="U9" s="35"/>
      <c r="AH9" s="21"/>
      <c r="AI9" s="21"/>
      <c r="AJ9" s="21"/>
      <c r="AK9" s="21"/>
    </row>
    <row r="10" customFormat="false" ht="13.5" hidden="false" customHeight="false" outlineLevel="0" collapsed="false">
      <c r="A10" s="28"/>
      <c r="B10" s="28" t="s">
        <v>48</v>
      </c>
      <c r="C10" s="28" t="s">
        <v>49</v>
      </c>
      <c r="D10" s="28" t="s">
        <v>50</v>
      </c>
      <c r="E10" s="28" t="s">
        <v>51</v>
      </c>
      <c r="F10" s="28" t="s">
        <v>52</v>
      </c>
      <c r="G10" s="28" t="s">
        <v>49</v>
      </c>
      <c r="H10" s="28" t="s">
        <v>53</v>
      </c>
      <c r="I10" s="289" t="s">
        <v>41</v>
      </c>
      <c r="J10" s="29" t="s">
        <v>54</v>
      </c>
      <c r="K10" s="290"/>
      <c r="L10" s="24"/>
      <c r="M10" s="46"/>
      <c r="N10" s="46"/>
      <c r="O10" s="46"/>
      <c r="P10" s="28" t="s">
        <v>55</v>
      </c>
      <c r="Q10" s="28" t="s">
        <v>56</v>
      </c>
      <c r="R10" s="28" t="s">
        <v>53</v>
      </c>
      <c r="S10" s="24"/>
      <c r="T10" s="24"/>
      <c r="U10" s="35"/>
      <c r="V10" s="47"/>
      <c r="W10" s="28" t="n">
        <v>1</v>
      </c>
      <c r="X10" s="28"/>
      <c r="Y10" s="28" t="n">
        <v>2</v>
      </c>
      <c r="Z10" s="28"/>
      <c r="AA10" s="28" t="n">
        <v>3</v>
      </c>
      <c r="AB10" s="28"/>
      <c r="AC10" s="28" t="n">
        <v>4</v>
      </c>
      <c r="AD10" s="28"/>
      <c r="AE10" s="28" t="n">
        <v>5</v>
      </c>
      <c r="AF10" s="28"/>
      <c r="AG10" s="28" t="n">
        <v>6</v>
      </c>
      <c r="AH10" s="28"/>
      <c r="AI10" s="28" t="n">
        <v>7</v>
      </c>
      <c r="AJ10" s="28"/>
      <c r="AK10" s="28" t="n">
        <v>8</v>
      </c>
      <c r="AL10" s="28"/>
      <c r="AM10" s="28" t="n">
        <v>9</v>
      </c>
      <c r="AN10" s="28"/>
      <c r="AO10" s="28" t="n">
        <v>10</v>
      </c>
      <c r="AP10" s="28"/>
      <c r="AQ10" s="28" t="n">
        <v>11</v>
      </c>
      <c r="AR10" s="28"/>
      <c r="AS10" s="28" t="n">
        <v>12</v>
      </c>
      <c r="AT10" s="28"/>
      <c r="AU10" s="28" t="n">
        <v>13</v>
      </c>
      <c r="AV10" s="28"/>
      <c r="AW10" s="28" t="n">
        <v>14</v>
      </c>
      <c r="AX10" s="28"/>
      <c r="AY10" s="28" t="n">
        <v>15</v>
      </c>
      <c r="AZ10" s="28"/>
      <c r="BA10" s="28" t="n">
        <v>16</v>
      </c>
      <c r="BB10" s="28"/>
      <c r="BC10" s="28" t="n">
        <v>17</v>
      </c>
      <c r="BD10" s="28"/>
      <c r="BE10" s="28" t="n">
        <v>18</v>
      </c>
      <c r="BF10" s="28"/>
      <c r="BG10" s="28" t="n">
        <v>19</v>
      </c>
      <c r="BH10" s="28"/>
      <c r="BI10" s="28" t="n">
        <v>20</v>
      </c>
      <c r="BJ10" s="28"/>
      <c r="BK10" s="28" t="n">
        <v>21</v>
      </c>
      <c r="BL10" s="28"/>
      <c r="BM10" s="28" t="n">
        <v>22</v>
      </c>
      <c r="BN10" s="28"/>
      <c r="BO10" s="28" t="n">
        <v>23</v>
      </c>
      <c r="BP10" s="28"/>
      <c r="BQ10" s="28" t="n">
        <v>24</v>
      </c>
      <c r="BR10" s="28"/>
      <c r="BS10" s="28" t="n">
        <v>25</v>
      </c>
      <c r="BT10" s="28"/>
      <c r="BU10" s="28" t="n">
        <v>26</v>
      </c>
      <c r="BV10" s="28"/>
      <c r="BW10" s="28" t="n">
        <v>27</v>
      </c>
      <c r="BX10" s="28"/>
      <c r="BY10" s="28" t="n">
        <v>28</v>
      </c>
      <c r="BZ10" s="28"/>
      <c r="CA10" s="28" t="n">
        <v>29</v>
      </c>
      <c r="CB10" s="28"/>
      <c r="CC10" s="28" t="n">
        <v>30</v>
      </c>
      <c r="CD10" s="28"/>
      <c r="CE10" s="28" t="n">
        <v>31</v>
      </c>
      <c r="CF10" s="28"/>
      <c r="CG10" s="28" t="n">
        <v>32</v>
      </c>
      <c r="CH10" s="28"/>
      <c r="CI10" s="28" t="n">
        <v>33</v>
      </c>
      <c r="CJ10" s="28"/>
      <c r="CK10" s="28" t="n">
        <v>34</v>
      </c>
      <c r="CL10" s="28"/>
      <c r="CM10" s="28" t="n">
        <v>35</v>
      </c>
      <c r="CN10" s="28"/>
      <c r="CO10" s="28" t="n">
        <v>36</v>
      </c>
      <c r="CP10" s="28"/>
      <c r="CQ10" s="28" t="n">
        <v>37</v>
      </c>
      <c r="CR10" s="28"/>
      <c r="CS10" s="28" t="n">
        <v>38</v>
      </c>
      <c r="CT10" s="28"/>
      <c r="CU10" s="28" t="n">
        <v>39</v>
      </c>
      <c r="CV10" s="28"/>
      <c r="CW10" s="28" t="n">
        <v>40</v>
      </c>
      <c r="CX10" s="28"/>
      <c r="CY10" s="48" t="s">
        <v>57</v>
      </c>
      <c r="CZ10" s="49" t="s">
        <v>58</v>
      </c>
      <c r="DA10" s="50"/>
      <c r="DB10" s="50"/>
      <c r="DC10" s="50" t="s">
        <v>59</v>
      </c>
      <c r="DD10" s="50" t="s">
        <v>60</v>
      </c>
      <c r="DE10" s="50" t="s">
        <v>61</v>
      </c>
      <c r="DF10" s="50" t="s">
        <v>62</v>
      </c>
      <c r="DG10" s="50" t="s">
        <v>62</v>
      </c>
      <c r="DH10" s="50" t="s">
        <v>63</v>
      </c>
      <c r="DI10" s="50" t="s">
        <v>63</v>
      </c>
      <c r="DL10" s="51" t="s">
        <v>52</v>
      </c>
    </row>
    <row r="11" customFormat="false" ht="13.5" hidden="false" customHeight="false" outlineLevel="0" collapsed="false">
      <c r="A11" s="52" t="s">
        <v>64</v>
      </c>
      <c r="B11" s="34" t="s">
        <v>68</v>
      </c>
      <c r="C11" s="33" t="s">
        <v>66</v>
      </c>
      <c r="D11" s="33" t="s">
        <v>87</v>
      </c>
      <c r="E11" s="33" t="s">
        <v>68</v>
      </c>
      <c r="F11" s="33" t="s">
        <v>69</v>
      </c>
      <c r="G11" s="33" t="s">
        <v>70</v>
      </c>
      <c r="H11" s="33" t="s">
        <v>69</v>
      </c>
      <c r="I11" s="291" t="s">
        <v>44</v>
      </c>
      <c r="J11" s="34" t="s">
        <v>45</v>
      </c>
      <c r="K11" s="292" t="s">
        <v>46</v>
      </c>
      <c r="L11" s="24"/>
      <c r="M11" s="52" t="s">
        <v>64</v>
      </c>
      <c r="N11" s="52" t="s">
        <v>71</v>
      </c>
      <c r="O11" s="52" t="s">
        <v>72</v>
      </c>
      <c r="P11" s="33" t="s">
        <v>56</v>
      </c>
      <c r="Q11" s="33" t="s">
        <v>73</v>
      </c>
      <c r="R11" s="33" t="s">
        <v>69</v>
      </c>
      <c r="S11" s="24"/>
      <c r="T11" s="24"/>
      <c r="U11" s="35"/>
      <c r="V11" s="33" t="s">
        <v>64</v>
      </c>
      <c r="W11" s="53" t="s">
        <v>74</v>
      </c>
      <c r="X11" s="34" t="s">
        <v>69</v>
      </c>
      <c r="Y11" s="53" t="s">
        <v>74</v>
      </c>
      <c r="Z11" s="34" t="s">
        <v>69</v>
      </c>
      <c r="AA11" s="53" t="s">
        <v>74</v>
      </c>
      <c r="AB11" s="34" t="s">
        <v>69</v>
      </c>
      <c r="AC11" s="53" t="s">
        <v>74</v>
      </c>
      <c r="AD11" s="34" t="s">
        <v>69</v>
      </c>
      <c r="AE11" s="53" t="s">
        <v>74</v>
      </c>
      <c r="AF11" s="34" t="s">
        <v>69</v>
      </c>
      <c r="AG11" s="53" t="s">
        <v>74</v>
      </c>
      <c r="AH11" s="34" t="s">
        <v>69</v>
      </c>
      <c r="AI11" s="53" t="s">
        <v>74</v>
      </c>
      <c r="AJ11" s="34" t="s">
        <v>69</v>
      </c>
      <c r="AK11" s="53" t="s">
        <v>74</v>
      </c>
      <c r="AL11" s="34" t="s">
        <v>69</v>
      </c>
      <c r="AM11" s="53" t="s">
        <v>74</v>
      </c>
      <c r="AN11" s="34" t="s">
        <v>69</v>
      </c>
      <c r="AO11" s="53" t="s">
        <v>74</v>
      </c>
      <c r="AP11" s="34" t="s">
        <v>69</v>
      </c>
      <c r="AQ11" s="53" t="s">
        <v>74</v>
      </c>
      <c r="AR11" s="34" t="s">
        <v>69</v>
      </c>
      <c r="AS11" s="53" t="s">
        <v>74</v>
      </c>
      <c r="AT11" s="34" t="s">
        <v>69</v>
      </c>
      <c r="AU11" s="54" t="s">
        <v>74</v>
      </c>
      <c r="AV11" s="55" t="s">
        <v>69</v>
      </c>
      <c r="AW11" s="53" t="s">
        <v>74</v>
      </c>
      <c r="AX11" s="34" t="s">
        <v>69</v>
      </c>
      <c r="AY11" s="53" t="s">
        <v>74</v>
      </c>
      <c r="AZ11" s="34" t="s">
        <v>69</v>
      </c>
      <c r="BA11" s="53" t="s">
        <v>74</v>
      </c>
      <c r="BB11" s="34" t="s">
        <v>69</v>
      </c>
      <c r="BC11" s="53" t="s">
        <v>74</v>
      </c>
      <c r="BD11" s="34" t="s">
        <v>69</v>
      </c>
      <c r="BE11" s="53" t="s">
        <v>74</v>
      </c>
      <c r="BF11" s="34" t="s">
        <v>69</v>
      </c>
      <c r="BG11" s="53" t="s">
        <v>74</v>
      </c>
      <c r="BH11" s="34" t="s">
        <v>69</v>
      </c>
      <c r="BI11" s="53" t="s">
        <v>74</v>
      </c>
      <c r="BJ11" s="34" t="s">
        <v>69</v>
      </c>
      <c r="BK11" s="53" t="s">
        <v>74</v>
      </c>
      <c r="BL11" s="34" t="s">
        <v>69</v>
      </c>
      <c r="BM11" s="53" t="s">
        <v>74</v>
      </c>
      <c r="BN11" s="34" t="s">
        <v>69</v>
      </c>
      <c r="BO11" s="53" t="s">
        <v>74</v>
      </c>
      <c r="BP11" s="34" t="s">
        <v>69</v>
      </c>
      <c r="BQ11" s="53" t="s">
        <v>74</v>
      </c>
      <c r="BR11" s="34" t="s">
        <v>69</v>
      </c>
      <c r="BS11" s="53" t="s">
        <v>74</v>
      </c>
      <c r="BT11" s="34" t="s">
        <v>69</v>
      </c>
      <c r="BU11" s="53" t="s">
        <v>74</v>
      </c>
      <c r="BV11" s="34" t="s">
        <v>69</v>
      </c>
      <c r="BW11" s="53" t="s">
        <v>74</v>
      </c>
      <c r="BX11" s="34" t="s">
        <v>69</v>
      </c>
      <c r="BY11" s="53" t="s">
        <v>74</v>
      </c>
      <c r="BZ11" s="34" t="s">
        <v>69</v>
      </c>
      <c r="CA11" s="53" t="s">
        <v>74</v>
      </c>
      <c r="CB11" s="34" t="s">
        <v>69</v>
      </c>
      <c r="CC11" s="53" t="s">
        <v>74</v>
      </c>
      <c r="CD11" s="34" t="s">
        <v>69</v>
      </c>
      <c r="CE11" s="53" t="s">
        <v>74</v>
      </c>
      <c r="CF11" s="34" t="s">
        <v>69</v>
      </c>
      <c r="CG11" s="53" t="s">
        <v>74</v>
      </c>
      <c r="CH11" s="34" t="s">
        <v>69</v>
      </c>
      <c r="CI11" s="53" t="s">
        <v>74</v>
      </c>
      <c r="CJ11" s="34" t="s">
        <v>69</v>
      </c>
      <c r="CK11" s="53" t="s">
        <v>74</v>
      </c>
      <c r="CL11" s="34" t="s">
        <v>69</v>
      </c>
      <c r="CM11" s="53" t="s">
        <v>74</v>
      </c>
      <c r="CN11" s="34" t="s">
        <v>69</v>
      </c>
      <c r="CO11" s="53" t="s">
        <v>74</v>
      </c>
      <c r="CP11" s="34" t="s">
        <v>69</v>
      </c>
      <c r="CQ11" s="53" t="s">
        <v>74</v>
      </c>
      <c r="CR11" s="34" t="s">
        <v>69</v>
      </c>
      <c r="CS11" s="53" t="s">
        <v>74</v>
      </c>
      <c r="CT11" s="34" t="s">
        <v>69</v>
      </c>
      <c r="CU11" s="53" t="s">
        <v>74</v>
      </c>
      <c r="CV11" s="34" t="s">
        <v>69</v>
      </c>
      <c r="CW11" s="53" t="s">
        <v>74</v>
      </c>
      <c r="CX11" s="34" t="s">
        <v>69</v>
      </c>
      <c r="CY11" s="56" t="s">
        <v>74</v>
      </c>
      <c r="CZ11" s="57" t="s">
        <v>69</v>
      </c>
      <c r="DA11" s="50"/>
      <c r="DB11" s="50"/>
      <c r="DC11" s="50" t="s">
        <v>75</v>
      </c>
      <c r="DD11" s="50" t="s">
        <v>76</v>
      </c>
      <c r="DE11" s="50"/>
      <c r="DF11" s="50" t="n">
        <v>1</v>
      </c>
      <c r="DG11" s="50" t="n">
        <v>2</v>
      </c>
      <c r="DH11" s="50" t="n">
        <v>1</v>
      </c>
      <c r="DI11" s="50" t="n">
        <v>2</v>
      </c>
      <c r="DL11" s="51" t="s">
        <v>77</v>
      </c>
      <c r="DN11" s="51" t="s">
        <v>78</v>
      </c>
    </row>
    <row r="12" customFormat="false" ht="18.75" hidden="false" customHeight="false" outlineLevel="0" collapsed="false">
      <c r="A12" s="58" t="n">
        <f aca="false">'NYISO A'!A12</f>
        <v>37135</v>
      </c>
      <c r="B12" s="59" t="n">
        <f aca="false">+[3]NYZoneJ!$L3/16</f>
        <v>0</v>
      </c>
      <c r="C12" s="60" t="n">
        <f aca="false">CY12</f>
        <v>0</v>
      </c>
      <c r="D12" s="61" t="n">
        <f aca="false">($AP$69+IF(MONTH(A12)=MONTH(EOMONTH(TradeDate,1)),$AP$70,0))*VLOOKUP(A12,$DK$12:$DN$43,4)</f>
        <v>0</v>
      </c>
      <c r="E12" s="62" t="n">
        <f aca="false">B12+C12+D12</f>
        <v>0</v>
      </c>
      <c r="F12" s="63" t="n">
        <f aca="false">[3]NYZoneJ!$C3</f>
        <v>42</v>
      </c>
      <c r="G12" s="63" t="n">
        <f aca="false">IF($Q$9,Q12,P12)</f>
        <v>-5.02</v>
      </c>
      <c r="H12" s="64" t="n">
        <f aca="false">F12+G12</f>
        <v>36.98</v>
      </c>
      <c r="I12" s="65" t="n">
        <f aca="false">B12*G12*DD12</f>
        <v>-0</v>
      </c>
      <c r="J12" s="66" t="n">
        <f aca="false">DH12+DI12+$AP$71</f>
        <v>0</v>
      </c>
      <c r="K12" s="66" t="n">
        <f aca="false">I12+J12</f>
        <v>0</v>
      </c>
      <c r="L12" s="24"/>
      <c r="M12" s="67" t="n">
        <f aca="false">A12</f>
        <v>37135</v>
      </c>
      <c r="N12" s="92" t="n">
        <v>36.98</v>
      </c>
      <c r="O12" s="92" t="n">
        <v>36.98</v>
      </c>
      <c r="P12" s="69" t="n">
        <f aca="false">AVERAGE(N12:O12)-F12</f>
        <v>-5.02</v>
      </c>
      <c r="Q12" s="70"/>
      <c r="R12" s="71" t="n">
        <f aca="false">H12</f>
        <v>36.98</v>
      </c>
      <c r="S12" s="24"/>
      <c r="T12" s="24"/>
      <c r="U12" s="72"/>
      <c r="V12" s="73" t="n">
        <f aca="false">A12</f>
        <v>37135</v>
      </c>
      <c r="W12" s="74"/>
      <c r="X12" s="293"/>
      <c r="Y12" s="77"/>
      <c r="Z12" s="78"/>
      <c r="AA12" s="77"/>
      <c r="AB12" s="78"/>
      <c r="AC12" s="77"/>
      <c r="AD12" s="78"/>
      <c r="AE12" s="77"/>
      <c r="AF12" s="78"/>
      <c r="AG12" s="77"/>
      <c r="AH12" s="78"/>
      <c r="AI12" s="77"/>
      <c r="AJ12" s="78"/>
      <c r="AK12" s="77"/>
      <c r="AL12" s="78"/>
      <c r="AM12" s="77"/>
      <c r="AN12" s="78"/>
      <c r="AO12" s="77"/>
      <c r="AP12" s="78"/>
      <c r="AQ12" s="77"/>
      <c r="AR12" s="78"/>
      <c r="AS12" s="77"/>
      <c r="AT12" s="160"/>
      <c r="AU12" s="139"/>
      <c r="AV12" s="140"/>
      <c r="AW12" s="96"/>
      <c r="AX12" s="75"/>
      <c r="AY12" s="81"/>
      <c r="AZ12" s="75"/>
      <c r="BA12" s="81"/>
      <c r="BB12" s="75"/>
      <c r="BC12" s="81"/>
      <c r="BD12" s="75"/>
      <c r="BE12" s="81"/>
      <c r="BF12" s="75"/>
      <c r="BG12" s="81"/>
      <c r="BH12" s="75"/>
      <c r="BI12" s="81"/>
      <c r="BJ12" s="75"/>
      <c r="BK12" s="81"/>
      <c r="BL12" s="75"/>
      <c r="BM12" s="81"/>
      <c r="BN12" s="75"/>
      <c r="BO12" s="81"/>
      <c r="BP12" s="75"/>
      <c r="BQ12" s="81"/>
      <c r="BR12" s="75"/>
      <c r="BS12" s="81"/>
      <c r="BT12" s="75"/>
      <c r="BU12" s="81"/>
      <c r="BV12" s="75"/>
      <c r="BW12" s="81"/>
      <c r="BX12" s="75"/>
      <c r="BY12" s="81"/>
      <c r="BZ12" s="75"/>
      <c r="CA12" s="81"/>
      <c r="CB12" s="75"/>
      <c r="CC12" s="81"/>
      <c r="CD12" s="75"/>
      <c r="CE12" s="81"/>
      <c r="CF12" s="75"/>
      <c r="CG12" s="81"/>
      <c r="CH12" s="75"/>
      <c r="CI12" s="81"/>
      <c r="CJ12" s="75"/>
      <c r="CK12" s="81"/>
      <c r="CL12" s="75"/>
      <c r="CM12" s="81"/>
      <c r="CN12" s="75"/>
      <c r="CO12" s="81"/>
      <c r="CP12" s="75"/>
      <c r="CQ12" s="81"/>
      <c r="CR12" s="75"/>
      <c r="CS12" s="81"/>
      <c r="CT12" s="75"/>
      <c r="CU12" s="81"/>
      <c r="CV12" s="75"/>
      <c r="CW12" s="81"/>
      <c r="CX12" s="75"/>
      <c r="CY12" s="82" t="n">
        <f aca="false">W12+Y12+AA12+AC12+AE12+AG12+AI12+AK12+AM12+AO12+AQ12+AS12+AU12+AW12+AY12+BA12+BC12+BE12+BG12+BI12+BK12+BM12+BO12+BQ12+BS12+BU12+BW12+BY12+CA12+CC12+CE12+CG12+CI12+CK12+CM12+CO12+CQ12+CS12+CU12+CW12</f>
        <v>0</v>
      </c>
      <c r="CZ12" s="83" t="n">
        <f aca="false">IF(AND(CY12=0,DC12=0),0,(DF12+DG12)/DC12)</f>
        <v>0</v>
      </c>
      <c r="DA12" s="84" t="n">
        <f aca="false">DC12*DD12</f>
        <v>0</v>
      </c>
      <c r="DB12" s="85" t="n">
        <f aca="false">V12</f>
        <v>37135</v>
      </c>
      <c r="DC12" s="84" t="n">
        <f aca="false">ABS(W12)+ABS(Y12)+ABS(AA12)+ABS(AC12)+ABS(AE12)+ABS(AG12)+ABS(AI12)+ABS(AK12)+ABS(AM12)+ABS(AO12)+ABS(AQ12)+ABS(AS12)+ABS(AU12)+ABS(AW12)+ABS(AY12)+ABS(BA12)+ABS(BC12)+ABS(BE12)+ABS(BG12)+ABS(BI12)+ABS(BK12)+ABS(BM12)+ABS(BO12)+ABS(BQ12)+ABS(BS12)+ABS(BU12)+ABS(BW12)+ABS(BY12)+ABS(CA12)+ABS(CC12)+ABS(CE12)+ABS(CG12)+ABS(CI12)+ABS(CK12)+ABS(CM12)+ABS(CO12)+ABS(CQ12)+ABS(CS12)+ABS(CU12)+ABS(CW12)</f>
        <v>0</v>
      </c>
      <c r="DD12" s="86" t="n">
        <v>16</v>
      </c>
      <c r="DE12" s="84" t="n">
        <v>1</v>
      </c>
      <c r="DF12" s="43" t="n">
        <f aca="false">(ABS(W12)*X12+ABS(Y12)*Z12+ABS(AA12)*AB12+ABS(AC12)*AD12+ABS(AE12)*AF12+ABS(AG12)*AH12+ABS(AI12)*AJ12+ABS(AK12)*AL12+ABS(AM12)*AN12+ABS(AO12)*AP12+ABS(AQ12)*AR12+ABS(AS12)*AT12+ABS(AU12)*AV12+ABS(AW12)*AX12+ABS(AY12)*AZ12+ABS(BA12)*BB12+ABS(BC12)*BD12+ABS(BE12)*BF12+ABS(BG12)*BH12+ABS(BI12)*BJ12)</f>
        <v>0</v>
      </c>
      <c r="DG12" s="43" t="n">
        <f aca="false">ABS(BK12)*BL12+ABS(BM12)*BN12+ABS(BO12)*BP12+ABS(BQ12)*BR12+ABS(BS12)*BT12+ABS(BU12)*BV12+ABS(BW12)*BX12+ABS(BY12)*BZ12+ABS(CA12)*CB12+ABS(CC12)*CD12+ABS(CE12)*CF12+ABS(CG12)*CH12+ABS(CI12)*CJ12+ABS(CK12)*CL12+ABS(CM12)*CN12+ABS(CO12)*CP12+ABS(CQ12)*CR12+ABS(CS12)*CT12+ABS(CU12)*CV12+ABS(CW12)*CX12</f>
        <v>0</v>
      </c>
      <c r="DH12" s="43" t="n">
        <f aca="false">((H12-X12)*W12+(H12-Z12)*Y12+(H12-AB12)*AA12+(H12-AD12)*AC12+(H12-AF12)*AE12+(H12-AH12)*AG12+(H12-AJ12)*AI12+(H12-AL12)*AK12+(H12-AN12)*AM12+(H12-AP12)*AO12+(H12-AR12)*AQ12+(H12-AT12)*AS12+(H12-AV12)*AU12+(H12-AX12)*AW12+(H12-AZ12)*AY12+(H12-BB12)*BA12+(H12-BD12)*BC12+(H12-BF12)*BE12+(H12-BH12)*BG12+(H12-BJ12)*BI12)*DD12*DE12</f>
        <v>0</v>
      </c>
      <c r="DI12" s="43" t="n">
        <f aca="false">(((H12-BL12)*BK12+(H12-BN12)*BM12+(H12-BP12)*BO12+(H12-BR12)*BQ12+(H12-BT12)*BS12+(H12-BV12)*BU12+(H12-BX12)*BW12+(H12-BZ12)*BY12+(H12-CB12)*CA12+(H12-CD12)*CC12+(H12-CF12)*CE12+(H12-CH12)*CG12+(H12-CJ12)*CH12+(H12-CL12)*CK12+(H12-CN12)*CM12+(H12-CP12)*CO12+(H12-CR12)*CQ12+(H12-CT12)*CS12+(H12-CV12)*CU12+(H12-CX12)*CW12)*DD12*DE12)</f>
        <v>0</v>
      </c>
      <c r="DK12" s="85" t="n">
        <v>37135</v>
      </c>
      <c r="DL12" s="21" t="n">
        <v>0</v>
      </c>
      <c r="DN12" s="21" t="n">
        <f aca="false">IF(AND(WEEKDAY(DK12)&gt;1,WEEKDAY(DK12)&lt;7),1,0)</f>
        <v>0</v>
      </c>
    </row>
    <row r="13" customFormat="false" ht="18.75" hidden="false" customHeight="false" outlineLevel="0" collapsed="false">
      <c r="A13" s="58" t="n">
        <f aca="false">'NYISO A'!A13</f>
        <v>37136</v>
      </c>
      <c r="B13" s="59" t="n">
        <f aca="false">+[3]NYZoneJ!$L4/16</f>
        <v>0</v>
      </c>
      <c r="C13" s="60" t="n">
        <f aca="false">CY13</f>
        <v>0</v>
      </c>
      <c r="D13" s="87" t="n">
        <f aca="false">(IF(MONTH(A13)=MONTH(EOMONTH(TradeDate,1)),$AP$70,0)*VLOOKUP(A13,$DK$12:$DN$43,4))</f>
        <v>0</v>
      </c>
      <c r="E13" s="62" t="n">
        <f aca="false">B13+C13+D13</f>
        <v>0</v>
      </c>
      <c r="F13" s="63" t="n">
        <f aca="false">[3]NYZoneJ!$C4</f>
        <v>42</v>
      </c>
      <c r="G13" s="88" t="n">
        <f aca="false">IF($Q$9,Q13,P13)</f>
        <v>0</v>
      </c>
      <c r="H13" s="89" t="n">
        <f aca="false">F13+G13</f>
        <v>42</v>
      </c>
      <c r="I13" s="87" t="n">
        <f aca="false">B13*G13*DD13</f>
        <v>0</v>
      </c>
      <c r="J13" s="66" t="n">
        <f aca="false">DH13+DI13</f>
        <v>0</v>
      </c>
      <c r="K13" s="90" t="n">
        <f aca="false">I13+J13</f>
        <v>0</v>
      </c>
      <c r="L13" s="42"/>
      <c r="M13" s="67" t="n">
        <f aca="false">A13</f>
        <v>37136</v>
      </c>
      <c r="N13" s="92" t="n">
        <v>42</v>
      </c>
      <c r="O13" s="92" t="n">
        <v>42</v>
      </c>
      <c r="P13" s="69" t="n">
        <f aca="false">AVERAGE(N13:O13)-F13</f>
        <v>0</v>
      </c>
      <c r="Q13" s="70"/>
      <c r="R13" s="91" t="n">
        <f aca="false">H13</f>
        <v>42</v>
      </c>
      <c r="S13" s="24"/>
      <c r="T13" s="24"/>
      <c r="U13" s="72"/>
      <c r="V13" s="73" t="n">
        <f aca="false">A13</f>
        <v>37136</v>
      </c>
      <c r="W13" s="77"/>
      <c r="X13" s="78"/>
      <c r="Y13" s="79"/>
      <c r="Z13" s="261"/>
      <c r="AA13" s="77"/>
      <c r="AB13" s="78"/>
      <c r="AC13" s="77"/>
      <c r="AD13" s="78"/>
      <c r="AE13" s="77"/>
      <c r="AF13" s="99"/>
      <c r="AG13" s="77"/>
      <c r="AH13" s="76"/>
      <c r="AI13" s="77"/>
      <c r="AJ13" s="78"/>
      <c r="AK13" s="77"/>
      <c r="AL13" s="78"/>
      <c r="AM13" s="93"/>
      <c r="AN13" s="76"/>
      <c r="AO13" s="93"/>
      <c r="AP13" s="97"/>
      <c r="AQ13" s="93"/>
      <c r="AR13" s="97"/>
      <c r="AS13" s="77"/>
      <c r="AT13" s="160"/>
      <c r="AU13" s="94"/>
      <c r="AV13" s="95"/>
      <c r="AW13" s="96"/>
      <c r="AX13" s="75"/>
      <c r="AY13" s="81"/>
      <c r="AZ13" s="75"/>
      <c r="BA13" s="81"/>
      <c r="BB13" s="75"/>
      <c r="BC13" s="81"/>
      <c r="BD13" s="75"/>
      <c r="BE13" s="81"/>
      <c r="BF13" s="75"/>
      <c r="BG13" s="81"/>
      <c r="BH13" s="75"/>
      <c r="BI13" s="81"/>
      <c r="BJ13" s="75"/>
      <c r="BK13" s="81"/>
      <c r="BL13" s="75"/>
      <c r="BM13" s="81"/>
      <c r="BN13" s="75"/>
      <c r="BO13" s="81"/>
      <c r="BP13" s="75"/>
      <c r="BQ13" s="81"/>
      <c r="BR13" s="75"/>
      <c r="BS13" s="81"/>
      <c r="BT13" s="75"/>
      <c r="BU13" s="81"/>
      <c r="BV13" s="75"/>
      <c r="BW13" s="81"/>
      <c r="BX13" s="75"/>
      <c r="BY13" s="81"/>
      <c r="BZ13" s="75"/>
      <c r="CA13" s="81"/>
      <c r="CB13" s="75"/>
      <c r="CC13" s="81"/>
      <c r="CD13" s="75"/>
      <c r="CE13" s="81"/>
      <c r="CF13" s="75"/>
      <c r="CG13" s="81"/>
      <c r="CH13" s="75"/>
      <c r="CI13" s="81"/>
      <c r="CJ13" s="75"/>
      <c r="CK13" s="81"/>
      <c r="CL13" s="75"/>
      <c r="CM13" s="81"/>
      <c r="CN13" s="75"/>
      <c r="CO13" s="81"/>
      <c r="CP13" s="75"/>
      <c r="CQ13" s="81"/>
      <c r="CR13" s="75"/>
      <c r="CS13" s="81"/>
      <c r="CT13" s="75"/>
      <c r="CU13" s="81"/>
      <c r="CV13" s="75"/>
      <c r="CW13" s="81"/>
      <c r="CX13" s="75"/>
      <c r="CY13" s="82" t="n">
        <f aca="false">W13+Y13+AA13+AC13+AE13+AG13+AI13+AK13+AM13+AO13+AQ13+AS13+AU13+AW13+AY13+BA13+BC13+BE13+BG13+BI13+BK13+BM13+BO13+BQ13+BS13+BU13+BW13+BY13+CA13+CC13+CE13+CG13+CI13+CK13+CM13+CO13+CQ13+CS13+CU13+CW13</f>
        <v>0</v>
      </c>
      <c r="CZ13" s="83" t="n">
        <f aca="false">IF(AND(CY13=0,DC13=0),0,(DF13+DG13)/DC13)</f>
        <v>0</v>
      </c>
      <c r="DA13" s="84" t="n">
        <f aca="false">DC13*DD13</f>
        <v>0</v>
      </c>
      <c r="DB13" s="85" t="n">
        <f aca="false">V13</f>
        <v>37136</v>
      </c>
      <c r="DC13" s="84" t="n">
        <f aca="false">ABS(W13)+ABS(Y13)+ABS(AA13)+ABS(AC13)+ABS(AE13)+ABS(AG13)+ABS(AI13)+ABS(AK13)+ABS(AM13)+ABS(AO13)+ABS(AQ13)+ABS(AS13)+ABS(AU13)+ABS(AW13)+ABS(AY13)+ABS(BA13)+ABS(BC13)+ABS(BE13)+ABS(BG13)+ABS(BI13)+ABS(BK13)+ABS(BM13)+ABS(BO13)+ABS(BQ13)+ABS(BS13)+ABS(BU13)+ABS(BW13)+ABS(BY13)+ABS(CA13)+ABS(CC13)+ABS(CE13)+ABS(CG13)+ABS(CI13)+ABS(CK13)+ABS(CM13)+ABS(CO13)+ABS(CQ13)+ABS(CS13)+ABS(CU13)+ABS(CW13)</f>
        <v>0</v>
      </c>
      <c r="DD13" s="86" t="n">
        <v>16</v>
      </c>
      <c r="DE13" s="84" t="n">
        <v>1</v>
      </c>
      <c r="DF13" s="43" t="n">
        <f aca="false">(ABS(W13)*X13+ABS(Y13)*Z13+ABS(AA13)*AB13+ABS(AC13)*AD13+ABS(AE13)*AF13+ABS(AG13)*AH13+ABS(AI13)*AJ13+ABS(AK13)*AL13+ABS(AM13)*AN13+ABS(AO13)*AP13+ABS(AQ13)*AR13+ABS(AS13)*AT13+ABS(AU13)*AV13+ABS(AW13)*AX13+ABS(AY13)*AZ13+ABS(BA13)*BB13+ABS(BC13)*BD13+ABS(BE13)*BF13+ABS(BG13)*BH13+ABS(BI13)*BJ13)</f>
        <v>0</v>
      </c>
      <c r="DG13" s="43" t="n">
        <f aca="false">ABS(BK13)*BL13+ABS(BM13)*BN13+ABS(BO13)*BP13+ABS(BQ13)*BR13+ABS(BS13)*BT13+ABS(BU13)*BV13+ABS(BW13)*BX13+ABS(BY13)*BZ13+ABS(CA13)*CB13+ABS(CC13)*CD13+ABS(CE13)*CF13+ABS(CG13)*CH13+ABS(CI13)*CJ13+ABS(CK13)*CL13+ABS(CM13)*CN13+ABS(CO13)*CP13+ABS(CQ13)*CR13+ABS(CS13)*CT13+ABS(CU13)*CV13+ABS(CW13)*CX13</f>
        <v>0</v>
      </c>
      <c r="DH13" s="43" t="n">
        <f aca="false">((H13-X13)*W13+(H13-Z13)*Y13+(H13-AB13)*AA13+(H13-AD13)*AC13+(H13-AF13)*AE13+(H13-AH13)*AG13+(H13-AJ13)*AI13+(H13-AL13)*AK13+(H13-AN13)*AM13+(H13-AP13)*AO13+(H13-AR13)*AQ13+(H13-AT13)*AS13+(H13-AV13)*AU13+(H13-AX13)*AW13+(H13-AZ13)*AY13+(H13-BB13)*BA13+(H13-BD13)*BC13+(H13-BF13)*BE13+(H13-BH13)*BG13+(H13-BJ13)*BI13)*DD13*DE13</f>
        <v>0</v>
      </c>
      <c r="DI13" s="43" t="n">
        <f aca="false">(((H13-BL13)*BK13+(H13-BN13)*BM13+(H13-BP13)*BO13+(H13-BR13)*BQ13+(H13-BT13)*BS13+(H13-BV13)*BU13+(H13-BX13)*BW13+(H13-BZ13)*BY13+(H13-CB13)*CA13+(H13-CD13)*CC13+(H13-CF13)*CE13+(H13-CH13)*CG13+(H13-CJ13)*CH13+(H13-CL13)*CK13+(H13-CN13)*CM13+(H13-CP13)*CO13+(H13-CR13)*CQ13+(H13-CT13)*CS13+(H13-CV13)*CU13+(H13-CX13)*CW13)*DD13*DE13)</f>
        <v>0</v>
      </c>
      <c r="DK13" s="85" t="n">
        <v>37136</v>
      </c>
      <c r="DL13" s="21" t="n">
        <v>0</v>
      </c>
      <c r="DN13" s="21" t="n">
        <f aca="false">IF(AND(WEEKDAY(DK13)&gt;1,WEEKDAY(DK13)&lt;7),1,0)</f>
        <v>0</v>
      </c>
    </row>
    <row r="14" customFormat="false" ht="18.75" hidden="false" customHeight="false" outlineLevel="0" collapsed="false">
      <c r="A14" s="58" t="n">
        <f aca="false">'NYISO A'!A14</f>
        <v>37137</v>
      </c>
      <c r="B14" s="59" t="n">
        <f aca="false">+[3]NYZoneJ!$L5/16</f>
        <v>0</v>
      </c>
      <c r="C14" s="60" t="n">
        <f aca="false">CY14</f>
        <v>0</v>
      </c>
      <c r="D14" s="61" t="n">
        <f aca="false">(IF(MONTH(A14)=MONTH(EOMONTH(TradeDate,1)),$AP$70,0)*VLOOKUP(A14,$DK$12:$DN$43,4))</f>
        <v>0</v>
      </c>
      <c r="E14" s="62" t="n">
        <f aca="false">B14+C14+D14</f>
        <v>0</v>
      </c>
      <c r="F14" s="63" t="n">
        <f aca="false">[3]NYZoneJ!$C5</f>
        <v>42</v>
      </c>
      <c r="G14" s="63" t="n">
        <f aca="false">IF($Q$9,Q14,P14)</f>
        <v>3</v>
      </c>
      <c r="H14" s="64" t="n">
        <f aca="false">F14+G14</f>
        <v>45</v>
      </c>
      <c r="I14" s="65" t="n">
        <f aca="false">B14*G14*DD14</f>
        <v>0</v>
      </c>
      <c r="J14" s="66" t="n">
        <f aca="false">DH14+DI14</f>
        <v>0</v>
      </c>
      <c r="K14" s="66" t="n">
        <f aca="false">I14+J14</f>
        <v>0</v>
      </c>
      <c r="L14" s="42" t="n">
        <f aca="false">+AVERAGE(N14:O18)</f>
        <v>50.45</v>
      </c>
      <c r="M14" s="67" t="n">
        <f aca="false">A14</f>
        <v>37137</v>
      </c>
      <c r="N14" s="92" t="n">
        <v>45</v>
      </c>
      <c r="O14" s="92" t="n">
        <v>45</v>
      </c>
      <c r="P14" s="69" t="n">
        <f aca="false">AVERAGE(N14:O14)-F14</f>
        <v>3</v>
      </c>
      <c r="Q14" s="70"/>
      <c r="R14" s="91" t="n">
        <f aca="false">H14</f>
        <v>45</v>
      </c>
      <c r="S14" s="24"/>
      <c r="T14" s="24"/>
      <c r="U14" s="72"/>
      <c r="V14" s="73" t="n">
        <f aca="false">A14</f>
        <v>37137</v>
      </c>
      <c r="W14" s="77"/>
      <c r="X14" s="78"/>
      <c r="Y14" s="77"/>
      <c r="Z14" s="78"/>
      <c r="AA14" s="77"/>
      <c r="AB14" s="76"/>
      <c r="AC14" s="77"/>
      <c r="AD14" s="78"/>
      <c r="AE14" s="77"/>
      <c r="AF14" s="78"/>
      <c r="AG14" s="77"/>
      <c r="AH14" s="78"/>
      <c r="AI14" s="77"/>
      <c r="AJ14" s="78"/>
      <c r="AK14" s="77"/>
      <c r="AL14" s="78"/>
      <c r="AM14" s="93"/>
      <c r="AN14" s="97"/>
      <c r="AO14" s="93"/>
      <c r="AP14" s="97"/>
      <c r="AQ14" s="93"/>
      <c r="AR14" s="97"/>
      <c r="AS14" s="77"/>
      <c r="AT14" s="160"/>
      <c r="AU14" s="94"/>
      <c r="AV14" s="95"/>
      <c r="AW14" s="96"/>
      <c r="AX14" s="75"/>
      <c r="AY14" s="81"/>
      <c r="AZ14" s="75"/>
      <c r="BA14" s="81"/>
      <c r="BB14" s="75"/>
      <c r="BC14" s="81"/>
      <c r="BD14" s="75"/>
      <c r="BE14" s="81"/>
      <c r="BF14" s="75"/>
      <c r="BG14" s="81"/>
      <c r="BH14" s="75"/>
      <c r="BI14" s="81"/>
      <c r="BJ14" s="75"/>
      <c r="BK14" s="81"/>
      <c r="BL14" s="75"/>
      <c r="BM14" s="81"/>
      <c r="BN14" s="75"/>
      <c r="BO14" s="81"/>
      <c r="BP14" s="75"/>
      <c r="BQ14" s="81"/>
      <c r="BR14" s="75"/>
      <c r="BS14" s="81"/>
      <c r="BT14" s="75"/>
      <c r="BU14" s="81"/>
      <c r="BV14" s="75"/>
      <c r="BW14" s="81"/>
      <c r="BX14" s="75"/>
      <c r="BY14" s="81"/>
      <c r="BZ14" s="75"/>
      <c r="CA14" s="81"/>
      <c r="CB14" s="75"/>
      <c r="CC14" s="81"/>
      <c r="CD14" s="75"/>
      <c r="CE14" s="81"/>
      <c r="CF14" s="75"/>
      <c r="CG14" s="81"/>
      <c r="CH14" s="75"/>
      <c r="CI14" s="81"/>
      <c r="CJ14" s="75"/>
      <c r="CK14" s="81"/>
      <c r="CL14" s="75"/>
      <c r="CM14" s="81"/>
      <c r="CN14" s="75"/>
      <c r="CO14" s="81"/>
      <c r="CP14" s="75"/>
      <c r="CQ14" s="81"/>
      <c r="CR14" s="75"/>
      <c r="CS14" s="81"/>
      <c r="CT14" s="75"/>
      <c r="CU14" s="81"/>
      <c r="CV14" s="75"/>
      <c r="CW14" s="81"/>
      <c r="CX14" s="75"/>
      <c r="CY14" s="82" t="n">
        <f aca="false">W14+Y14+AA14+AC14+AE14+AG14+AI14+AK14+AM14+AO14+AQ14+AS14+AU14+AW14+AY14+BA14+BC14+BE14+BG14+BI14+BK14+BM14+BO14+BQ14+BS14+BU14+BW14+BY14+CA14+CC14+CE14+CG14+CI14+CK14+CM14+CO14+CQ14+CS14+CU14+CW14</f>
        <v>0</v>
      </c>
      <c r="CZ14" s="83" t="n">
        <f aca="false">IF(AND(CY14=0,DC14=0),0,(DF14+DG14)/DC14)</f>
        <v>0</v>
      </c>
      <c r="DA14" s="84" t="n">
        <f aca="false">DC14*DD14</f>
        <v>0</v>
      </c>
      <c r="DB14" s="85" t="n">
        <f aca="false">V14</f>
        <v>37137</v>
      </c>
      <c r="DC14" s="84" t="n">
        <f aca="false">ABS(W14)+ABS(Y14)+ABS(AA14)+ABS(AC14)+ABS(AE14)+ABS(AG14)+ABS(AI14)+ABS(AK14)+ABS(AM14)+ABS(AO14)+ABS(AQ14)+ABS(AS14)+ABS(AU14)+ABS(AW14)+ABS(AY14)+ABS(BA14)+ABS(BC14)+ABS(BE14)+ABS(BG14)+ABS(BI14)+ABS(BK14)+ABS(BM14)+ABS(BO14)+ABS(BQ14)+ABS(BS14)+ABS(BU14)+ABS(BW14)+ABS(BY14)+ABS(CA14)+ABS(CC14)+ABS(CE14)+ABS(CG14)+ABS(CI14)+ABS(CK14)+ABS(CM14)+ABS(CO14)+ABS(CQ14)+ABS(CS14)+ABS(CU14)+ABS(CW14)</f>
        <v>0</v>
      </c>
      <c r="DD14" s="86" t="n">
        <v>16</v>
      </c>
      <c r="DE14" s="84" t="n">
        <v>1</v>
      </c>
      <c r="DF14" s="43" t="n">
        <f aca="false">(ABS(W14)*X14+ABS(Y14)*Z14+ABS(AA14)*AB14+ABS(AC14)*AD14+ABS(AE14)*AF14+ABS(AG14)*AH14+ABS(AI14)*AJ14+ABS(AK14)*AL14+ABS(AM14)*AN14+ABS(AO14)*AP14+ABS(AQ14)*AR14+ABS(AS14)*AT14+ABS(AU14)*AV14+ABS(AW14)*AX14+ABS(AY14)*AZ14+ABS(BA14)*BB14+ABS(BC14)*BD14+ABS(BE14)*BF14+ABS(BG14)*BH14+ABS(BI14)*BJ14)</f>
        <v>0</v>
      </c>
      <c r="DG14" s="43" t="n">
        <f aca="false">ABS(BK14)*BL14+ABS(BM14)*BN14+ABS(BO14)*BP14+ABS(BQ14)*BR14+ABS(BS14)*BT14+ABS(BU14)*BV14+ABS(BW14)*BX14+ABS(BY14)*BZ14+ABS(CA14)*CB14+ABS(CC14)*CD14+ABS(CE14)*CF14+ABS(CG14)*CH14+ABS(CI14)*CJ14+ABS(CK14)*CL14+ABS(CM14)*CN14+ABS(CO14)*CP14+ABS(CQ14)*CR14+ABS(CS14)*CT14+ABS(CU14)*CV14+ABS(CW14)*CX14</f>
        <v>0</v>
      </c>
      <c r="DH14" s="43" t="n">
        <f aca="false">((H14-X14)*W14+(H14-Z14)*Y14+(H14-AB14)*AA14+(H14-AD14)*AC14+(H14-AF14)*AE14+(H14-AH14)*AG14+(H14-AJ14)*AI14+(H14-AL14)*AK14+(H14-AN14)*AM14+(H14-AP14)*AO14+(H14-AR14)*AQ14+(H14-AT14)*AS14+(H14-AV14)*AU14+(H14-AX14)*AW14+(H14-AZ14)*AY14+(H14-BB14)*BA14+(H14-BD14)*BC14+(H14-BF14)*BE14+(H14-BH14)*BG14+(H14-BJ14)*BI14)*DD14*DE14</f>
        <v>0</v>
      </c>
      <c r="DI14" s="43" t="n">
        <f aca="false">(((H14-BL14)*BK14+(H14-BN14)*BM14+(H14-BP14)*BO14+(H14-BR14)*BQ14+(H14-BT14)*BS14+(H14-BV14)*BU14+(H14-BX14)*BW14+(H14-BZ14)*BY14+(H14-CB14)*CA14+(H14-CD14)*CC14+(H14-CF14)*CE14+(H14-CH14)*CG14+(H14-CJ14)*CH14+(H14-CL14)*CK14+(H14-CN14)*CM14+(H14-CP14)*CO14+(H14-CR14)*CQ14+(H14-CT14)*CS14+(H14-CV14)*CU14+(H14-CX14)*CW14)*DD14*DE14)</f>
        <v>0</v>
      </c>
      <c r="DK14" s="85" t="n">
        <v>37137</v>
      </c>
      <c r="DL14" s="21" t="n">
        <v>0</v>
      </c>
      <c r="DN14" s="21" t="n">
        <f aca="false">IF(AND(WEEKDAY(DK14)&gt;1,WEEKDAY(DK14)&lt;7),1,0)</f>
        <v>1</v>
      </c>
    </row>
    <row r="15" customFormat="false" ht="18.75" hidden="false" customHeight="false" outlineLevel="0" collapsed="false">
      <c r="A15" s="58" t="n">
        <f aca="false">'NYISO A'!A15</f>
        <v>37138</v>
      </c>
      <c r="B15" s="59" t="n">
        <f aca="false">+[3]NYZoneJ!$L6/16</f>
        <v>74.7329559326172</v>
      </c>
      <c r="C15" s="101" t="n">
        <f aca="false">CY15</f>
        <v>0</v>
      </c>
      <c r="D15" s="87" t="n">
        <f aca="false">(IF(MONTH(A15)=MONTH(EOMONTH(TradeDate,1)),$AP$70,0)*VLOOKUP(A15,$DK$12:$DN$43,4))</f>
        <v>0</v>
      </c>
      <c r="E15" s="62" t="n">
        <f aca="false">B15+C15+D15</f>
        <v>74.7329559326172</v>
      </c>
      <c r="F15" s="63" t="n">
        <f aca="false">[3]NYZoneJ!$C6</f>
        <v>48.25</v>
      </c>
      <c r="G15" s="88" t="n">
        <f aca="false">IF($Q$9,Q15,P15)</f>
        <v>4.75</v>
      </c>
      <c r="H15" s="89" t="n">
        <f aca="false">F15+G15</f>
        <v>53</v>
      </c>
      <c r="I15" s="87" t="n">
        <f aca="false">B15*G15*DD15</f>
        <v>5679.70465087891</v>
      </c>
      <c r="J15" s="66" t="n">
        <f aca="false">DH15+DI15</f>
        <v>0</v>
      </c>
      <c r="K15" s="90" t="n">
        <f aca="false">I15+J15</f>
        <v>5679.70465087891</v>
      </c>
      <c r="L15" s="98" t="n">
        <f aca="false">+AVERAGE(N13:O15,N18:O22,N25:O29,N32:O33)</f>
        <v>44.85</v>
      </c>
      <c r="M15" s="67" t="n">
        <f aca="false">A15</f>
        <v>37138</v>
      </c>
      <c r="N15" s="92" t="n">
        <v>53</v>
      </c>
      <c r="O15" s="92" t="n">
        <v>53</v>
      </c>
      <c r="P15" s="69" t="n">
        <f aca="false">AVERAGE(N15:O15)-F15</f>
        <v>4.75</v>
      </c>
      <c r="Q15" s="70"/>
      <c r="R15" s="91" t="n">
        <f aca="false">H15</f>
        <v>53</v>
      </c>
      <c r="S15" s="24"/>
      <c r="T15" s="24"/>
      <c r="U15" s="72"/>
      <c r="V15" s="73" t="n">
        <f aca="false">A15</f>
        <v>37138</v>
      </c>
      <c r="W15" s="74"/>
      <c r="X15" s="293"/>
      <c r="Y15" s="77"/>
      <c r="Z15" s="78"/>
      <c r="AA15" s="77"/>
      <c r="AB15" s="78"/>
      <c r="AC15" s="77"/>
      <c r="AD15" s="78"/>
      <c r="AE15" s="77"/>
      <c r="AF15" s="78"/>
      <c r="AG15" s="77"/>
      <c r="AH15" s="78"/>
      <c r="AI15" s="77"/>
      <c r="AJ15" s="78"/>
      <c r="AK15" s="77"/>
      <c r="AL15" s="78"/>
      <c r="AM15" s="77"/>
      <c r="AN15" s="78"/>
      <c r="AO15" s="77"/>
      <c r="AP15" s="78"/>
      <c r="AQ15" s="77"/>
      <c r="AR15" s="78"/>
      <c r="AS15" s="77"/>
      <c r="AT15" s="160"/>
      <c r="AU15" s="94"/>
      <c r="AV15" s="95"/>
      <c r="AW15" s="96"/>
      <c r="AX15" s="75"/>
      <c r="AY15" s="81"/>
      <c r="AZ15" s="75"/>
      <c r="BA15" s="81"/>
      <c r="BB15" s="75"/>
      <c r="BC15" s="81"/>
      <c r="BD15" s="75"/>
      <c r="BE15" s="81"/>
      <c r="BF15" s="75"/>
      <c r="BG15" s="81"/>
      <c r="BH15" s="75"/>
      <c r="BI15" s="81"/>
      <c r="BJ15" s="75"/>
      <c r="BK15" s="81"/>
      <c r="BL15" s="75"/>
      <c r="BM15" s="81"/>
      <c r="BN15" s="75"/>
      <c r="BO15" s="81"/>
      <c r="BP15" s="75"/>
      <c r="BQ15" s="81"/>
      <c r="BR15" s="75"/>
      <c r="BS15" s="81"/>
      <c r="BT15" s="75"/>
      <c r="BU15" s="81"/>
      <c r="BV15" s="75"/>
      <c r="BW15" s="81"/>
      <c r="BX15" s="75"/>
      <c r="BY15" s="81"/>
      <c r="BZ15" s="75"/>
      <c r="CA15" s="81"/>
      <c r="CB15" s="75"/>
      <c r="CC15" s="81"/>
      <c r="CD15" s="75"/>
      <c r="CE15" s="81"/>
      <c r="CF15" s="75"/>
      <c r="CG15" s="81"/>
      <c r="CH15" s="75"/>
      <c r="CI15" s="81"/>
      <c r="CJ15" s="75"/>
      <c r="CK15" s="81"/>
      <c r="CL15" s="75"/>
      <c r="CM15" s="81"/>
      <c r="CN15" s="75"/>
      <c r="CO15" s="81"/>
      <c r="CP15" s="75"/>
      <c r="CQ15" s="81"/>
      <c r="CR15" s="75"/>
      <c r="CS15" s="81"/>
      <c r="CT15" s="75"/>
      <c r="CU15" s="81"/>
      <c r="CV15" s="75"/>
      <c r="CW15" s="81"/>
      <c r="CX15" s="75"/>
      <c r="CY15" s="82" t="n">
        <f aca="false">W15+Y15+AA15+AC15+AE15+AG15+AI15+AK15+AM15+AO15+AQ15+AS15+AU15+AW15+AY15+BA15+BC15+BE15+BG15+BI15+BK15+BM15+BO15+BQ15+BS15+BU15+BW15+BY15+CA15+CC15+CE15+CG15+CI15+CK15+CM15+CO15+CQ15+CS15+CU15+CW15</f>
        <v>0</v>
      </c>
      <c r="CZ15" s="83" t="n">
        <f aca="false">IF(AND(CY15=0,DC15=0),0,(DF15+DG15)/DC15)</f>
        <v>0</v>
      </c>
      <c r="DA15" s="84" t="n">
        <f aca="false">DC15*DD15</f>
        <v>0</v>
      </c>
      <c r="DB15" s="85" t="n">
        <f aca="false">V15</f>
        <v>37138</v>
      </c>
      <c r="DC15" s="84" t="n">
        <f aca="false">ABS(W15)+ABS(Y15)+ABS(AA15)+ABS(AC15)+ABS(AE15)+ABS(AG15)+ABS(AI15)+ABS(AK15)+ABS(AM15)+ABS(AO15)+ABS(AQ15)+ABS(AS15)+ABS(AU15)+ABS(AW15)+ABS(AY15)+ABS(BA15)+ABS(BC15)+ABS(BE15)+ABS(BG15)+ABS(BI15)+ABS(BK15)+ABS(BM15)+ABS(BO15)+ABS(BQ15)+ABS(BS15)+ABS(BU15)+ABS(BW15)+ABS(BY15)+ABS(CA15)+ABS(CC15)+ABS(CE15)+ABS(CG15)+ABS(CI15)+ABS(CK15)+ABS(CM15)+ABS(CO15)+ABS(CQ15)+ABS(CS15)+ABS(CU15)+ABS(CW15)</f>
        <v>0</v>
      </c>
      <c r="DD15" s="86" t="n">
        <v>16</v>
      </c>
      <c r="DE15" s="84" t="n">
        <v>1</v>
      </c>
      <c r="DF15" s="43" t="n">
        <f aca="false">(ABS(W15)*X15+ABS(Y15)*Z15+ABS(AA15)*AB15+ABS(AC15)*AD15+ABS(AE15)*AF15+ABS(AG15)*AH15+ABS(AI15)*AJ15+ABS(AK15)*AL15+ABS(AM15)*AN15+ABS(AO15)*AP15+ABS(AQ15)*AR15+ABS(AS15)*AT15+ABS(AU15)*AV15+ABS(AW15)*AX15+ABS(AY15)*AZ15+ABS(BA15)*BB15+ABS(BC15)*BD15+ABS(BE15)*BF15+ABS(BG15)*BH15+ABS(BI15)*BJ15)</f>
        <v>0</v>
      </c>
      <c r="DG15" s="43" t="n">
        <f aca="false">ABS(BK15)*BL15+ABS(BM15)*BN15+ABS(BO15)*BP15+ABS(BQ15)*BR15+ABS(BS15)*BT15+ABS(BU15)*BV15+ABS(BW15)*BX15+ABS(BY15)*BZ15+ABS(CA15)*CB15+ABS(CC15)*CD15+ABS(CE15)*CF15+ABS(CG15)*CH15+ABS(CI15)*CJ15+ABS(CK15)*CL15+ABS(CM15)*CN15+ABS(CO15)*CP15+ABS(CQ15)*CR15+ABS(CS15)*CT15+ABS(CU15)*CV15+ABS(CW15)*CX15</f>
        <v>0</v>
      </c>
      <c r="DH15" s="43" t="n">
        <f aca="false">((H15-X15)*W15+(H15-Z15)*Y15+(H15-AB15)*AA15+(H15-AD15)*AC15+(H15-AF15)*AE15+(H15-AH15)*AG15+(H15-AJ15)*AI15+(H15-AL15)*AK15+(H15-AN15)*AM15+(H15-AP15)*AO15+(H15-AR15)*AQ15+(H15-AT15)*AS15+(H15-AV15)*AU15+(H15-AX15)*AW15+(H15-AZ15)*AY15+(H15-BB15)*BA15+(H15-BD15)*BC15+(H15-BF15)*BE15+(H15-BH15)*BG15+(H15-BJ15)*BI15)*DD15*DE15</f>
        <v>0</v>
      </c>
      <c r="DI15" s="43" t="n">
        <f aca="false">(((H15-BL15)*BK15+(H15-BN15)*BM15+(H15-BP15)*BO15+(H15-BR15)*BQ15+(H15-BT15)*BS15+(H15-BV15)*BU15+(H15-BX15)*BW15+(H15-BZ15)*BY15+(H15-CB15)*CA15+(H15-CD15)*CC15+(H15-CF15)*CE15+(H15-CH15)*CG15+(H15-CJ15)*CH15+(H15-CL15)*CK15+(H15-CN15)*CM15+(H15-CP15)*CO15+(H15-CR15)*CQ15+(H15-CT15)*CS15+(H15-CV15)*CU15+(H15-CX15)*CW15)*DD15*DE15)</f>
        <v>0</v>
      </c>
      <c r="DK15" s="85" t="n">
        <v>37138</v>
      </c>
      <c r="DL15" s="21" t="n">
        <v>74.7329559326172</v>
      </c>
      <c r="DN15" s="21" t="n">
        <f aca="false">IF(AND(WEEKDAY(DK15)&gt;1,WEEKDAY(DK15)&lt;7),1,0)</f>
        <v>1</v>
      </c>
    </row>
    <row r="16" customFormat="false" ht="18.75" hidden="false" customHeight="false" outlineLevel="0" collapsed="false">
      <c r="A16" s="58" t="n">
        <f aca="false">'NYISO A'!A16</f>
        <v>37139</v>
      </c>
      <c r="B16" s="59" t="n">
        <f aca="false">+[3]NYZoneJ!$L7/16</f>
        <v>74.7329559326172</v>
      </c>
      <c r="C16" s="60" t="n">
        <f aca="false">CY16</f>
        <v>0</v>
      </c>
      <c r="D16" s="61" t="n">
        <f aca="false">(IF(MONTH(A16)=MONTH(EOMONTH(TradeDate,1)),$AP$70,0)*VLOOKUP(A16,$DK$12:$DN$43,4))</f>
        <v>0</v>
      </c>
      <c r="E16" s="62" t="n">
        <f aca="false">B16+C16+D16</f>
        <v>74.7329559326172</v>
      </c>
      <c r="F16" s="63" t="n">
        <f aca="false">[3]NYZoneJ!$C7</f>
        <v>48.25</v>
      </c>
      <c r="G16" s="63" t="n">
        <f aca="false">IF($Q$9,Q16,P16)</f>
        <v>4.75</v>
      </c>
      <c r="H16" s="64" t="n">
        <f aca="false">F16+G16</f>
        <v>53</v>
      </c>
      <c r="I16" s="65" t="n">
        <f aca="false">B16*G16*DD16</f>
        <v>5679.70465087891</v>
      </c>
      <c r="J16" s="66" t="n">
        <f aca="false">DH16+DI16</f>
        <v>0</v>
      </c>
      <c r="K16" s="66" t="n">
        <f aca="false">I16+J16</f>
        <v>5679.70465087891</v>
      </c>
      <c r="L16" s="98"/>
      <c r="M16" s="67" t="n">
        <f aca="false">A16</f>
        <v>37139</v>
      </c>
      <c r="N16" s="92" t="n">
        <v>53</v>
      </c>
      <c r="O16" s="92" t="n">
        <v>53</v>
      </c>
      <c r="P16" s="69" t="n">
        <f aca="false">AVERAGE(N16:O16)-F16</f>
        <v>4.75</v>
      </c>
      <c r="Q16" s="70"/>
      <c r="R16" s="91" t="n">
        <f aca="false">H16</f>
        <v>53</v>
      </c>
      <c r="S16" s="24"/>
      <c r="T16" s="24"/>
      <c r="U16" s="72"/>
      <c r="V16" s="73" t="n">
        <f aca="false">A16</f>
        <v>37139</v>
      </c>
      <c r="W16" s="74"/>
      <c r="X16" s="293"/>
      <c r="Y16" s="77"/>
      <c r="Z16" s="78"/>
      <c r="AA16" s="77"/>
      <c r="AB16" s="78"/>
      <c r="AC16" s="77"/>
      <c r="AD16" s="78"/>
      <c r="AE16" s="77"/>
      <c r="AF16" s="78"/>
      <c r="AG16" s="77"/>
      <c r="AH16" s="76"/>
      <c r="AI16" s="77"/>
      <c r="AJ16" s="78"/>
      <c r="AK16" s="77"/>
      <c r="AL16" s="78"/>
      <c r="AM16" s="77"/>
      <c r="AN16" s="78"/>
      <c r="AO16" s="77"/>
      <c r="AP16" s="78"/>
      <c r="AQ16" s="77"/>
      <c r="AR16" s="78"/>
      <c r="AS16" s="77"/>
      <c r="AT16" s="78"/>
      <c r="AU16" s="94"/>
      <c r="AV16" s="95"/>
      <c r="AW16" s="96"/>
      <c r="AX16" s="75"/>
      <c r="AY16" s="81"/>
      <c r="AZ16" s="75"/>
      <c r="BA16" s="81"/>
      <c r="BB16" s="75"/>
      <c r="BC16" s="81"/>
      <c r="BD16" s="75"/>
      <c r="BE16" s="81"/>
      <c r="BF16" s="75"/>
      <c r="BG16" s="81"/>
      <c r="BH16" s="75"/>
      <c r="BI16" s="81"/>
      <c r="BJ16" s="75"/>
      <c r="BK16" s="81"/>
      <c r="BL16" s="75"/>
      <c r="BM16" s="81"/>
      <c r="BN16" s="75"/>
      <c r="BO16" s="81"/>
      <c r="BP16" s="75"/>
      <c r="BQ16" s="81"/>
      <c r="BR16" s="75"/>
      <c r="BS16" s="81"/>
      <c r="BT16" s="75"/>
      <c r="BU16" s="81"/>
      <c r="BV16" s="75"/>
      <c r="BW16" s="81"/>
      <c r="BX16" s="75"/>
      <c r="BY16" s="81"/>
      <c r="BZ16" s="75"/>
      <c r="CA16" s="81"/>
      <c r="CB16" s="75"/>
      <c r="CC16" s="81"/>
      <c r="CD16" s="75"/>
      <c r="CE16" s="81"/>
      <c r="CF16" s="75"/>
      <c r="CG16" s="81"/>
      <c r="CH16" s="75"/>
      <c r="CI16" s="81"/>
      <c r="CJ16" s="75"/>
      <c r="CK16" s="81"/>
      <c r="CL16" s="75"/>
      <c r="CM16" s="81"/>
      <c r="CN16" s="75"/>
      <c r="CO16" s="81"/>
      <c r="CP16" s="75"/>
      <c r="CQ16" s="81"/>
      <c r="CR16" s="75"/>
      <c r="CS16" s="81"/>
      <c r="CT16" s="75"/>
      <c r="CU16" s="81"/>
      <c r="CV16" s="75"/>
      <c r="CW16" s="81"/>
      <c r="CX16" s="75"/>
      <c r="CY16" s="82" t="n">
        <f aca="false">W16+Y16+AA16+AC16+AE16+AG16+AI16+AK16+AM16+AO16+AQ16+AS16+AU16+AW16+AY16+BA16+BC16+BE16+BG16+BI16+BK16+BM16+BO16+BQ16+BS16+BU16+BW16+BY16+CA16+CC16+CE16+CG16+CI16+CK16+CM16+CO16+CQ16+CS16+CU16+CW16</f>
        <v>0</v>
      </c>
      <c r="CZ16" s="83" t="n">
        <f aca="false">IF(AND(CY16=0,DC16=0),0,(DF16+DG16)/DC16)</f>
        <v>0</v>
      </c>
      <c r="DA16" s="84" t="n">
        <f aca="false">DC16*DD16</f>
        <v>0</v>
      </c>
      <c r="DB16" s="85" t="n">
        <f aca="false">V16</f>
        <v>37139</v>
      </c>
      <c r="DC16" s="84" t="n">
        <f aca="false">ABS(W16)+ABS(Y16)+ABS(AA16)+ABS(AC16)+ABS(AE16)+ABS(AG16)+ABS(AI16)+ABS(AK16)+ABS(AM16)+ABS(AO16)+ABS(AQ16)+ABS(AS16)+ABS(AU16)+ABS(AW16)+ABS(AY16)+ABS(BA16)+ABS(BC16)+ABS(BE16)+ABS(BG16)+ABS(BI16)+ABS(BK16)+ABS(BM16)+ABS(BO16)+ABS(BQ16)+ABS(BS16)+ABS(BU16)+ABS(BW16)+ABS(BY16)+ABS(CA16)+ABS(CC16)+ABS(CE16)+ABS(CG16)+ABS(CI16)+ABS(CK16)+ABS(CM16)+ABS(CO16)+ABS(CQ16)+ABS(CS16)+ABS(CU16)+ABS(CW16)</f>
        <v>0</v>
      </c>
      <c r="DD16" s="86" t="n">
        <v>16</v>
      </c>
      <c r="DE16" s="84" t="n">
        <v>1</v>
      </c>
      <c r="DF16" s="43" t="n">
        <f aca="false">(ABS(W16)*X16+ABS(Y16)*Z16+ABS(AA16)*AB16+ABS(AC16)*AD16+ABS(AE16)*AF16+ABS(AG16)*AH16+ABS(AI16)*AJ16+ABS(AK16)*AL16+ABS(AM16)*AN16+ABS(AO16)*AP16+ABS(AQ16)*AR16+ABS(AS16)*AT16+ABS(AU16)*AV16+ABS(AW16)*AX16+ABS(AY16)*AZ16+ABS(BA16)*BB16+ABS(BC16)*BD16+ABS(BE16)*BF16+ABS(BG16)*BH16+ABS(BI16)*BJ16)</f>
        <v>0</v>
      </c>
      <c r="DG16" s="43" t="n">
        <f aca="false">ABS(BK16)*BL16+ABS(BM16)*BN16+ABS(BO16)*BP16+ABS(BQ16)*BR16+ABS(BS16)*BT16+ABS(BU16)*BV16+ABS(BW16)*BX16+ABS(BY16)*BZ16+ABS(CA16)*CB16+ABS(CC16)*CD16+ABS(CE16)*CF16+ABS(CG16)*CH16+ABS(CI16)*CJ16+ABS(CK16)*CL16+ABS(CM16)*CN16+ABS(CO16)*CP16+ABS(CQ16)*CR16+ABS(CS16)*CT16+ABS(CU16)*CV16+ABS(CW16)*CX16</f>
        <v>0</v>
      </c>
      <c r="DH16" s="43" t="n">
        <f aca="false">((H16-X16)*W16+(H16-Z16)*Y16+(H16-AB16)*AA16+(H16-AD16)*AC16+(H16-AF16)*AE16+(H16-AH16)*AG16+(H16-AJ16)*AI16+(H16-AL16)*AK16+(H16-AN16)*AM16+(H16-AP16)*AO16+(H16-AR16)*AQ16+(H16-AT16)*AS16+(H16-AV16)*AU16+(H16-AX16)*AW16+(H16-AZ16)*AY16+(H16-BB16)*BA16+(H16-BD16)*BC16+(H16-BF16)*BE16+(H16-BH16)*BG16+(H16-BJ16)*BI16)*DD16*DE16</f>
        <v>0</v>
      </c>
      <c r="DI16" s="43" t="n">
        <f aca="false">(((H16-BL16)*BK16+(H16-BN16)*BM16+(H16-BP16)*BO16+(H16-BR16)*BQ16+(H16-BT16)*BS16+(H16-BV16)*BU16+(H16-BX16)*BW16+(H16-BZ16)*BY16+(H16-CB16)*CA16+(H16-CD16)*CC16+(H16-CF16)*CE16+(H16-CH16)*CG16+(H16-CJ16)*CH16+(H16-CL16)*CK16+(H16-CN16)*CM16+(H16-CP16)*CO16+(H16-CR16)*CQ16+(H16-CT16)*CS16+(H16-CV16)*CU16+(H16-CX16)*CW16)*DD16*DE16)</f>
        <v>0</v>
      </c>
      <c r="DK16" s="85" t="n">
        <v>37139</v>
      </c>
      <c r="DL16" s="21" t="n">
        <v>74.7329559326172</v>
      </c>
      <c r="DN16" s="21" t="n">
        <f aca="false">IF(AND(WEEKDAY(DK16)&gt;1,WEEKDAY(DK16)&lt;7),1,0)</f>
        <v>1</v>
      </c>
    </row>
    <row r="17" customFormat="false" ht="18.75" hidden="false" customHeight="false" outlineLevel="0" collapsed="false">
      <c r="A17" s="58" t="n">
        <f aca="false">'NYISO A'!A17</f>
        <v>37140</v>
      </c>
      <c r="B17" s="59" t="n">
        <f aca="false">+[3]NYZoneJ!$L8/16</f>
        <v>74.7329559326172</v>
      </c>
      <c r="C17" s="101" t="n">
        <f aca="false">CY17</f>
        <v>0</v>
      </c>
      <c r="D17" s="87" t="n">
        <f aca="false">(IF(MONTH(A17)=MONTH(EOMONTH(TradeDate,1)),$AP$70,0)*VLOOKUP(A17,$DK$12:$DN$43,4))</f>
        <v>0</v>
      </c>
      <c r="E17" s="294" t="n">
        <f aca="false">B17+C17+D17</f>
        <v>74.7329559326172</v>
      </c>
      <c r="F17" s="63" t="n">
        <f aca="false">[3]NYZoneJ!$C8</f>
        <v>48.25</v>
      </c>
      <c r="G17" s="88" t="n">
        <f aca="false">IF($Q$9,Q17,P17)</f>
        <v>4.75</v>
      </c>
      <c r="H17" s="89" t="n">
        <f aca="false">F17+G17</f>
        <v>53</v>
      </c>
      <c r="I17" s="87" t="n">
        <f aca="false">B17*G17*DD17</f>
        <v>5679.70465087891</v>
      </c>
      <c r="J17" s="66" t="n">
        <f aca="false">DH17+DI17</f>
        <v>0</v>
      </c>
      <c r="K17" s="90" t="n">
        <f aca="false">I17+J17</f>
        <v>5679.70465087891</v>
      </c>
      <c r="L17" s="98"/>
      <c r="M17" s="67" t="n">
        <f aca="false">A17</f>
        <v>37140</v>
      </c>
      <c r="N17" s="92" t="n">
        <v>53</v>
      </c>
      <c r="O17" s="92" t="n">
        <v>53</v>
      </c>
      <c r="P17" s="69" t="n">
        <f aca="false">AVERAGE(N17:O17)-F17</f>
        <v>4.75</v>
      </c>
      <c r="Q17" s="70"/>
      <c r="R17" s="91" t="n">
        <f aca="false">H17</f>
        <v>53</v>
      </c>
      <c r="S17" s="24"/>
      <c r="T17" s="24"/>
      <c r="U17" s="72"/>
      <c r="V17" s="73" t="n">
        <f aca="false">A17</f>
        <v>37140</v>
      </c>
      <c r="W17" s="77"/>
      <c r="X17" s="97"/>
      <c r="Y17" s="77"/>
      <c r="Z17" s="78"/>
      <c r="AA17" s="77"/>
      <c r="AB17" s="78"/>
      <c r="AC17" s="77"/>
      <c r="AD17" s="99"/>
      <c r="AE17" s="77"/>
      <c r="AF17" s="78"/>
      <c r="AG17" s="77"/>
      <c r="AH17" s="76"/>
      <c r="AI17" s="77"/>
      <c r="AJ17" s="78"/>
      <c r="AK17" s="77"/>
      <c r="AL17" s="78"/>
      <c r="AM17" s="77"/>
      <c r="AN17" s="78"/>
      <c r="AO17" s="77"/>
      <c r="AP17" s="78"/>
      <c r="AQ17" s="77"/>
      <c r="AR17" s="78"/>
      <c r="AS17" s="77"/>
      <c r="AT17" s="78"/>
      <c r="AU17" s="94"/>
      <c r="AV17" s="95"/>
      <c r="AW17" s="96"/>
      <c r="AX17" s="75"/>
      <c r="AY17" s="81"/>
      <c r="AZ17" s="75"/>
      <c r="BA17" s="81"/>
      <c r="BB17" s="75"/>
      <c r="BC17" s="81"/>
      <c r="BD17" s="75"/>
      <c r="BE17" s="81"/>
      <c r="BF17" s="75"/>
      <c r="BG17" s="81"/>
      <c r="BH17" s="75"/>
      <c r="BI17" s="81"/>
      <c r="BJ17" s="75"/>
      <c r="BK17" s="81"/>
      <c r="BL17" s="75"/>
      <c r="BM17" s="81"/>
      <c r="BN17" s="75"/>
      <c r="BO17" s="81"/>
      <c r="BP17" s="75"/>
      <c r="BQ17" s="81"/>
      <c r="BR17" s="75"/>
      <c r="BS17" s="81"/>
      <c r="BT17" s="75"/>
      <c r="BU17" s="81"/>
      <c r="BV17" s="75"/>
      <c r="BW17" s="81"/>
      <c r="BX17" s="75"/>
      <c r="BY17" s="81"/>
      <c r="BZ17" s="75"/>
      <c r="CA17" s="81"/>
      <c r="CB17" s="75"/>
      <c r="CC17" s="81"/>
      <c r="CD17" s="75"/>
      <c r="CE17" s="81"/>
      <c r="CF17" s="75"/>
      <c r="CG17" s="81"/>
      <c r="CH17" s="75"/>
      <c r="CI17" s="81"/>
      <c r="CJ17" s="75"/>
      <c r="CK17" s="81"/>
      <c r="CL17" s="75"/>
      <c r="CM17" s="81"/>
      <c r="CN17" s="75"/>
      <c r="CO17" s="81"/>
      <c r="CP17" s="75"/>
      <c r="CQ17" s="81"/>
      <c r="CR17" s="75"/>
      <c r="CS17" s="81"/>
      <c r="CT17" s="75"/>
      <c r="CU17" s="81"/>
      <c r="CV17" s="75"/>
      <c r="CW17" s="81"/>
      <c r="CX17" s="75"/>
      <c r="CY17" s="82" t="n">
        <f aca="false">W17+Y17+AA17+AC17+AE17+AG17+AI17+AK17+AM17+AO17+AQ17+AS17+AU17+AW17+AY17+BA17+BC17+BE17+BG17+BI17+BK17+BM17+BO17+BQ17+BS17+BU17+BW17+BY17+CA17+CC17+CE17+CG17+CI17+CK17+CM17+CO17+CQ17+CS17+CU17+CW17</f>
        <v>0</v>
      </c>
      <c r="CZ17" s="83" t="n">
        <f aca="false">IF(AND(CY17=0,DC17=0),0,(DF17+DG17)/DC17)</f>
        <v>0</v>
      </c>
      <c r="DA17" s="84" t="n">
        <f aca="false">DC17*DD17</f>
        <v>0</v>
      </c>
      <c r="DB17" s="85" t="n">
        <f aca="false">V17</f>
        <v>37140</v>
      </c>
      <c r="DC17" s="84" t="n">
        <f aca="false">ABS(W17)+ABS(Y17)+ABS(AA17)+ABS(AC17)+ABS(AE17)+ABS(AG17)+ABS(AI17)+ABS(AK17)+ABS(AM17)+ABS(AO17)+ABS(AQ17)+ABS(AS17)+ABS(AU17)+ABS(AW17)+ABS(AY17)+ABS(BA17)+ABS(BC17)+ABS(BE17)+ABS(BG17)+ABS(BI17)+ABS(BK17)+ABS(BM17)+ABS(BO17)+ABS(BQ17)+ABS(BS17)+ABS(BU17)+ABS(BW17)+ABS(BY17)+ABS(CA17)+ABS(CC17)+ABS(CE17)+ABS(CG17)+ABS(CI17)+ABS(CK17)+ABS(CM17)+ABS(CO17)+ABS(CQ17)+ABS(CS17)+ABS(CU17)+ABS(CW17)</f>
        <v>0</v>
      </c>
      <c r="DD17" s="86" t="n">
        <v>16</v>
      </c>
      <c r="DE17" s="84" t="n">
        <v>1</v>
      </c>
      <c r="DF17" s="43" t="n">
        <f aca="false">(ABS(W17)*X17+ABS(Y17)*Z17+ABS(AA17)*AB17+ABS(AC17)*AD17+ABS(AE17)*AF17+ABS(AG17)*AH17+ABS(AI17)*AJ17+ABS(AK17)*AL17+ABS(AM17)*AN17+ABS(AO17)*AP17+ABS(AQ17)*AR17+ABS(AS17)*AT17+ABS(AU17)*AV17+ABS(AW17)*AX17+ABS(AY17)*AZ17+ABS(BA17)*BB17+ABS(BC17)*BD17+ABS(BE17)*BF17+ABS(BG17)*BH17+ABS(BI17)*BJ17)</f>
        <v>0</v>
      </c>
      <c r="DG17" s="43" t="n">
        <f aca="false">ABS(BK17)*BL17+ABS(BM17)*BN17+ABS(BO17)*BP17+ABS(BQ17)*BR17+ABS(BS17)*BT17+ABS(BU17)*BV17+ABS(BW17)*BX17+ABS(BY17)*BZ17+ABS(CA17)*CB17+ABS(CC17)*CD17+ABS(CE17)*CF17+ABS(CG17)*CH17+ABS(CI17)*CJ17+ABS(CK17)*CL17+ABS(CM17)*CN17+ABS(CO17)*CP17+ABS(CQ17)*CR17+ABS(CS17)*CT17+ABS(CU17)*CV17+ABS(CW17)*CX17</f>
        <v>0</v>
      </c>
      <c r="DH17" s="43" t="n">
        <f aca="false">((H17-X17)*W17+(H17-Z17)*Y17+(H17-AB17)*AA17+(H17-AD17)*AC17+(H17-AF17)*AE17+(H17-AH17)*AG17+(H17-AJ17)*AI17+(H17-AL17)*AK17+(H17-AN17)*AM17+(H17-AP17)*AO17+(H17-AR17)*AQ17+(H17-AT17)*AS17+(H17-AV17)*AU17+(H17-AX17)*AW17+(H17-AZ17)*AY17+(H17-BB17)*BA17+(H17-BD17)*BC17+(H17-BF17)*BE17+(H17-BH17)*BG17+(H17-BJ17)*BI17)*DD17*DE17</f>
        <v>0</v>
      </c>
      <c r="DI17" s="43" t="n">
        <f aca="false">(((H17-BL17)*BK17+(H17-BN17)*BM17+(H17-BP17)*BO17+(H17-BR17)*BQ17+(H17-BT17)*BS17+(H17-BV17)*BU17+(H17-BX17)*BW17+(H17-BZ17)*BY17+(H17-CB17)*CA17+(H17-CD17)*CC17+(H17-CF17)*CE17+(H17-CH17)*CG17+(H17-CJ17)*CH17+(H17-CL17)*CK17+(H17-CN17)*CM17+(H17-CP17)*CO17+(H17-CR17)*CQ17+(H17-CT17)*CS17+(H17-CV17)*CU17+(H17-CX17)*CW17)*DD17*DE17)</f>
        <v>0</v>
      </c>
      <c r="DK17" s="85" t="n">
        <v>37140</v>
      </c>
      <c r="DL17" s="21" t="n">
        <v>74.7329559326172</v>
      </c>
      <c r="DN17" s="21" t="n">
        <f aca="false">IF(AND(WEEKDAY(DK17)&gt;1,WEEKDAY(DK17)&lt;7),1,0)</f>
        <v>1</v>
      </c>
    </row>
    <row r="18" customFormat="false" ht="18.75" hidden="false" customHeight="false" outlineLevel="0" collapsed="false">
      <c r="A18" s="58" t="n">
        <f aca="false">'NYISO A'!A18</f>
        <v>37141</v>
      </c>
      <c r="B18" s="59" t="n">
        <f aca="false">+[3]NYZoneJ!$L9/16</f>
        <v>74.7329559326172</v>
      </c>
      <c r="C18" s="60" t="n">
        <f aca="false">CY18</f>
        <v>0</v>
      </c>
      <c r="D18" s="61" t="n">
        <f aca="false">(IF(MONTH(A18)=MONTH(EOMONTH(TradeDate,1)),$AP$70,0)*VLOOKUP(A18,$DK$12:$DN$43,4))</f>
        <v>0</v>
      </c>
      <c r="E18" s="62" t="n">
        <f aca="false">B18+C18+D18</f>
        <v>74.7329559326172</v>
      </c>
      <c r="F18" s="63" t="n">
        <f aca="false">[3]NYZoneJ!$C9</f>
        <v>48.25</v>
      </c>
      <c r="G18" s="63" t="n">
        <f aca="false">IF($Q$9,Q18,P18)</f>
        <v>0</v>
      </c>
      <c r="H18" s="64" t="n">
        <f aca="false">F18+G18</f>
        <v>48.25</v>
      </c>
      <c r="I18" s="65" t="n">
        <f aca="false">B18*G18*DD18</f>
        <v>0</v>
      </c>
      <c r="J18" s="66" t="n">
        <f aca="false">DH18+DI18</f>
        <v>0</v>
      </c>
      <c r="K18" s="66" t="n">
        <f aca="false">I18+J18</f>
        <v>0</v>
      </c>
      <c r="L18" s="42"/>
      <c r="M18" s="67" t="n">
        <f aca="false">A18</f>
        <v>37141</v>
      </c>
      <c r="N18" s="92" t="n">
        <v>48.25</v>
      </c>
      <c r="O18" s="92" t="n">
        <v>48.25</v>
      </c>
      <c r="P18" s="69" t="n">
        <f aca="false">AVERAGE(N18:O18)-F18</f>
        <v>0</v>
      </c>
      <c r="Q18" s="70"/>
      <c r="R18" s="91" t="n">
        <f aca="false">H18</f>
        <v>48.25</v>
      </c>
      <c r="S18" s="24"/>
      <c r="T18" s="24"/>
      <c r="U18" s="72"/>
      <c r="V18" s="73" t="n">
        <f aca="false">A18</f>
        <v>37141</v>
      </c>
      <c r="W18" s="74"/>
      <c r="X18" s="293"/>
      <c r="Y18" s="77"/>
      <c r="Z18" s="78"/>
      <c r="AA18" s="77"/>
      <c r="AB18" s="78"/>
      <c r="AC18" s="77"/>
      <c r="AD18" s="78"/>
      <c r="AE18" s="77"/>
      <c r="AF18" s="78"/>
      <c r="AG18" s="77"/>
      <c r="AH18" s="76"/>
      <c r="AI18" s="77"/>
      <c r="AJ18" s="78"/>
      <c r="AK18" s="77"/>
      <c r="AL18" s="78"/>
      <c r="AM18" s="77"/>
      <c r="AN18" s="78"/>
      <c r="AO18" s="77"/>
      <c r="AP18" s="78"/>
      <c r="AQ18" s="77"/>
      <c r="AR18" s="78"/>
      <c r="AS18" s="77"/>
      <c r="AT18" s="78"/>
      <c r="AU18" s="94"/>
      <c r="AV18" s="95"/>
      <c r="AW18" s="96"/>
      <c r="AX18" s="75"/>
      <c r="AY18" s="81"/>
      <c r="AZ18" s="75"/>
      <c r="BA18" s="81"/>
      <c r="BB18" s="75"/>
      <c r="BC18" s="81"/>
      <c r="BD18" s="75"/>
      <c r="BE18" s="81"/>
      <c r="BF18" s="75"/>
      <c r="BG18" s="81"/>
      <c r="BH18" s="75"/>
      <c r="BI18" s="81"/>
      <c r="BJ18" s="75"/>
      <c r="BK18" s="81"/>
      <c r="BL18" s="75"/>
      <c r="BM18" s="81"/>
      <c r="BN18" s="75"/>
      <c r="BO18" s="81"/>
      <c r="BP18" s="75"/>
      <c r="BQ18" s="81"/>
      <c r="BR18" s="75"/>
      <c r="BS18" s="81"/>
      <c r="BT18" s="75"/>
      <c r="BU18" s="81"/>
      <c r="BV18" s="75"/>
      <c r="BW18" s="81"/>
      <c r="BX18" s="75"/>
      <c r="BY18" s="81"/>
      <c r="BZ18" s="75"/>
      <c r="CA18" s="81"/>
      <c r="CB18" s="75"/>
      <c r="CC18" s="81"/>
      <c r="CD18" s="75"/>
      <c r="CE18" s="81"/>
      <c r="CF18" s="75"/>
      <c r="CG18" s="81"/>
      <c r="CH18" s="75"/>
      <c r="CI18" s="81"/>
      <c r="CJ18" s="75"/>
      <c r="CK18" s="81"/>
      <c r="CL18" s="75"/>
      <c r="CM18" s="81"/>
      <c r="CN18" s="75"/>
      <c r="CO18" s="81"/>
      <c r="CP18" s="75"/>
      <c r="CQ18" s="81"/>
      <c r="CR18" s="75"/>
      <c r="CS18" s="81"/>
      <c r="CT18" s="75"/>
      <c r="CU18" s="81"/>
      <c r="CV18" s="75"/>
      <c r="CW18" s="81"/>
      <c r="CX18" s="75"/>
      <c r="CY18" s="82" t="n">
        <f aca="false">W18+Y18+AA18+AC18+AE18+AG18+AI18+AK18+AM18+AO18+AQ18+AS18+AU18+AW18+AY18+BA18+BC18+BE18+BG18+BI18+BK18+BM18+BO18+BQ18+BS18+BU18+BW18+BY18+CA18+CC18+CE18+CG18+CI18+CK18+CM18+CO18+CQ18+CS18+CU18+CW18</f>
        <v>0</v>
      </c>
      <c r="CZ18" s="83" t="n">
        <f aca="false">IF(AND(CY18=0,DC18=0),0,(DF18+DG18)/DC18)</f>
        <v>0</v>
      </c>
      <c r="DA18" s="84" t="n">
        <f aca="false">DC18*DD18</f>
        <v>0</v>
      </c>
      <c r="DB18" s="85" t="n">
        <f aca="false">V18</f>
        <v>37141</v>
      </c>
      <c r="DC18" s="84" t="n">
        <f aca="false">ABS(W18)+ABS(Y18)+ABS(AA18)+ABS(AC18)+ABS(AE18)+ABS(AG18)+ABS(AI18)+ABS(AK18)+ABS(AM18)+ABS(AO18)+ABS(AQ18)+ABS(AS18)+ABS(AU18)+ABS(AW18)+ABS(AY18)+ABS(BA18)+ABS(BC18)+ABS(BE18)+ABS(BG18)+ABS(BI18)+ABS(BK18)+ABS(BM18)+ABS(BO18)+ABS(BQ18)+ABS(BS18)+ABS(BU18)+ABS(BW18)+ABS(BY18)+ABS(CA18)+ABS(CC18)+ABS(CE18)+ABS(CG18)+ABS(CI18)+ABS(CK18)+ABS(CM18)+ABS(CO18)+ABS(CQ18)+ABS(CS18)+ABS(CU18)+ABS(CW18)</f>
        <v>0</v>
      </c>
      <c r="DD18" s="86" t="n">
        <v>16</v>
      </c>
      <c r="DE18" s="84" t="n">
        <v>1</v>
      </c>
      <c r="DF18" s="43" t="n">
        <f aca="false">(ABS(W18)*X18+ABS(Y18)*Z18+ABS(AA18)*AB18+ABS(AC18)*AD18+ABS(AE18)*AF18+ABS(AG18)*AH18+ABS(AI18)*AJ18+ABS(AK18)*AL18+ABS(AM18)*AN18+ABS(AO18)*AP18+ABS(AQ18)*AR18+ABS(AS18)*AT18+ABS(AU18)*AV18+ABS(AW18)*AX18+ABS(AY18)*AZ18+ABS(BA18)*BB18+ABS(BC18)*BD18+ABS(BE18)*BF18+ABS(BG18)*BH18+ABS(BI18)*BJ18)</f>
        <v>0</v>
      </c>
      <c r="DG18" s="43" t="n">
        <f aca="false">ABS(BK18)*BL18+ABS(BM18)*BN18+ABS(BO18)*BP18+ABS(BQ18)*BR18+ABS(BS18)*BT18+ABS(BU18)*BV18+ABS(BW18)*BX18+ABS(BY18)*BZ18+ABS(CA18)*CB18+ABS(CC18)*CD18+ABS(CE18)*CF18+ABS(CG18)*CH18+ABS(CI18)*CJ18+ABS(CK18)*CL18+ABS(CM18)*CN18+ABS(CO18)*CP18+ABS(CQ18)*CR18+ABS(CS18)*CT18+ABS(CU18)*CV18+ABS(CW18)*CX18</f>
        <v>0</v>
      </c>
      <c r="DH18" s="43" t="n">
        <f aca="false">((H18-X18)*W18+(H18-Z18)*Y18+(H18-AB18)*AA18+(H18-AD18)*AC18+(H18-AF18)*AE18+(H18-AH18)*AG18+(H18-AJ18)*AI18+(H18-AL18)*AK18+(H18-AN18)*AM18+(H18-AP18)*AO18+(H18-AR18)*AQ18+(H18-AT18)*AS18+(H18-AV18)*AU18+(H18-AX18)*AW18+(H18-AZ18)*AY18+(H18-BB18)*BA18+(H18-BD18)*BC18+(H18-BF18)*BE18+(H18-BH18)*BG18+(H18-BJ18)*BI18)*DD18*DE18</f>
        <v>0</v>
      </c>
      <c r="DI18" s="43" t="n">
        <f aca="false">(((H18-BL18)*BK18+(H18-BN18)*BM18+(H18-BP18)*BO18+(H18-BR18)*BQ18+(H18-BT18)*BS18+(H18-BV18)*BU18+(H18-BX18)*BW18+(H18-BZ18)*BY18+(H18-CB18)*CA18+(H18-CD18)*CC18+(H18-CF18)*CE18+(H18-CH18)*CG18+(H18-CJ18)*CH18+(H18-CL18)*CK18+(H18-CN18)*CM18+(H18-CP18)*CO18+(H18-CR18)*CQ18+(H18-CT18)*CS18+(H18-CV18)*CU18+(H18-CX18)*CW18)*DD18*DE18)</f>
        <v>0</v>
      </c>
      <c r="DK18" s="85" t="n">
        <v>37141</v>
      </c>
      <c r="DL18" s="21" t="n">
        <v>74.7329559326172</v>
      </c>
      <c r="DN18" s="21" t="n">
        <f aca="false">IF(AND(WEEKDAY(DK18)&gt;1,WEEKDAY(DK18)&lt;7),1,0)</f>
        <v>1</v>
      </c>
    </row>
    <row r="19" customFormat="false" ht="18.75" hidden="false" customHeight="false" outlineLevel="0" collapsed="false">
      <c r="A19" s="58" t="n">
        <f aca="false">'NYISO A'!A19</f>
        <v>37142</v>
      </c>
      <c r="B19" s="59" t="n">
        <f aca="false">+[3]NYZoneJ!$L10/16</f>
        <v>0</v>
      </c>
      <c r="C19" s="101" t="n">
        <f aca="false">CY19</f>
        <v>0</v>
      </c>
      <c r="D19" s="87" t="n">
        <f aca="false">(IF(MONTH(A19)=MONTH(EOMONTH(TradeDate,1)),$AP$70,0)*VLOOKUP(A19,$DK$12:$DN$43,4))</f>
        <v>0</v>
      </c>
      <c r="E19" s="62" t="n">
        <f aca="false">B19+C19+D19</f>
        <v>0</v>
      </c>
      <c r="F19" s="63" t="n">
        <f aca="false">[3]NYZoneJ!$C10</f>
        <v>42</v>
      </c>
      <c r="G19" s="88" t="n">
        <f aca="false">IF($Q$9,Q19,P19)</f>
        <v>0</v>
      </c>
      <c r="H19" s="89" t="n">
        <f aca="false">F19+G19</f>
        <v>42</v>
      </c>
      <c r="I19" s="87" t="n">
        <f aca="false">B19*G19*DD19</f>
        <v>0</v>
      </c>
      <c r="J19" s="66" t="n">
        <f aca="false">DH19+DI19</f>
        <v>0</v>
      </c>
      <c r="K19" s="90" t="n">
        <f aca="false">I19+J19</f>
        <v>0</v>
      </c>
      <c r="L19" s="42"/>
      <c r="M19" s="67" t="n">
        <f aca="false">A19</f>
        <v>37142</v>
      </c>
      <c r="N19" s="92" t="n">
        <v>42</v>
      </c>
      <c r="O19" s="92" t="n">
        <v>42</v>
      </c>
      <c r="P19" s="69" t="n">
        <f aca="false">AVERAGE(N19:O19)-F19</f>
        <v>0</v>
      </c>
      <c r="Q19" s="70"/>
      <c r="R19" s="91" t="n">
        <f aca="false">H19</f>
        <v>42</v>
      </c>
      <c r="S19" s="24"/>
      <c r="T19" s="24"/>
      <c r="U19" s="72"/>
      <c r="V19" s="73" t="n">
        <f aca="false">A19</f>
        <v>37142</v>
      </c>
      <c r="W19" s="74"/>
      <c r="X19" s="293"/>
      <c r="Y19" s="77"/>
      <c r="Z19" s="78"/>
      <c r="AA19" s="77"/>
      <c r="AB19" s="78"/>
      <c r="AC19" s="77"/>
      <c r="AD19" s="78"/>
      <c r="AE19" s="77"/>
      <c r="AF19" s="78"/>
      <c r="AG19" s="77"/>
      <c r="AH19" s="76"/>
      <c r="AI19" s="77"/>
      <c r="AJ19" s="78"/>
      <c r="AK19" s="77"/>
      <c r="AL19" s="99"/>
      <c r="AM19" s="77"/>
      <c r="AN19" s="78"/>
      <c r="AO19" s="77"/>
      <c r="AP19" s="78"/>
      <c r="AQ19" s="77"/>
      <c r="AR19" s="78"/>
      <c r="AS19" s="77"/>
      <c r="AT19" s="99"/>
      <c r="AU19" s="94"/>
      <c r="AV19" s="95"/>
      <c r="AW19" s="96"/>
      <c r="AX19" s="75"/>
      <c r="AY19" s="81"/>
      <c r="AZ19" s="75"/>
      <c r="BA19" s="81"/>
      <c r="BB19" s="75"/>
      <c r="BC19" s="81"/>
      <c r="BD19" s="75"/>
      <c r="BE19" s="81"/>
      <c r="BF19" s="75"/>
      <c r="BG19" s="81"/>
      <c r="BH19" s="75"/>
      <c r="BI19" s="81"/>
      <c r="BJ19" s="75"/>
      <c r="BK19" s="81"/>
      <c r="BL19" s="75"/>
      <c r="BM19" s="81"/>
      <c r="BN19" s="75"/>
      <c r="BO19" s="81"/>
      <c r="BP19" s="75"/>
      <c r="BQ19" s="81"/>
      <c r="BR19" s="75"/>
      <c r="BS19" s="81"/>
      <c r="BT19" s="75"/>
      <c r="BU19" s="81"/>
      <c r="BV19" s="75"/>
      <c r="BW19" s="81"/>
      <c r="BX19" s="75"/>
      <c r="BY19" s="81"/>
      <c r="BZ19" s="75"/>
      <c r="CA19" s="81"/>
      <c r="CB19" s="75"/>
      <c r="CC19" s="81"/>
      <c r="CD19" s="75"/>
      <c r="CE19" s="81"/>
      <c r="CF19" s="75"/>
      <c r="CG19" s="81"/>
      <c r="CH19" s="75"/>
      <c r="CI19" s="81"/>
      <c r="CJ19" s="75"/>
      <c r="CK19" s="81"/>
      <c r="CL19" s="75"/>
      <c r="CM19" s="81"/>
      <c r="CN19" s="75"/>
      <c r="CO19" s="81"/>
      <c r="CP19" s="75"/>
      <c r="CQ19" s="81"/>
      <c r="CR19" s="75"/>
      <c r="CS19" s="81"/>
      <c r="CT19" s="75"/>
      <c r="CU19" s="81"/>
      <c r="CV19" s="75"/>
      <c r="CW19" s="81"/>
      <c r="CX19" s="75"/>
      <c r="CY19" s="82" t="n">
        <f aca="false">W19+Y19+AA19+AC19+AE19+AG19+AI19+AK19+AM19+AO19+AQ19+AS19+AU19+AW19+AY19+BA19+BC19+BE19+BG19+BI19+BK19+BM19+BO19+BQ19+BS19+BU19+BW19+BY19+CA19+CC19+CE19+CG19+CI19+CK19+CM19+CO19+CQ19+CS19+CU19+CW19</f>
        <v>0</v>
      </c>
      <c r="CZ19" s="83" t="n">
        <f aca="false">IF(AND(CY19=0,DC19=0),0,(DF19+DG19)/DC19)</f>
        <v>0</v>
      </c>
      <c r="DA19" s="84" t="n">
        <f aca="false">DC19*DD19</f>
        <v>0</v>
      </c>
      <c r="DB19" s="85" t="n">
        <f aca="false">V19</f>
        <v>37142</v>
      </c>
      <c r="DC19" s="84" t="n">
        <f aca="false">ABS(W19)+ABS(Y19)+ABS(AA19)+ABS(AC19)+ABS(AE19)+ABS(AG19)+ABS(AI19)+ABS(AK19)+ABS(AM19)+ABS(AO19)+ABS(AQ19)+ABS(AS19)+ABS(AU19)+ABS(AW19)+ABS(AY19)+ABS(BA19)+ABS(BC19)+ABS(BE19)+ABS(BG19)+ABS(BI19)+ABS(BK19)+ABS(BM19)+ABS(BO19)+ABS(BQ19)+ABS(BS19)+ABS(BU19)+ABS(BW19)+ABS(BY19)+ABS(CA19)+ABS(CC19)+ABS(CE19)+ABS(CG19)+ABS(CI19)+ABS(CK19)+ABS(CM19)+ABS(CO19)+ABS(CQ19)+ABS(CS19)+ABS(CU19)+ABS(CW19)</f>
        <v>0</v>
      </c>
      <c r="DD19" s="86" t="n">
        <v>16</v>
      </c>
      <c r="DE19" s="84" t="n">
        <v>1</v>
      </c>
      <c r="DF19" s="43" t="n">
        <f aca="false">(ABS(W19)*X19+ABS(Y19)*Z19+ABS(AA19)*AB19+ABS(AC19)*AD19+ABS(AE19)*AF19+ABS(AG19)*AH19+ABS(AI19)*AJ19+ABS(AK19)*AL19+ABS(AM19)*AN19+ABS(AO19)*AP19+ABS(AQ19)*AR19+ABS(AS19)*AT19+ABS(AU19)*AV19+ABS(AW19)*AX19+ABS(AY19)*AZ19+ABS(BA19)*BB19+ABS(BC19)*BD19+ABS(BE19)*BF19+ABS(BG19)*BH19+ABS(BI19)*BJ19)</f>
        <v>0</v>
      </c>
      <c r="DG19" s="43" t="n">
        <f aca="false">ABS(BK19)*BL19+ABS(BM19)*BN19+ABS(BO19)*BP19+ABS(BQ19)*BR19+ABS(BS19)*BT19+ABS(BU19)*BV19+ABS(BW19)*BX19+ABS(BY19)*BZ19+ABS(CA19)*CB19+ABS(CC19)*CD19+ABS(CE19)*CF19+ABS(CG19)*CH19+ABS(CI19)*CJ19+ABS(CK19)*CL19+ABS(CM19)*CN19+ABS(CO19)*CP19+ABS(CQ19)*CR19+ABS(CS19)*CT19+ABS(CU19)*CV19+ABS(CW19)*CX19</f>
        <v>0</v>
      </c>
      <c r="DH19" s="43" t="n">
        <f aca="false">((H19-X19)*W19+(H19-Z19)*Y19+(H19-AB19)*AA19+(H19-AD19)*AC19+(H19-AF19)*AE19+(H19-AH19)*AG19+(H19-AJ19)*AI19+(H19-AL19)*AK19+(H19-AN19)*AM19+(H19-AP19)*AO19+(H19-AR19)*AQ19+(H19-AT19)*AS19+(H19-AV19)*AU19+(H19-AX19)*AW19+(H19-AZ19)*AY19+(H19-BB19)*BA19+(H19-BD19)*BC19+(H19-BF19)*BE19+(H19-BH19)*BG19+(H19-BJ19)*BI19)*DD19*DE19</f>
        <v>0</v>
      </c>
      <c r="DI19" s="43" t="n">
        <f aca="false">(((H19-BL19)*BK19+(H19-BN19)*BM19+(H19-BP19)*BO19+(H19-BR19)*BQ19+(H19-BT19)*BS19+(H19-BV19)*BU19+(H19-BX19)*BW19+(H19-BZ19)*BY19+(H19-CB19)*CA19+(H19-CD19)*CC19+(H19-CF19)*CE19+(H19-CH19)*CG19+(H19-CJ19)*CH19+(H19-CL19)*CK19+(H19-CN19)*CM19+(H19-CP19)*CO19+(H19-CR19)*CQ19+(H19-CT19)*CS19+(H19-CV19)*CU19+(H19-CX19)*CW19)*DD19*DE19)</f>
        <v>0</v>
      </c>
      <c r="DK19" s="85" t="n">
        <v>37142</v>
      </c>
      <c r="DL19" s="21" t="n">
        <v>0</v>
      </c>
      <c r="DN19" s="21" t="n">
        <f aca="false">IF(AND(WEEKDAY(DK19)&gt;1,WEEKDAY(DK19)&lt;7),1,0)</f>
        <v>0</v>
      </c>
    </row>
    <row r="20" customFormat="false" ht="18.75" hidden="false" customHeight="false" outlineLevel="0" collapsed="false">
      <c r="A20" s="58" t="n">
        <f aca="false">'NYISO A'!A20</f>
        <v>37143</v>
      </c>
      <c r="B20" s="59" t="n">
        <f aca="false">+[3]NYZoneJ!$L11/16</f>
        <v>0</v>
      </c>
      <c r="C20" s="60" t="n">
        <f aca="false">CY20</f>
        <v>0</v>
      </c>
      <c r="D20" s="61" t="n">
        <f aca="false">(IF(MONTH(A20)=MONTH(EOMONTH(TradeDate,1)),$AP$70,0)*VLOOKUP(A20,$DK$12:$DN$43,4))</f>
        <v>0</v>
      </c>
      <c r="E20" s="62" t="n">
        <f aca="false">B20+C20+D20</f>
        <v>0</v>
      </c>
      <c r="F20" s="63" t="n">
        <f aca="false">[3]NYZoneJ!$C11</f>
        <v>42</v>
      </c>
      <c r="G20" s="63" t="n">
        <f aca="false">IF($Q$9,Q20,P20)</f>
        <v>0</v>
      </c>
      <c r="H20" s="64" t="n">
        <f aca="false">F20+G20</f>
        <v>42</v>
      </c>
      <c r="I20" s="65" t="n">
        <f aca="false">B20*G20*DD20</f>
        <v>0</v>
      </c>
      <c r="J20" s="66" t="n">
        <f aca="false">DH20+DI20</f>
        <v>0</v>
      </c>
      <c r="K20" s="66" t="n">
        <f aca="false">I20+J20</f>
        <v>0</v>
      </c>
      <c r="L20" s="42"/>
      <c r="M20" s="67" t="n">
        <f aca="false">A20</f>
        <v>37143</v>
      </c>
      <c r="N20" s="92" t="n">
        <v>42</v>
      </c>
      <c r="O20" s="92" t="n">
        <v>42</v>
      </c>
      <c r="P20" s="69" t="n">
        <f aca="false">AVERAGE(N20:O20)-F20</f>
        <v>0</v>
      </c>
      <c r="Q20" s="70"/>
      <c r="R20" s="91" t="n">
        <f aca="false">H20</f>
        <v>42</v>
      </c>
      <c r="S20" s="24"/>
      <c r="T20" s="24"/>
      <c r="U20" s="72"/>
      <c r="V20" s="73" t="n">
        <f aca="false">A20</f>
        <v>37143</v>
      </c>
      <c r="W20" s="74"/>
      <c r="X20" s="293"/>
      <c r="Y20" s="77"/>
      <c r="Z20" s="78"/>
      <c r="AA20" s="77"/>
      <c r="AB20" s="78"/>
      <c r="AC20" s="77"/>
      <c r="AD20" s="78"/>
      <c r="AE20" s="77"/>
      <c r="AF20" s="78"/>
      <c r="AG20" s="77"/>
      <c r="AH20" s="76"/>
      <c r="AI20" s="77"/>
      <c r="AJ20" s="78"/>
      <c r="AK20" s="77"/>
      <c r="AL20" s="78"/>
      <c r="AM20" s="77"/>
      <c r="AN20" s="78"/>
      <c r="AO20" s="77"/>
      <c r="AP20" s="78"/>
      <c r="AQ20" s="77"/>
      <c r="AR20" s="78"/>
      <c r="AS20" s="77"/>
      <c r="AT20" s="99"/>
      <c r="AU20" s="94"/>
      <c r="AV20" s="95"/>
      <c r="AW20" s="96"/>
      <c r="AX20" s="75"/>
      <c r="AY20" s="81"/>
      <c r="AZ20" s="75"/>
      <c r="BA20" s="81"/>
      <c r="BB20" s="75"/>
      <c r="BC20" s="81"/>
      <c r="BD20" s="75"/>
      <c r="BE20" s="81"/>
      <c r="BF20" s="75"/>
      <c r="BG20" s="81"/>
      <c r="BH20" s="75"/>
      <c r="BI20" s="81"/>
      <c r="BJ20" s="75"/>
      <c r="BK20" s="81"/>
      <c r="BL20" s="75"/>
      <c r="BM20" s="81"/>
      <c r="BN20" s="75"/>
      <c r="BO20" s="81"/>
      <c r="BP20" s="75"/>
      <c r="BQ20" s="81"/>
      <c r="BR20" s="75"/>
      <c r="BS20" s="81"/>
      <c r="BT20" s="75"/>
      <c r="BU20" s="81"/>
      <c r="BV20" s="75"/>
      <c r="BW20" s="81"/>
      <c r="BX20" s="75"/>
      <c r="BY20" s="81"/>
      <c r="BZ20" s="75"/>
      <c r="CA20" s="81"/>
      <c r="CB20" s="75"/>
      <c r="CC20" s="81"/>
      <c r="CD20" s="75"/>
      <c r="CE20" s="81"/>
      <c r="CF20" s="75"/>
      <c r="CG20" s="81"/>
      <c r="CH20" s="75"/>
      <c r="CI20" s="81"/>
      <c r="CJ20" s="75"/>
      <c r="CK20" s="81"/>
      <c r="CL20" s="75"/>
      <c r="CM20" s="81"/>
      <c r="CN20" s="75"/>
      <c r="CO20" s="81"/>
      <c r="CP20" s="75"/>
      <c r="CQ20" s="81"/>
      <c r="CR20" s="75"/>
      <c r="CS20" s="81"/>
      <c r="CT20" s="75"/>
      <c r="CU20" s="81"/>
      <c r="CV20" s="75"/>
      <c r="CW20" s="81"/>
      <c r="CX20" s="75"/>
      <c r="CY20" s="82" t="n">
        <f aca="false">W20+Y20+AA20+AC20+AE20+AG20+AI20+AK20+AM20+AO20+AQ20+AS20+AU20+AW20+AY20+BA20+BC20+BE20+BG20+BI20+BK20+BM20+BO20+BQ20+BS20+BU20+BW20+BY20+CA20+CC20+CE20+CG20+CI20+CK20+CM20+CO20+CQ20+CS20+CU20+CW20</f>
        <v>0</v>
      </c>
      <c r="CZ20" s="83" t="n">
        <f aca="false">IF(AND(CY20=0,DC20=0),0,(DF20+DG20)/DC20)</f>
        <v>0</v>
      </c>
      <c r="DA20" s="84" t="n">
        <f aca="false">DC20*DD20</f>
        <v>0</v>
      </c>
      <c r="DB20" s="85" t="n">
        <f aca="false">V20</f>
        <v>37143</v>
      </c>
      <c r="DC20" s="84" t="n">
        <f aca="false">ABS(W20)+ABS(Y20)+ABS(AA20)+ABS(AC20)+ABS(AE20)+ABS(AG20)+ABS(AI20)+ABS(AK20)+ABS(AM20)+ABS(AO20)+ABS(AQ20)+ABS(AS20)+ABS(AU20)+ABS(AW20)+ABS(AY20)+ABS(BA20)+ABS(BC20)+ABS(BE20)+ABS(BG20)+ABS(BI20)+ABS(BK20)+ABS(BM20)+ABS(BO20)+ABS(BQ20)+ABS(BS20)+ABS(BU20)+ABS(BW20)+ABS(BY20)+ABS(CA20)+ABS(CC20)+ABS(CE20)+ABS(CG20)+ABS(CI20)+ABS(CK20)+ABS(CM20)+ABS(CO20)+ABS(CQ20)+ABS(CS20)+ABS(CU20)+ABS(CW20)</f>
        <v>0</v>
      </c>
      <c r="DD20" s="86" t="n">
        <v>16</v>
      </c>
      <c r="DE20" s="84" t="n">
        <v>1</v>
      </c>
      <c r="DF20" s="43" t="n">
        <f aca="false">(ABS(W20)*X20+ABS(Y20)*Z20+ABS(AA20)*AB20+ABS(AC20)*AD20+ABS(AE20)*AF20+ABS(AG20)*AH20+ABS(AI20)*AJ20+ABS(AK20)*AL20+ABS(AM20)*AN20+ABS(AO20)*AP20+ABS(AQ20)*AR20+ABS(AS20)*AT20+ABS(AU20)*AV20+ABS(AW20)*AX20+ABS(AY20)*AZ20+ABS(BA20)*BB20+ABS(BC20)*BD20+ABS(BE20)*BF20+ABS(BG20)*BH20+ABS(BI20)*BJ20)</f>
        <v>0</v>
      </c>
      <c r="DG20" s="43" t="n">
        <f aca="false">ABS(BK20)*BL20+ABS(BM20)*BN20+ABS(BO20)*BP20+ABS(BQ20)*BR20+ABS(BS20)*BT20+ABS(BU20)*BV20+ABS(BW20)*BX20+ABS(BY20)*BZ20+ABS(CA20)*CB20+ABS(CC20)*CD20+ABS(CE20)*CF20+ABS(CG20)*CH20+ABS(CI20)*CJ20+ABS(CK20)*CL20+ABS(CM20)*CN20+ABS(CO20)*CP20+ABS(CQ20)*CR20+ABS(CS20)*CT20+ABS(CU20)*CV20+ABS(CW20)*CX20</f>
        <v>0</v>
      </c>
      <c r="DH20" s="43" t="n">
        <f aca="false">((H20-X20)*W20+(H20-Z20)*Y20+(H20-AB20)*AA20+(H20-AD20)*AC20+(H20-AF20)*AE20+(H20-AH20)*AG20+(H20-AJ20)*AI20+(H20-AL20)*AK20+(H20-AN20)*AM20+(H20-AP20)*AO20+(H20-AR20)*AQ20+(H20-AT20)*AS20+(H20-AV20)*AU20+(H20-AX20)*AW20+(H20-AZ20)*AY20+(H20-BB20)*BA20+(H20-BD20)*BC20+(H20-BF20)*BE20+(H20-BH20)*BG20+(H20-BJ20)*BI20)*DD20*DE20</f>
        <v>0</v>
      </c>
      <c r="DI20" s="43" t="n">
        <f aca="false">(((H20-BL20)*BK20+(H20-BN20)*BM20+(H20-BP20)*BO20+(H20-BR20)*BQ20+(H20-BT20)*BS20+(H20-BV20)*BU20+(H20-BX20)*BW20+(H20-BZ20)*BY20+(H20-CB20)*CA20+(H20-CD20)*CC20+(H20-CF20)*CE20+(H20-CH20)*CG20+(H20-CJ20)*CH20+(H20-CL20)*CK20+(H20-CN20)*CM20+(H20-CP20)*CO20+(H20-CR20)*CQ20+(H20-CT20)*CS20+(H20-CV20)*CU20+(H20-CX20)*CW20)*DD20*DE20)</f>
        <v>0</v>
      </c>
      <c r="DK20" s="85" t="n">
        <v>37143</v>
      </c>
      <c r="DL20" s="21" t="n">
        <v>0</v>
      </c>
      <c r="DN20" s="21" t="n">
        <f aca="false">IF(AND(WEEKDAY(DK20)&gt;1,WEEKDAY(DK20)&lt;7),1,0)</f>
        <v>0</v>
      </c>
    </row>
    <row r="21" customFormat="false" ht="18.75" hidden="false" customHeight="false" outlineLevel="0" collapsed="false">
      <c r="A21" s="58" t="n">
        <f aca="false">'NYISO A'!A21</f>
        <v>37144</v>
      </c>
      <c r="B21" s="59" t="n">
        <f aca="false">+[3]NYZoneJ!$L12/16</f>
        <v>74.7329559326172</v>
      </c>
      <c r="C21" s="101" t="n">
        <f aca="false">CY21</f>
        <v>0</v>
      </c>
      <c r="D21" s="87" t="n">
        <f aca="false">(IF(MONTH(A21)=MONTH(EOMONTH(TradeDate,1)),$AP$70,0)*VLOOKUP(A21,$DK$12:$DN$43,4))</f>
        <v>0</v>
      </c>
      <c r="E21" s="62" t="n">
        <f aca="false">B21+C21+D21</f>
        <v>74.7329559326172</v>
      </c>
      <c r="F21" s="63" t="n">
        <f aca="false">[3]NYZoneJ!$C12</f>
        <v>45.75</v>
      </c>
      <c r="G21" s="88" t="n">
        <f aca="false">IF($Q$9,Q21,P21)</f>
        <v>0</v>
      </c>
      <c r="H21" s="89" t="n">
        <f aca="false">F21+G21</f>
        <v>45.75</v>
      </c>
      <c r="I21" s="87" t="n">
        <f aca="false">B21*G21*DD21</f>
        <v>0</v>
      </c>
      <c r="J21" s="66" t="n">
        <f aca="false">DH21+DI21</f>
        <v>0</v>
      </c>
      <c r="K21" s="90" t="n">
        <f aca="false">I21+J21</f>
        <v>0</v>
      </c>
      <c r="L21" s="42"/>
      <c r="M21" s="67" t="n">
        <f aca="false">A21</f>
        <v>37144</v>
      </c>
      <c r="N21" s="92" t="n">
        <v>45.75</v>
      </c>
      <c r="O21" s="92" t="n">
        <v>45.75</v>
      </c>
      <c r="P21" s="69" t="n">
        <f aca="false">AVERAGE(N21:O21)-F21</f>
        <v>0</v>
      </c>
      <c r="Q21" s="70"/>
      <c r="R21" s="91" t="n">
        <f aca="false">H21</f>
        <v>45.75</v>
      </c>
      <c r="S21" s="24"/>
      <c r="T21" s="24"/>
      <c r="U21" s="72"/>
      <c r="V21" s="73" t="n">
        <f aca="false">A21</f>
        <v>37144</v>
      </c>
      <c r="W21" s="74"/>
      <c r="X21" s="293"/>
      <c r="Y21" s="77"/>
      <c r="Z21" s="78"/>
      <c r="AA21" s="77"/>
      <c r="AB21" s="99"/>
      <c r="AC21" s="77"/>
      <c r="AD21" s="78"/>
      <c r="AE21" s="77"/>
      <c r="AF21" s="78"/>
      <c r="AG21" s="77"/>
      <c r="AH21" s="78"/>
      <c r="AI21" s="77"/>
      <c r="AJ21" s="78"/>
      <c r="AK21" s="77"/>
      <c r="AL21" s="78"/>
      <c r="AM21" s="77"/>
      <c r="AN21" s="78"/>
      <c r="AO21" s="77"/>
      <c r="AP21" s="78"/>
      <c r="AQ21" s="77"/>
      <c r="AR21" s="78"/>
      <c r="AS21" s="77"/>
      <c r="AT21" s="160"/>
      <c r="AU21" s="94"/>
      <c r="AV21" s="95"/>
      <c r="AW21" s="96"/>
      <c r="AX21" s="75"/>
      <c r="AY21" s="81"/>
      <c r="AZ21" s="75"/>
      <c r="BA21" s="81"/>
      <c r="BB21" s="75"/>
      <c r="BC21" s="81"/>
      <c r="BD21" s="75"/>
      <c r="BE21" s="81"/>
      <c r="BF21" s="75"/>
      <c r="BG21" s="81"/>
      <c r="BH21" s="75"/>
      <c r="BI21" s="81"/>
      <c r="BJ21" s="75"/>
      <c r="BK21" s="81"/>
      <c r="BL21" s="75"/>
      <c r="BM21" s="81"/>
      <c r="BN21" s="75"/>
      <c r="BO21" s="81"/>
      <c r="BP21" s="75"/>
      <c r="BQ21" s="81"/>
      <c r="BR21" s="75"/>
      <c r="BS21" s="81"/>
      <c r="BT21" s="75"/>
      <c r="BU21" s="81"/>
      <c r="BV21" s="75"/>
      <c r="BW21" s="81"/>
      <c r="BX21" s="75"/>
      <c r="BY21" s="81"/>
      <c r="BZ21" s="75"/>
      <c r="CA21" s="81"/>
      <c r="CB21" s="75"/>
      <c r="CC21" s="81"/>
      <c r="CD21" s="75"/>
      <c r="CE21" s="81"/>
      <c r="CF21" s="75"/>
      <c r="CG21" s="81"/>
      <c r="CH21" s="75"/>
      <c r="CI21" s="81"/>
      <c r="CJ21" s="75"/>
      <c r="CK21" s="81"/>
      <c r="CL21" s="75"/>
      <c r="CM21" s="81"/>
      <c r="CN21" s="75"/>
      <c r="CO21" s="81"/>
      <c r="CP21" s="75"/>
      <c r="CQ21" s="81"/>
      <c r="CR21" s="75"/>
      <c r="CS21" s="81"/>
      <c r="CT21" s="75"/>
      <c r="CU21" s="81"/>
      <c r="CV21" s="75"/>
      <c r="CW21" s="81"/>
      <c r="CX21" s="75"/>
      <c r="CY21" s="82" t="n">
        <f aca="false">W21+Y21+AA21+AC21+AE21+AG21+AI21+AK21+AM21+AO21+AQ21+AS21+AU21+AW21+AY21+BA21+BC21+BE21+BG21+BI21+BK21+BM21+BO21+BQ21+BS21+BU21+BW21+BY21+CA21+CC21+CE21+CG21+CI21+CK21+CM21+CO21+CQ21+CS21+CU21+CW21</f>
        <v>0</v>
      </c>
      <c r="CZ21" s="83" t="n">
        <f aca="false">IF(AND(CY21=0,DC21=0),0,(DF21+DG21)/DC21)</f>
        <v>0</v>
      </c>
      <c r="DA21" s="84" t="n">
        <f aca="false">DC21*DD21</f>
        <v>0</v>
      </c>
      <c r="DB21" s="85" t="n">
        <f aca="false">V21</f>
        <v>37144</v>
      </c>
      <c r="DC21" s="84" t="n">
        <f aca="false">ABS(W21)+ABS(Y21)+ABS(AA21)+ABS(AC21)+ABS(AE21)+ABS(AG21)+ABS(AI21)+ABS(AK21)+ABS(AM21)+ABS(AO21)+ABS(AQ21)+ABS(AS21)+ABS(AU21)+ABS(AW21)+ABS(AY21)+ABS(BA21)+ABS(BC21)+ABS(BE21)+ABS(BG21)+ABS(BI21)+ABS(BK21)+ABS(BM21)+ABS(BO21)+ABS(BQ21)+ABS(BS21)+ABS(BU21)+ABS(BW21)+ABS(BY21)+ABS(CA21)+ABS(CC21)+ABS(CE21)+ABS(CG21)+ABS(CI21)+ABS(CK21)+ABS(CM21)+ABS(CO21)+ABS(CQ21)+ABS(CS21)+ABS(CU21)+ABS(CW21)</f>
        <v>0</v>
      </c>
      <c r="DD21" s="86" t="n">
        <v>16</v>
      </c>
      <c r="DE21" s="84" t="n">
        <v>1</v>
      </c>
      <c r="DF21" s="43" t="n">
        <f aca="false">(ABS(W21)*X21+ABS(Y21)*Z21+ABS(AA21)*AB21+ABS(AC21)*AD21+ABS(AE21)*AF21+ABS(AG21)*AH21+ABS(AI21)*AJ21+ABS(AK21)*AL21+ABS(AM21)*AN21+ABS(AO21)*AP21+ABS(AQ21)*AR21+ABS(AS21)*AT21+ABS(AU21)*AV21+ABS(AW21)*AX21+ABS(AY21)*AZ21+ABS(BA21)*BB21+ABS(BC21)*BD21+ABS(BE21)*BF21+ABS(BG21)*BH21+ABS(BI21)*BJ21)</f>
        <v>0</v>
      </c>
      <c r="DG21" s="43" t="n">
        <f aca="false">ABS(BK21)*BL21+ABS(BM21)*BN21+ABS(BO21)*BP21+ABS(BQ21)*BR21+ABS(BS21)*BT21+ABS(BU21)*BV21+ABS(BW21)*BX21+ABS(BY21)*BZ21+ABS(CA21)*CB21+ABS(CC21)*CD21+ABS(CE21)*CF21+ABS(CG21)*CH21+ABS(CI21)*CJ21+ABS(CK21)*CL21+ABS(CM21)*CN21+ABS(CO21)*CP21+ABS(CQ21)*CR21+ABS(CS21)*CT21+ABS(CU21)*CV21+ABS(CW21)*CX21</f>
        <v>0</v>
      </c>
      <c r="DH21" s="43" t="n">
        <f aca="false">((H21-X21)*W21+(H21-Z21)*Y21+(H21-AB21)*AA21+(H21-AD21)*AC21+(H21-AF21)*AE21+(H21-AH21)*AG21+(H21-AJ21)*AI21+(H21-AL21)*AK21+(H21-AN21)*AM21+(H21-AP21)*AO21+(H21-AR21)*AQ21+(H21-AT21)*AS21+(H21-AV21)*AU21+(H21-AX21)*AW21+(H21-AZ21)*AY21+(H21-BB21)*BA21+(H21-BD21)*BC21+(H21-BF21)*BE21+(H21-BH21)*BG21+(H21-BJ21)*BI21)*DD21*DE21</f>
        <v>0</v>
      </c>
      <c r="DI21" s="43" t="n">
        <f aca="false">(((H21-BL21)*BK21+(H21-BN21)*BM21+(H21-BP21)*BO21+(H21-BR21)*BQ21+(H21-BT21)*BS21+(H21-BV21)*BU21+(H21-BX21)*BW21+(H21-BZ21)*BY21+(H21-CB21)*CA21+(H21-CD21)*CC21+(H21-CF21)*CE21+(H21-CH21)*CG21+(H21-CJ21)*CH21+(H21-CL21)*CK21+(H21-CN21)*CM21+(H21-CP21)*CO21+(H21-CR21)*CQ21+(H21-CT21)*CS21+(H21-CV21)*CU21+(H21-CX21)*CW21)*DD21*DE21)</f>
        <v>0</v>
      </c>
      <c r="DK21" s="85" t="n">
        <v>37144</v>
      </c>
      <c r="DL21" s="21" t="n">
        <v>74.7329559326172</v>
      </c>
      <c r="DN21" s="21" t="n">
        <f aca="false">IF(AND(WEEKDAY(DK21)&gt;1,WEEKDAY(DK21)&lt;7),1,0)</f>
        <v>1</v>
      </c>
    </row>
    <row r="22" customFormat="false" ht="18.75" hidden="false" customHeight="false" outlineLevel="0" collapsed="false">
      <c r="A22" s="58" t="n">
        <f aca="false">'NYISO A'!A22</f>
        <v>37145</v>
      </c>
      <c r="B22" s="59" t="n">
        <f aca="false">+[3]NYZoneJ!$L13/16</f>
        <v>74.7329559326172</v>
      </c>
      <c r="C22" s="60" t="n">
        <f aca="false">CY22</f>
        <v>0</v>
      </c>
      <c r="D22" s="61" t="n">
        <f aca="false">(IF(MONTH(A22)=MONTH(EOMONTH(TradeDate,1)),$AP$70,0)*VLOOKUP(A22,$DK$12:$DN$43,4))</f>
        <v>0</v>
      </c>
      <c r="E22" s="62" t="n">
        <f aca="false">B22+C22+D22</f>
        <v>74.7329559326172</v>
      </c>
      <c r="F22" s="63" t="n">
        <f aca="false">[3]NYZoneJ!$C13</f>
        <v>45.75</v>
      </c>
      <c r="G22" s="63" t="n">
        <f aca="false">IF($Q$9,Q22,P22)</f>
        <v>0</v>
      </c>
      <c r="H22" s="64" t="n">
        <f aca="false">F22+G22</f>
        <v>45.75</v>
      </c>
      <c r="I22" s="65" t="n">
        <f aca="false">B22*G22*DD22</f>
        <v>0</v>
      </c>
      <c r="J22" s="66" t="n">
        <f aca="false">DH22+DI22</f>
        <v>0</v>
      </c>
      <c r="K22" s="66" t="n">
        <f aca="false">I22+J22</f>
        <v>0</v>
      </c>
      <c r="L22" s="98"/>
      <c r="M22" s="67" t="n">
        <f aca="false">A22</f>
        <v>37145</v>
      </c>
      <c r="N22" s="92" t="n">
        <v>45.75</v>
      </c>
      <c r="O22" s="92" t="n">
        <v>45.75</v>
      </c>
      <c r="P22" s="69" t="n">
        <f aca="false">AVERAGE(N22:O22)-F22</f>
        <v>0</v>
      </c>
      <c r="Q22" s="70"/>
      <c r="R22" s="91" t="n">
        <f aca="false">H22</f>
        <v>45.75</v>
      </c>
      <c r="S22" s="24"/>
      <c r="T22" s="24"/>
      <c r="U22" s="72"/>
      <c r="V22" s="73" t="n">
        <f aca="false">A22</f>
        <v>37145</v>
      </c>
      <c r="W22" s="74"/>
      <c r="X22" s="293"/>
      <c r="Y22" s="77"/>
      <c r="Z22" s="78"/>
      <c r="AA22" s="74"/>
      <c r="AB22" s="99"/>
      <c r="AC22" s="77"/>
      <c r="AD22" s="78"/>
      <c r="AE22" s="77"/>
      <c r="AF22" s="78"/>
      <c r="AG22" s="77"/>
      <c r="AH22" s="78"/>
      <c r="AI22" s="77"/>
      <c r="AJ22" s="78"/>
      <c r="AK22" s="77"/>
      <c r="AL22" s="78"/>
      <c r="AM22" s="77"/>
      <c r="AN22" s="78"/>
      <c r="AO22" s="77"/>
      <c r="AP22" s="78"/>
      <c r="AQ22" s="77"/>
      <c r="AR22" s="78"/>
      <c r="AS22" s="77"/>
      <c r="AT22" s="160"/>
      <c r="AU22" s="94"/>
      <c r="AV22" s="95"/>
      <c r="AW22" s="96"/>
      <c r="AX22" s="75"/>
      <c r="AY22" s="81"/>
      <c r="AZ22" s="75"/>
      <c r="BA22" s="81"/>
      <c r="BB22" s="75"/>
      <c r="BC22" s="81"/>
      <c r="BD22" s="75"/>
      <c r="BE22" s="81"/>
      <c r="BF22" s="75"/>
      <c r="BG22" s="81"/>
      <c r="BH22" s="75"/>
      <c r="BI22" s="81"/>
      <c r="BJ22" s="75"/>
      <c r="BK22" s="81"/>
      <c r="BL22" s="75"/>
      <c r="BM22" s="81"/>
      <c r="BN22" s="75"/>
      <c r="BO22" s="81"/>
      <c r="BP22" s="75"/>
      <c r="BQ22" s="81"/>
      <c r="BR22" s="75"/>
      <c r="BS22" s="81"/>
      <c r="BT22" s="75"/>
      <c r="BU22" s="81"/>
      <c r="BV22" s="75"/>
      <c r="BW22" s="81"/>
      <c r="BX22" s="75"/>
      <c r="BY22" s="81"/>
      <c r="BZ22" s="75"/>
      <c r="CA22" s="81"/>
      <c r="CB22" s="75"/>
      <c r="CC22" s="81"/>
      <c r="CD22" s="75"/>
      <c r="CE22" s="81"/>
      <c r="CF22" s="75"/>
      <c r="CG22" s="81"/>
      <c r="CH22" s="75"/>
      <c r="CI22" s="81"/>
      <c r="CJ22" s="75"/>
      <c r="CK22" s="81"/>
      <c r="CL22" s="75"/>
      <c r="CM22" s="81"/>
      <c r="CN22" s="75"/>
      <c r="CO22" s="81"/>
      <c r="CP22" s="75"/>
      <c r="CQ22" s="81"/>
      <c r="CR22" s="75"/>
      <c r="CS22" s="81"/>
      <c r="CT22" s="75"/>
      <c r="CU22" s="81"/>
      <c r="CV22" s="75"/>
      <c r="CW22" s="81"/>
      <c r="CX22" s="75"/>
      <c r="CY22" s="82" t="n">
        <f aca="false">W22+Y22+AA22+AC22+AE22+AG22+AI22+AK22+AM22+AO22+AQ22+AS22+AU22+AW22+AY22+BA22+BC22+BE22+BG22+BI22+BK22+BM22+BO22+BQ22+BS22+BU22+BW22+BY22+CA22+CC22+CE22+CG22+CI22+CK22+CM22+CO22+CQ22+CS22+CU22+CW22</f>
        <v>0</v>
      </c>
      <c r="CZ22" s="83" t="n">
        <f aca="false">IF(AND(CY22=0,DC22=0),0,(DF22+DG22)/DC22)</f>
        <v>0</v>
      </c>
      <c r="DA22" s="84" t="n">
        <f aca="false">DC22*DD22</f>
        <v>0</v>
      </c>
      <c r="DB22" s="85" t="n">
        <f aca="false">V22</f>
        <v>37145</v>
      </c>
      <c r="DC22" s="84" t="n">
        <f aca="false">ABS(W22)+ABS(Y22)+ABS(AA22)+ABS(AC22)+ABS(AE22)+ABS(AG22)+ABS(AI22)+ABS(AK22)+ABS(AM22)+ABS(AO22)+ABS(AQ22)+ABS(AS22)+ABS(AU22)+ABS(AW22)+ABS(AY22)+ABS(BA22)+ABS(BC22)+ABS(BE22)+ABS(BG22)+ABS(BI22)+ABS(BK22)+ABS(BM22)+ABS(BO22)+ABS(BQ22)+ABS(BS22)+ABS(BU22)+ABS(BW22)+ABS(BY22)+ABS(CA22)+ABS(CC22)+ABS(CE22)+ABS(CG22)+ABS(CI22)+ABS(CK22)+ABS(CM22)+ABS(CO22)+ABS(CQ22)+ABS(CS22)+ABS(CU22)+ABS(CW22)</f>
        <v>0</v>
      </c>
      <c r="DD22" s="86" t="n">
        <v>16</v>
      </c>
      <c r="DE22" s="84" t="n">
        <v>1</v>
      </c>
      <c r="DF22" s="43" t="n">
        <f aca="false">(ABS(W22)*X22+ABS(Y22)*Z22+ABS(AA22)*AB22+ABS(AC22)*AD22+ABS(AE22)*AF22+ABS(AG22)*AH22+ABS(AI22)*AJ22+ABS(AK22)*AL22+ABS(AM22)*AN22+ABS(AO22)*AP22+ABS(AQ22)*AR22+ABS(AS22)*AT22+ABS(AU22)*AV22+ABS(AW22)*AX22+ABS(AY22)*AZ22+ABS(BA22)*BB22+ABS(BC22)*BD22+ABS(BE22)*BF22+ABS(BG22)*BH22+ABS(BI22)*BJ22)</f>
        <v>0</v>
      </c>
      <c r="DG22" s="43" t="n">
        <f aca="false">ABS(BK22)*BL22+ABS(BM22)*BN22+ABS(BO22)*BP22+ABS(BQ22)*BR22+ABS(BS22)*BT22+ABS(BU22)*BV22+ABS(BW22)*BX22+ABS(BY22)*BZ22+ABS(CA22)*CB22+ABS(CC22)*CD22+ABS(CE22)*CF22+ABS(CG22)*CH22+ABS(CI22)*CJ22+ABS(CK22)*CL22+ABS(CM22)*CN22+ABS(CO22)*CP22+ABS(CQ22)*CR22+ABS(CS22)*CT22+ABS(CU22)*CV22+ABS(CW22)*CX22</f>
        <v>0</v>
      </c>
      <c r="DH22" s="43" t="n">
        <f aca="false">((H22-X22)*W22+(H22-Z22)*Y22+(H22-AB22)*AA22+(H22-AD22)*AC22+(H22-AF22)*AE22+(H22-AH22)*AG22+(H22-AJ22)*AI22+(H22-AL22)*AK22+(H22-AN22)*AM22+(H22-AP22)*AO22+(H22-AR22)*AQ22+(H22-AT22)*AS22+(H22-AV22)*AU22+(H22-AX22)*AW22+(H22-AZ22)*AY22+(H22-BB22)*BA22+(H22-BD22)*BC22+(H22-BF22)*BE22+(H22-BH22)*BG22+(H22-BJ22)*BI22)*DD22*DE22</f>
        <v>0</v>
      </c>
      <c r="DI22" s="43" t="n">
        <f aca="false">(((H22-BL22)*BK22+(H22-BN22)*BM22+(H22-BP22)*BO22+(H22-BR22)*BQ22+(H22-BT22)*BS22+(H22-BV22)*BU22+(H22-BX22)*BW22+(H22-BZ22)*BY22+(H22-CB22)*CA22+(H22-CD22)*CC22+(H22-CF22)*CE22+(H22-CH22)*CG22+(H22-CJ22)*CH22+(H22-CL22)*CK22+(H22-CN22)*CM22+(H22-CP22)*CO22+(H22-CR22)*CQ22+(H22-CT22)*CS22+(H22-CV22)*CU22+(H22-CX22)*CW22)*DD22*DE22)</f>
        <v>0</v>
      </c>
      <c r="DK22" s="85" t="n">
        <v>37145</v>
      </c>
      <c r="DL22" s="21" t="n">
        <v>74.7329559326172</v>
      </c>
      <c r="DN22" s="21" t="n">
        <f aca="false">IF(AND(WEEKDAY(DK22)&gt;1,WEEKDAY(DK22)&lt;7),1,0)</f>
        <v>1</v>
      </c>
    </row>
    <row r="23" customFormat="false" ht="18.75" hidden="false" customHeight="false" outlineLevel="0" collapsed="false">
      <c r="A23" s="58" t="n">
        <f aca="false">'NYISO A'!A23</f>
        <v>37146</v>
      </c>
      <c r="B23" s="59" t="n">
        <f aca="false">+[3]NYZoneJ!$L14/16</f>
        <v>74.7329559326172</v>
      </c>
      <c r="C23" s="101" t="n">
        <f aca="false">CY23</f>
        <v>0</v>
      </c>
      <c r="D23" s="87" t="n">
        <f aca="false">(IF(MONTH(A23)=MONTH(EOMONTH(TradeDate,1)),$AP$70,0)*VLOOKUP(A23,$DK$12:$DN$43,4))</f>
        <v>0</v>
      </c>
      <c r="E23" s="62" t="n">
        <f aca="false">B23+C23+D23</f>
        <v>74.7329559326172</v>
      </c>
      <c r="F23" s="63" t="n">
        <f aca="false">[3]NYZoneJ!$C14</f>
        <v>45.75</v>
      </c>
      <c r="G23" s="88" t="n">
        <f aca="false">IF($Q$9,Q23,P23)</f>
        <v>0</v>
      </c>
      <c r="H23" s="89" t="n">
        <f aca="false">F23+G23</f>
        <v>45.75</v>
      </c>
      <c r="I23" s="87" t="n">
        <f aca="false">B23*G23*DD23</f>
        <v>0</v>
      </c>
      <c r="J23" s="66" t="n">
        <f aca="false">DH23+DI23</f>
        <v>0</v>
      </c>
      <c r="K23" s="90" t="n">
        <f aca="false">I23+J23</f>
        <v>0</v>
      </c>
      <c r="L23" s="98"/>
      <c r="M23" s="67" t="n">
        <f aca="false">A23</f>
        <v>37146</v>
      </c>
      <c r="N23" s="92" t="n">
        <v>45.75</v>
      </c>
      <c r="O23" s="92" t="n">
        <v>45.75</v>
      </c>
      <c r="P23" s="69" t="n">
        <f aca="false">AVERAGE(N23:O23)-F23</f>
        <v>0</v>
      </c>
      <c r="Q23" s="70"/>
      <c r="R23" s="91" t="n">
        <f aca="false">H23</f>
        <v>45.75</v>
      </c>
      <c r="S23" s="24"/>
      <c r="T23" s="24"/>
      <c r="U23" s="72"/>
      <c r="V23" s="73" t="n">
        <f aca="false">A23</f>
        <v>37146</v>
      </c>
      <c r="W23" s="74"/>
      <c r="X23" s="293"/>
      <c r="Y23" s="77"/>
      <c r="Z23" s="78"/>
      <c r="AA23" s="77"/>
      <c r="AB23" s="78"/>
      <c r="AC23" s="74"/>
      <c r="AD23" s="99"/>
      <c r="AE23" s="77"/>
      <c r="AF23" s="78"/>
      <c r="AG23" s="77"/>
      <c r="AH23" s="76"/>
      <c r="AI23" s="77"/>
      <c r="AJ23" s="78"/>
      <c r="AK23" s="77"/>
      <c r="AL23" s="78"/>
      <c r="AM23" s="77"/>
      <c r="AN23" s="78"/>
      <c r="AO23" s="77"/>
      <c r="AP23" s="78"/>
      <c r="AQ23" s="77"/>
      <c r="AR23" s="78"/>
      <c r="AS23" s="77"/>
      <c r="AT23" s="160"/>
      <c r="AU23" s="94"/>
      <c r="AV23" s="95"/>
      <c r="AW23" s="96"/>
      <c r="AX23" s="75"/>
      <c r="AY23" s="81"/>
      <c r="AZ23" s="75"/>
      <c r="BA23" s="81"/>
      <c r="BB23" s="75"/>
      <c r="BC23" s="81"/>
      <c r="BD23" s="75"/>
      <c r="BE23" s="81"/>
      <c r="BF23" s="75"/>
      <c r="BG23" s="81"/>
      <c r="BH23" s="75"/>
      <c r="BI23" s="81"/>
      <c r="BJ23" s="75"/>
      <c r="BK23" s="81"/>
      <c r="BL23" s="75"/>
      <c r="BM23" s="81"/>
      <c r="BN23" s="75"/>
      <c r="BO23" s="81"/>
      <c r="BP23" s="75"/>
      <c r="BQ23" s="81"/>
      <c r="BR23" s="75"/>
      <c r="BS23" s="81"/>
      <c r="BT23" s="75"/>
      <c r="BU23" s="81"/>
      <c r="BV23" s="75"/>
      <c r="BW23" s="81"/>
      <c r="BX23" s="75"/>
      <c r="BY23" s="81"/>
      <c r="BZ23" s="75"/>
      <c r="CA23" s="81"/>
      <c r="CB23" s="75"/>
      <c r="CC23" s="81"/>
      <c r="CD23" s="75"/>
      <c r="CE23" s="81"/>
      <c r="CF23" s="75"/>
      <c r="CG23" s="81"/>
      <c r="CH23" s="75"/>
      <c r="CI23" s="81"/>
      <c r="CJ23" s="75"/>
      <c r="CK23" s="81"/>
      <c r="CL23" s="75"/>
      <c r="CM23" s="81"/>
      <c r="CN23" s="75"/>
      <c r="CO23" s="81"/>
      <c r="CP23" s="75"/>
      <c r="CQ23" s="81"/>
      <c r="CR23" s="75"/>
      <c r="CS23" s="81"/>
      <c r="CT23" s="75"/>
      <c r="CU23" s="81"/>
      <c r="CV23" s="75"/>
      <c r="CW23" s="81"/>
      <c r="CX23" s="75"/>
      <c r="CY23" s="82" t="n">
        <f aca="false">W23+Y23+AA23+AC23+AE23+AG23+AI23+AK23+AM23+AO23+AQ23+AS23+AU23+AW23+AY23+BA23+BC23+BE23+BG23+BI23+BK23+BM23+BO23+BQ23+BS23+BU23+BW23+BY23+CA23+CC23+CE23+CG23+CI23+CK23+CM23+CO23+CQ23+CS23+CU23+CW23</f>
        <v>0</v>
      </c>
      <c r="CZ23" s="83" t="n">
        <f aca="false">IF(AND(CY23=0,DC23=0),0,(DF23+DG23)/DC23)</f>
        <v>0</v>
      </c>
      <c r="DA23" s="84" t="n">
        <f aca="false">DC23*DD23</f>
        <v>0</v>
      </c>
      <c r="DB23" s="85" t="n">
        <f aca="false">V23</f>
        <v>37146</v>
      </c>
      <c r="DC23" s="84" t="n">
        <f aca="false">ABS(W23)+ABS(Y23)+ABS(AA23)+ABS(AC23)+ABS(AE23)+ABS(AG23)+ABS(AI23)+ABS(AK23)+ABS(AM23)+ABS(AO23)+ABS(AQ23)+ABS(AS23)+ABS(AU23)+ABS(AW23)+ABS(AY23)+ABS(BA23)+ABS(BC23)+ABS(BE23)+ABS(BG23)+ABS(BI23)+ABS(BK23)+ABS(BM23)+ABS(BO23)+ABS(BQ23)+ABS(BS23)+ABS(BU23)+ABS(BW23)+ABS(BY23)+ABS(CA23)+ABS(CC23)+ABS(CE23)+ABS(CG23)+ABS(CI23)+ABS(CK23)+ABS(CM23)+ABS(CO23)+ABS(CQ23)+ABS(CS23)+ABS(CU23)+ABS(CW23)</f>
        <v>0</v>
      </c>
      <c r="DD23" s="86" t="n">
        <v>16</v>
      </c>
      <c r="DE23" s="84" t="n">
        <v>1</v>
      </c>
      <c r="DF23" s="43" t="n">
        <f aca="false">(ABS(W23)*X23+ABS(Y23)*Z23+ABS(AA23)*AB23+ABS(AC23)*AD23+ABS(AE23)*AF23+ABS(AG23)*AH23+ABS(AI23)*AJ23+ABS(AK23)*AL23+ABS(AM23)*AN23+ABS(AO23)*AP23+ABS(AQ23)*AR23+ABS(AS23)*AT23+ABS(AU23)*AV23+ABS(AW23)*AX23+ABS(AY23)*AZ23+ABS(BA23)*BB23+ABS(BC23)*BD23+ABS(BE23)*BF23+ABS(BG23)*BH23+ABS(BI23)*BJ23)</f>
        <v>0</v>
      </c>
      <c r="DG23" s="43" t="n">
        <f aca="false">ABS(BK23)*BL23+ABS(BM23)*BN23+ABS(BO23)*BP23+ABS(BQ23)*BR23+ABS(BS23)*BT23+ABS(BU23)*BV23+ABS(BW23)*BX23+ABS(BY23)*BZ23+ABS(CA23)*CB23+ABS(CC23)*CD23+ABS(CE23)*CF23+ABS(CG23)*CH23+ABS(CI23)*CJ23+ABS(CK23)*CL23+ABS(CM23)*CN23+ABS(CO23)*CP23+ABS(CQ23)*CR23+ABS(CS23)*CT23+ABS(CU23)*CV23+ABS(CW23)*CX23</f>
        <v>0</v>
      </c>
      <c r="DH23" s="43" t="n">
        <f aca="false">((H23-X23)*W23+(H23-Z23)*Y23+(H23-AB23)*AA23+(H23-AD23)*AC23+(H23-AF23)*AE23+(H23-AH23)*AG23+(H23-AJ23)*AI23+(H23-AL23)*AK23+(H23-AN23)*AM23+(H23-AP23)*AO23+(H23-AR23)*AQ23+(H23-AT23)*AS23+(H23-AV23)*AU23+(H23-AX23)*AW23+(H23-AZ23)*AY23+(H23-BB23)*BA23+(H23-BD23)*BC23+(H23-BF23)*BE23+(H23-BH23)*BG23+(H23-BJ23)*BI23)*DD23*DE23</f>
        <v>0</v>
      </c>
      <c r="DI23" s="43" t="n">
        <f aca="false">(((H23-BL23)*BK23+(H23-BN23)*BM23+(H23-BP23)*BO23+(H23-BR23)*BQ23+(H23-BT23)*BS23+(H23-BV23)*BU23+(H23-BX23)*BW23+(H23-BZ23)*BY23+(H23-CB23)*CA23+(H23-CD23)*CC23+(H23-CF23)*CE23+(H23-CH23)*CG23+(H23-CJ23)*CH23+(H23-CL23)*CK23+(H23-CN23)*CM23+(H23-CP23)*CO23+(H23-CR23)*CQ23+(H23-CT23)*CS23+(H23-CV23)*CU23+(H23-CX23)*CW23)*DD23*DE23)</f>
        <v>0</v>
      </c>
      <c r="DK23" s="85" t="n">
        <v>37146</v>
      </c>
      <c r="DL23" s="21" t="n">
        <v>74.7329559326172</v>
      </c>
      <c r="DM23" s="21" t="n">
        <f aca="false">[5]NEPOOL!$L10</f>
        <v>-1189.7</v>
      </c>
      <c r="DN23" s="21" t="n">
        <f aca="false">IF(AND(WEEKDAY(DK23)&gt;1,WEEKDAY(DK23)&lt;7),1,0)</f>
        <v>1</v>
      </c>
    </row>
    <row r="24" customFormat="false" ht="18.75" hidden="false" customHeight="false" outlineLevel="0" collapsed="false">
      <c r="A24" s="58" t="n">
        <f aca="false">'NYISO A'!A24</f>
        <v>37147</v>
      </c>
      <c r="B24" s="59" t="n">
        <f aca="false">+[3]NYZoneJ!$L15/16</f>
        <v>74.7329559326172</v>
      </c>
      <c r="C24" s="60" t="n">
        <f aca="false">CY24</f>
        <v>0</v>
      </c>
      <c r="D24" s="61" t="n">
        <f aca="false">(IF(MONTH(A24)=MONTH(EOMONTH(TradeDate,1)),$AP$70,0)*VLOOKUP(A24,$DK$12:$DN$43,4))</f>
        <v>0</v>
      </c>
      <c r="E24" s="62" t="n">
        <f aca="false">B24+C24+D24</f>
        <v>74.7329559326172</v>
      </c>
      <c r="F24" s="63" t="n">
        <f aca="false">[3]NYZoneJ!$C15</f>
        <v>45.75</v>
      </c>
      <c r="G24" s="63" t="n">
        <f aca="false">IF($Q$9,Q24,P24)</f>
        <v>0</v>
      </c>
      <c r="H24" s="64" t="n">
        <f aca="false">F24+G24</f>
        <v>45.75</v>
      </c>
      <c r="I24" s="65" t="n">
        <f aca="false">B24*G24*DD24</f>
        <v>0</v>
      </c>
      <c r="J24" s="66" t="n">
        <f aca="false">DH24+DI24</f>
        <v>0</v>
      </c>
      <c r="K24" s="66" t="n">
        <f aca="false">I24+J24</f>
        <v>0</v>
      </c>
      <c r="L24" s="98"/>
      <c r="M24" s="67" t="n">
        <f aca="false">A24</f>
        <v>37147</v>
      </c>
      <c r="N24" s="92" t="n">
        <v>45.75</v>
      </c>
      <c r="O24" s="92" t="n">
        <v>45.75</v>
      </c>
      <c r="P24" s="69" t="n">
        <f aca="false">AVERAGE(N24:O24)-F24</f>
        <v>0</v>
      </c>
      <c r="Q24" s="70"/>
      <c r="R24" s="91" t="n">
        <f aca="false">H24</f>
        <v>45.75</v>
      </c>
      <c r="S24" s="24"/>
      <c r="T24" s="24"/>
      <c r="U24" s="72"/>
      <c r="V24" s="73" t="n">
        <f aca="false">A24</f>
        <v>37147</v>
      </c>
      <c r="W24" s="74"/>
      <c r="X24" s="293"/>
      <c r="Y24" s="77"/>
      <c r="Z24" s="78"/>
      <c r="AA24" s="77"/>
      <c r="AB24" s="78"/>
      <c r="AC24" s="74"/>
      <c r="AD24" s="99"/>
      <c r="AE24" s="77"/>
      <c r="AF24" s="78"/>
      <c r="AG24" s="77"/>
      <c r="AH24" s="76"/>
      <c r="AI24" s="77"/>
      <c r="AJ24" s="78"/>
      <c r="AK24" s="77"/>
      <c r="AL24" s="78"/>
      <c r="AM24" s="77"/>
      <c r="AN24" s="78"/>
      <c r="AO24" s="77"/>
      <c r="AP24" s="78"/>
      <c r="AQ24" s="77"/>
      <c r="AR24" s="78"/>
      <c r="AS24" s="77"/>
      <c r="AT24" s="160"/>
      <c r="AU24" s="94"/>
      <c r="AV24" s="95"/>
      <c r="AW24" s="96"/>
      <c r="AX24" s="75"/>
      <c r="AY24" s="81"/>
      <c r="AZ24" s="75"/>
      <c r="BA24" s="81"/>
      <c r="BB24" s="75"/>
      <c r="BC24" s="81"/>
      <c r="BD24" s="75"/>
      <c r="BE24" s="81"/>
      <c r="BF24" s="75"/>
      <c r="BG24" s="81"/>
      <c r="BH24" s="75"/>
      <c r="BI24" s="81"/>
      <c r="BJ24" s="75"/>
      <c r="BK24" s="81"/>
      <c r="BL24" s="75"/>
      <c r="BM24" s="81"/>
      <c r="BN24" s="75"/>
      <c r="BO24" s="81"/>
      <c r="BP24" s="75"/>
      <c r="BQ24" s="81"/>
      <c r="BR24" s="75"/>
      <c r="BS24" s="81"/>
      <c r="BT24" s="75"/>
      <c r="BU24" s="81"/>
      <c r="BV24" s="75"/>
      <c r="BW24" s="81"/>
      <c r="BX24" s="75"/>
      <c r="BY24" s="81"/>
      <c r="BZ24" s="75"/>
      <c r="CA24" s="81"/>
      <c r="CB24" s="75"/>
      <c r="CC24" s="81"/>
      <c r="CD24" s="75"/>
      <c r="CE24" s="81"/>
      <c r="CF24" s="75"/>
      <c r="CG24" s="81"/>
      <c r="CH24" s="75"/>
      <c r="CI24" s="81"/>
      <c r="CJ24" s="75"/>
      <c r="CK24" s="81"/>
      <c r="CL24" s="75"/>
      <c r="CM24" s="81"/>
      <c r="CN24" s="75"/>
      <c r="CO24" s="81"/>
      <c r="CP24" s="75"/>
      <c r="CQ24" s="81"/>
      <c r="CR24" s="75"/>
      <c r="CS24" s="81"/>
      <c r="CT24" s="75"/>
      <c r="CU24" s="81"/>
      <c r="CV24" s="75"/>
      <c r="CW24" s="81"/>
      <c r="CX24" s="75"/>
      <c r="CY24" s="82" t="n">
        <f aca="false">W24+Y24+AA24+AC24+AE24+AG24+AI24+AK24+AM24+AO24+AQ24+AS24+AU24+AW24+AY24+BA24+BC24+BE24+BG24+BI24+BK24+BM24+BO24+BQ24+BS24+BU24+BW24+BY24+CA24+CC24+CE24+CG24+CI24+CK24+CM24+CO24+CQ24+CS24+CU24+CW24</f>
        <v>0</v>
      </c>
      <c r="CZ24" s="83" t="n">
        <f aca="false">IF(AND(CY24=0,DC24=0),0,(DF24+DG24)/DC24)</f>
        <v>0</v>
      </c>
      <c r="DA24" s="84" t="n">
        <f aca="false">DC24*DD24</f>
        <v>0</v>
      </c>
      <c r="DB24" s="85" t="n">
        <f aca="false">V24</f>
        <v>37147</v>
      </c>
      <c r="DC24" s="84" t="n">
        <f aca="false">ABS(W24)+ABS(Y24)+ABS(AA24)+ABS(AC24)+ABS(AE24)+ABS(AG24)+ABS(AI24)+ABS(AK24)+ABS(AM24)+ABS(AO24)+ABS(AQ24)+ABS(AS24)+ABS(AU24)+ABS(AW24)+ABS(AY24)+ABS(BA24)+ABS(BC24)+ABS(BE24)+ABS(BG24)+ABS(BI24)+ABS(BK24)+ABS(BM24)+ABS(BO24)+ABS(BQ24)+ABS(BS24)+ABS(BU24)+ABS(BW24)+ABS(BY24)+ABS(CA24)+ABS(CC24)+ABS(CE24)+ABS(CG24)+ABS(CI24)+ABS(CK24)+ABS(CM24)+ABS(CO24)+ABS(CQ24)+ABS(CS24)+ABS(CU24)+ABS(CW24)</f>
        <v>0</v>
      </c>
      <c r="DD24" s="86" t="n">
        <v>16</v>
      </c>
      <c r="DE24" s="84" t="n">
        <v>1</v>
      </c>
      <c r="DF24" s="43" t="n">
        <f aca="false">(ABS(W24)*X24+ABS(Y24)*Z24+ABS(AA24)*AB24+ABS(AC24)*AD24+ABS(AE24)*AF24+ABS(AG24)*AH24+ABS(AI24)*AJ24+ABS(AK24)*AL24+ABS(AM24)*AN24+ABS(AO24)*AP24+ABS(AQ24)*AR24+ABS(AS24)*AT24+ABS(AU24)*AV24+ABS(AW24)*AX24+ABS(AY24)*AZ24+ABS(BA24)*BB24+ABS(BC24)*BD24+ABS(BE24)*BF24+ABS(BG24)*BH24+ABS(BI24)*BJ24)</f>
        <v>0</v>
      </c>
      <c r="DG24" s="43" t="n">
        <f aca="false">ABS(BK24)*BL24+ABS(BM24)*BN24+ABS(BO24)*BP24+ABS(BQ24)*BR24+ABS(BS24)*BT24+ABS(BU24)*BV24+ABS(BW24)*BX24+ABS(BY24)*BZ24+ABS(CA24)*CB24+ABS(CC24)*CD24+ABS(CE24)*CF24+ABS(CG24)*CH24+ABS(CI24)*CJ24+ABS(CK24)*CL24+ABS(CM24)*CN24+ABS(CO24)*CP24+ABS(CQ24)*CR24+ABS(CS24)*CT24+ABS(CU24)*CV24+ABS(CW24)*CX24</f>
        <v>0</v>
      </c>
      <c r="DH24" s="43" t="n">
        <f aca="false">((H24-X24)*W24+(H24-Z24)*Y24+(H24-AB24)*AA24+(H24-AD24)*AC24+(H24-AF24)*AE24+(H24-AH24)*AG24+(H24-AJ24)*AI24+(H24-AL24)*AK24+(H24-AN24)*AM24+(H24-AP24)*AO24+(H24-AR24)*AQ24+(H24-AT24)*AS24+(H24-AV24)*AU24+(H24-AX24)*AW24+(H24-AZ24)*AY24+(H24-BB24)*BA24+(H24-BD24)*BC24+(H24-BF24)*BE24+(H24-BH24)*BG24+(H24-BJ24)*BI24)*DD24*DE24</f>
        <v>0</v>
      </c>
      <c r="DI24" s="43" t="n">
        <f aca="false">(((H24-BL24)*BK24+(H24-BN24)*BM24+(H24-BP24)*BO24+(H24-BR24)*BQ24+(H24-BT24)*BS24+(H24-BV24)*BU24+(H24-BX24)*BW24+(H24-BZ24)*BY24+(H24-CB24)*CA24+(H24-CD24)*CC24+(H24-CF24)*CE24+(H24-CH24)*CG24+(H24-CJ24)*CH24+(H24-CL24)*CK24+(H24-CN24)*CM24+(H24-CP24)*CO24+(H24-CR24)*CQ24+(H24-CT24)*CS24+(H24-CV24)*CU24+(H24-CX24)*CW24)*DD24*DE24)</f>
        <v>0</v>
      </c>
      <c r="DK24" s="85" t="n">
        <v>37147</v>
      </c>
      <c r="DL24" s="21" t="n">
        <v>74.7329559326172</v>
      </c>
      <c r="DM24" s="21" t="n">
        <f aca="false">[5]NEPOOL!$L11</f>
        <v>-1189.7</v>
      </c>
      <c r="DN24" s="21" t="n">
        <f aca="false">IF(AND(WEEKDAY(DK24)&gt;1,WEEKDAY(DK24)&lt;7),1,0)</f>
        <v>1</v>
      </c>
    </row>
    <row r="25" customFormat="false" ht="18.75" hidden="false" customHeight="false" outlineLevel="0" collapsed="false">
      <c r="A25" s="58" t="n">
        <f aca="false">'NYISO A'!A25</f>
        <v>37148</v>
      </c>
      <c r="B25" s="59" t="n">
        <f aca="false">+[3]NYZoneJ!$L16/16</f>
        <v>74.7329559326172</v>
      </c>
      <c r="C25" s="101" t="n">
        <f aca="false">CY25</f>
        <v>0</v>
      </c>
      <c r="D25" s="87" t="n">
        <f aca="false">(IF(MONTH(A25)=MONTH(EOMONTH(TradeDate,1)),$AP$70,0)*VLOOKUP(A25,$DK$12:$DN$43,4))</f>
        <v>0</v>
      </c>
      <c r="E25" s="62" t="n">
        <f aca="false">B25+C25+D25</f>
        <v>74.7329559326172</v>
      </c>
      <c r="F25" s="63" t="n">
        <f aca="false">[3]NYZoneJ!$C16</f>
        <v>45.75</v>
      </c>
      <c r="G25" s="88" t="n">
        <f aca="false">IF($Q$9,Q25,P25)</f>
        <v>0</v>
      </c>
      <c r="H25" s="89" t="n">
        <f aca="false">F25+G25</f>
        <v>45.75</v>
      </c>
      <c r="I25" s="87" t="n">
        <f aca="false">B25*G25*DD25</f>
        <v>0</v>
      </c>
      <c r="J25" s="66" t="n">
        <f aca="false">DH25+DI25</f>
        <v>0</v>
      </c>
      <c r="K25" s="90" t="n">
        <f aca="false">I25+J25</f>
        <v>0</v>
      </c>
      <c r="M25" s="67" t="n">
        <f aca="false">A25</f>
        <v>37148</v>
      </c>
      <c r="N25" s="92" t="n">
        <v>45.75</v>
      </c>
      <c r="O25" s="92" t="n">
        <v>45.75</v>
      </c>
      <c r="P25" s="69" t="n">
        <f aca="false">AVERAGE(N25:O25)-F25</f>
        <v>0</v>
      </c>
      <c r="Q25" s="70"/>
      <c r="R25" s="91" t="n">
        <f aca="false">H25</f>
        <v>45.75</v>
      </c>
      <c r="S25" s="24"/>
      <c r="T25" s="24"/>
      <c r="U25" s="72"/>
      <c r="V25" s="73" t="n">
        <f aca="false">A25</f>
        <v>37148</v>
      </c>
      <c r="W25" s="74"/>
      <c r="X25" s="293"/>
      <c r="Y25" s="77"/>
      <c r="Z25" s="78"/>
      <c r="AA25" s="77"/>
      <c r="AB25" s="78"/>
      <c r="AC25" s="77"/>
      <c r="AD25" s="78"/>
      <c r="AE25" s="77"/>
      <c r="AF25" s="78"/>
      <c r="AG25" s="77"/>
      <c r="AH25" s="76"/>
      <c r="AI25" s="77"/>
      <c r="AJ25" s="78"/>
      <c r="AK25" s="77"/>
      <c r="AL25" s="78"/>
      <c r="AM25" s="77"/>
      <c r="AN25" s="78"/>
      <c r="AO25" s="77"/>
      <c r="AP25" s="78"/>
      <c r="AQ25" s="77"/>
      <c r="AR25" s="78"/>
      <c r="AS25" s="77"/>
      <c r="AT25" s="160"/>
      <c r="AU25" s="94"/>
      <c r="AV25" s="95"/>
      <c r="AW25" s="96"/>
      <c r="AX25" s="75"/>
      <c r="AY25" s="81"/>
      <c r="AZ25" s="75"/>
      <c r="BA25" s="81"/>
      <c r="BB25" s="75"/>
      <c r="BC25" s="81"/>
      <c r="BD25" s="75"/>
      <c r="BE25" s="81"/>
      <c r="BF25" s="75"/>
      <c r="BG25" s="81"/>
      <c r="BH25" s="75"/>
      <c r="BI25" s="81"/>
      <c r="BJ25" s="75"/>
      <c r="BK25" s="81"/>
      <c r="BL25" s="75"/>
      <c r="BM25" s="81"/>
      <c r="BN25" s="75"/>
      <c r="BO25" s="81"/>
      <c r="BP25" s="75"/>
      <c r="BQ25" s="81"/>
      <c r="BR25" s="75"/>
      <c r="BS25" s="81"/>
      <c r="BT25" s="75"/>
      <c r="BU25" s="81"/>
      <c r="BV25" s="75"/>
      <c r="BW25" s="81"/>
      <c r="BX25" s="75"/>
      <c r="BY25" s="81"/>
      <c r="BZ25" s="75"/>
      <c r="CA25" s="81"/>
      <c r="CB25" s="75"/>
      <c r="CC25" s="81"/>
      <c r="CD25" s="75"/>
      <c r="CE25" s="81"/>
      <c r="CF25" s="75"/>
      <c r="CG25" s="81"/>
      <c r="CH25" s="75"/>
      <c r="CI25" s="81"/>
      <c r="CJ25" s="75"/>
      <c r="CK25" s="81"/>
      <c r="CL25" s="75"/>
      <c r="CM25" s="81"/>
      <c r="CN25" s="75"/>
      <c r="CO25" s="81"/>
      <c r="CP25" s="75"/>
      <c r="CQ25" s="81"/>
      <c r="CR25" s="75"/>
      <c r="CS25" s="81"/>
      <c r="CT25" s="75"/>
      <c r="CU25" s="81"/>
      <c r="CV25" s="75"/>
      <c r="CW25" s="81"/>
      <c r="CX25" s="75"/>
      <c r="CY25" s="82" t="n">
        <f aca="false">W25+Y25+AA25+AC25+AE25+AG25+AI25+AK25+AM25+AO25+AQ25+AS25+AU25+AW25+AY25+BA25+BC25+BE25+BG25+BI25+BK25+BM25+BO25+BQ25+BS25+BU25+BW25+BY25+CA25+CC25+CE25+CG25+CI25+CK25+CM25+CO25+CQ25+CS25+CU25+CW25</f>
        <v>0</v>
      </c>
      <c r="CZ25" s="83" t="n">
        <f aca="false">IF(AND(CY25=0,DC25=0),0,(DF25+DG25)/DC25)</f>
        <v>0</v>
      </c>
      <c r="DA25" s="84" t="n">
        <f aca="false">DC25*DD25</f>
        <v>0</v>
      </c>
      <c r="DB25" s="85" t="n">
        <f aca="false">V25</f>
        <v>37148</v>
      </c>
      <c r="DC25" s="84" t="n">
        <f aca="false">ABS(W25)+ABS(Y25)+ABS(AA25)+ABS(AC25)+ABS(AE25)+ABS(AG25)+ABS(AI25)+ABS(AK25)+ABS(AM25)+ABS(AO25)+ABS(AQ25)+ABS(AS25)+ABS(AU25)+ABS(AW25)+ABS(AY25)+ABS(BA25)+ABS(BC25)+ABS(BE25)+ABS(BG25)+ABS(BI25)+ABS(BK25)+ABS(BM25)+ABS(BO25)+ABS(BQ25)+ABS(BS25)+ABS(BU25)+ABS(BW25)+ABS(BY25)+ABS(CA25)+ABS(CC25)+ABS(CE25)+ABS(CG25)+ABS(CI25)+ABS(CK25)+ABS(CM25)+ABS(CO25)+ABS(CQ25)+ABS(CS25)+ABS(CU25)+ABS(CW25)</f>
        <v>0</v>
      </c>
      <c r="DD25" s="86" t="n">
        <v>16</v>
      </c>
      <c r="DE25" s="84" t="n">
        <v>1</v>
      </c>
      <c r="DF25" s="43" t="n">
        <f aca="false">(ABS(W25)*X25+ABS(Y25)*Z25+ABS(AA25)*AB25+ABS(AC25)*AD25+ABS(AE25)*AF25+ABS(AG25)*AH25+ABS(AI25)*AJ25+ABS(AK25)*AL25+ABS(AM25)*AN25+ABS(AO25)*AP25+ABS(AQ25)*AR25+ABS(AS25)*AT25+ABS(AU25)*AV25+ABS(AW25)*AX25+ABS(AY25)*AZ25+ABS(BA25)*BB25+ABS(BC25)*BD25+ABS(BE25)*BF25+ABS(BG25)*BH25+ABS(BI25)*BJ25)</f>
        <v>0</v>
      </c>
      <c r="DG25" s="43" t="n">
        <f aca="false">ABS(BK25)*BL25+ABS(BM25)*BN25+ABS(BO25)*BP25+ABS(BQ25)*BR25+ABS(BS25)*BT25+ABS(BU25)*BV25+ABS(BW25)*BX25+ABS(BY25)*BZ25+ABS(CA25)*CB25+ABS(CC25)*CD25+ABS(CE25)*CF25+ABS(CG25)*CH25+ABS(CI25)*CJ25+ABS(CK25)*CL25+ABS(CM25)*CN25+ABS(CO25)*CP25+ABS(CQ25)*CR25+ABS(CS25)*CT25+ABS(CU25)*CV25+ABS(CW25)*CX25</f>
        <v>0</v>
      </c>
      <c r="DH25" s="43" t="n">
        <f aca="false">((H25-X25)*W25+(H25-Z25)*Y25+(H25-AB25)*AA25+(H25-AD25)*AC25+(H25-AF25)*AE25+(H25-AH25)*AG25+(H25-AJ25)*AI25+(H25-AL25)*AK25+(H25-AN25)*AM25+(H25-AP25)*AO25+(H25-AR25)*AQ25+(H25-AT25)*AS25+(H25-AV25)*AU25+(H25-AX25)*AW25+(H25-AZ25)*AY25+(H25-BB25)*BA25+(H25-BD25)*BC25+(H25-BF25)*BE25+(H25-BH25)*BG25+(H25-BJ25)*BI25)*DD25*DE25</f>
        <v>0</v>
      </c>
      <c r="DI25" s="43" t="n">
        <f aca="false">(((H25-BL25)*BK25+(H25-BN25)*BM25+(H25-BP25)*BO25+(H25-BR25)*BQ25+(H25-BT25)*BS25+(H25-BV25)*BU25+(H25-BX25)*BW25+(H25-BZ25)*BY25+(H25-CB25)*CA25+(H25-CD25)*CC25+(H25-CF25)*CE25+(H25-CH25)*CG25+(H25-CJ25)*CH25+(H25-CL25)*CK25+(H25-CN25)*CM25+(H25-CP25)*CO25+(H25-CR25)*CQ25+(H25-CT25)*CS25+(H25-CV25)*CU25+(H25-CX25)*CW25)*DD25*DE25)</f>
        <v>0</v>
      </c>
      <c r="DK25" s="85" t="n">
        <v>37148</v>
      </c>
      <c r="DL25" s="21" t="n">
        <v>74.7329559326172</v>
      </c>
      <c r="DM25" s="21" t="n">
        <f aca="false">[5]NEPOOL!$L12</f>
        <v>-1189.7</v>
      </c>
      <c r="DN25" s="21" t="n">
        <f aca="false">IF(AND(WEEKDAY(DK25)&gt;1,WEEKDAY(DK25)&lt;7),1,0)</f>
        <v>1</v>
      </c>
    </row>
    <row r="26" customFormat="false" ht="18.75" hidden="false" customHeight="false" outlineLevel="0" collapsed="false">
      <c r="A26" s="58" t="n">
        <f aca="false">'NYISO A'!A26</f>
        <v>37149</v>
      </c>
      <c r="B26" s="59" t="n">
        <f aca="false">+[3]NYZoneJ!$L17/16</f>
        <v>0</v>
      </c>
      <c r="C26" s="60" t="n">
        <f aca="false">CY26</f>
        <v>0</v>
      </c>
      <c r="D26" s="61" t="n">
        <f aca="false">(IF(MONTH(A26)=MONTH(EOMONTH(TradeDate,1)),$AP$70,0)*VLOOKUP(A26,$DK$12:$DN$43,4))</f>
        <v>0</v>
      </c>
      <c r="E26" s="62" t="n">
        <f aca="false">B26+C26+D26</f>
        <v>0</v>
      </c>
      <c r="F26" s="63" t="n">
        <f aca="false">[3]NYZoneJ!$C17</f>
        <v>42</v>
      </c>
      <c r="G26" s="63" t="n">
        <f aca="false">IF($Q$9,Q26,P26)</f>
        <v>0</v>
      </c>
      <c r="H26" s="64" t="n">
        <f aca="false">F26+G26</f>
        <v>42</v>
      </c>
      <c r="I26" s="65" t="n">
        <f aca="false">B26*G26*DD26</f>
        <v>0</v>
      </c>
      <c r="J26" s="66" t="n">
        <f aca="false">DH26+DI26</f>
        <v>0</v>
      </c>
      <c r="K26" s="66" t="n">
        <f aca="false">I26+J26</f>
        <v>0</v>
      </c>
      <c r="L26" s="98"/>
      <c r="M26" s="67" t="n">
        <f aca="false">A26</f>
        <v>37149</v>
      </c>
      <c r="N26" s="92" t="n">
        <v>42</v>
      </c>
      <c r="O26" s="92" t="n">
        <v>42</v>
      </c>
      <c r="P26" s="69" t="n">
        <f aca="false">AVERAGE(N26:O26)-F26</f>
        <v>0</v>
      </c>
      <c r="Q26" s="70"/>
      <c r="R26" s="91" t="n">
        <f aca="false">H26</f>
        <v>42</v>
      </c>
      <c r="S26" s="24"/>
      <c r="T26" s="24"/>
      <c r="U26" s="72"/>
      <c r="V26" s="73" t="n">
        <f aca="false">A26</f>
        <v>37149</v>
      </c>
      <c r="W26" s="74"/>
      <c r="X26" s="293"/>
      <c r="Y26" s="77"/>
      <c r="Z26" s="78"/>
      <c r="AA26" s="77"/>
      <c r="AB26" s="78"/>
      <c r="AC26" s="77"/>
      <c r="AD26" s="78"/>
      <c r="AE26" s="77"/>
      <c r="AF26" s="78"/>
      <c r="AG26" s="77"/>
      <c r="AH26" s="76"/>
      <c r="AI26" s="77"/>
      <c r="AJ26" s="78"/>
      <c r="AK26" s="77"/>
      <c r="AL26" s="78"/>
      <c r="AM26" s="77"/>
      <c r="AN26" s="78"/>
      <c r="AO26" s="77"/>
      <c r="AP26" s="78"/>
      <c r="AQ26" s="77"/>
      <c r="AR26" s="78"/>
      <c r="AS26" s="77"/>
      <c r="AT26" s="160"/>
      <c r="AU26" s="94"/>
      <c r="AV26" s="95"/>
      <c r="AW26" s="96"/>
      <c r="AX26" s="75"/>
      <c r="AY26" s="81"/>
      <c r="AZ26" s="75"/>
      <c r="BA26" s="81"/>
      <c r="BB26" s="75"/>
      <c r="BC26" s="81"/>
      <c r="BD26" s="75"/>
      <c r="BE26" s="81"/>
      <c r="BF26" s="75"/>
      <c r="BG26" s="81"/>
      <c r="BH26" s="75"/>
      <c r="BI26" s="81"/>
      <c r="BJ26" s="75"/>
      <c r="BK26" s="81"/>
      <c r="BL26" s="75"/>
      <c r="BM26" s="81"/>
      <c r="BN26" s="75"/>
      <c r="BO26" s="81"/>
      <c r="BP26" s="75"/>
      <c r="BQ26" s="81"/>
      <c r="BR26" s="75"/>
      <c r="BS26" s="81"/>
      <c r="BT26" s="75"/>
      <c r="BU26" s="81"/>
      <c r="BV26" s="75"/>
      <c r="BW26" s="81"/>
      <c r="BX26" s="75"/>
      <c r="BY26" s="81"/>
      <c r="BZ26" s="75"/>
      <c r="CA26" s="81"/>
      <c r="CB26" s="75"/>
      <c r="CC26" s="81"/>
      <c r="CD26" s="75"/>
      <c r="CE26" s="81"/>
      <c r="CF26" s="75"/>
      <c r="CG26" s="81"/>
      <c r="CH26" s="75"/>
      <c r="CI26" s="81"/>
      <c r="CJ26" s="75"/>
      <c r="CK26" s="81"/>
      <c r="CL26" s="75"/>
      <c r="CM26" s="81"/>
      <c r="CN26" s="75"/>
      <c r="CO26" s="81"/>
      <c r="CP26" s="75"/>
      <c r="CQ26" s="81"/>
      <c r="CR26" s="75"/>
      <c r="CS26" s="81"/>
      <c r="CT26" s="75"/>
      <c r="CU26" s="81"/>
      <c r="CV26" s="75"/>
      <c r="CW26" s="81"/>
      <c r="CX26" s="75"/>
      <c r="CY26" s="82" t="n">
        <f aca="false">W26+Y26+AA26+AC26+AE26+AG26+AI26+AK26+AM26+AO26+AQ26+AS26+AU26+AW26+AY26+BA26+BC26+BE26+BG26+BI26+BK26+BM26+BO26+BQ26+BS26+BU26+BW26+BY26+CA26+CC26+CE26+CG26+CI26+CK26+CM26+CO26+CQ26+CS26+CU26+CW26</f>
        <v>0</v>
      </c>
      <c r="CZ26" s="83" t="n">
        <f aca="false">IF(AND(CY26=0,DC26=0),0,(DF26+DG26)/DC26)</f>
        <v>0</v>
      </c>
      <c r="DA26" s="84" t="n">
        <f aca="false">DC26*DD26</f>
        <v>0</v>
      </c>
      <c r="DB26" s="85" t="n">
        <f aca="false">V26</f>
        <v>37149</v>
      </c>
      <c r="DC26" s="84" t="n">
        <f aca="false">ABS(W26)+ABS(Y26)+ABS(AA26)+ABS(AC26)+ABS(AE26)+ABS(AG26)+ABS(AI26)+ABS(AK26)+ABS(AM26)+ABS(AO26)+ABS(AQ26)+ABS(AS26)+ABS(AU26)+ABS(AW26)+ABS(AY26)+ABS(BA26)+ABS(BC26)+ABS(BE26)+ABS(BG26)+ABS(BI26)+ABS(BK26)+ABS(BM26)+ABS(BO26)+ABS(BQ26)+ABS(BS26)+ABS(BU26)+ABS(BW26)+ABS(BY26)+ABS(CA26)+ABS(CC26)+ABS(CE26)+ABS(CG26)+ABS(CI26)+ABS(CK26)+ABS(CM26)+ABS(CO26)+ABS(CQ26)+ABS(CS26)+ABS(CU26)+ABS(CW26)</f>
        <v>0</v>
      </c>
      <c r="DD26" s="86" t="n">
        <v>16</v>
      </c>
      <c r="DE26" s="84" t="n">
        <v>1</v>
      </c>
      <c r="DF26" s="43" t="n">
        <f aca="false">(ABS(W26)*X26+ABS(Y26)*Z26+ABS(AA26)*AB26+ABS(AC26)*AD26+ABS(AE26)*AF26+ABS(AG26)*AH26+ABS(AI26)*AJ26+ABS(AK26)*AL26+ABS(AM26)*AN26+ABS(AO26)*AP26+ABS(AQ26)*AR26+ABS(AS26)*AT26+ABS(AU26)*AV26+ABS(AW26)*AX26+ABS(AY26)*AZ26+ABS(BA26)*BB26+ABS(BC26)*BD26+ABS(BE26)*BF26+ABS(BG26)*BH26+ABS(BI26)*BJ26)</f>
        <v>0</v>
      </c>
      <c r="DG26" s="43" t="n">
        <f aca="false">ABS(BK26)*BL26+ABS(BM26)*BN26+ABS(BO26)*BP26+ABS(BQ26)*BR26+ABS(BS26)*BT26+ABS(BU26)*BV26+ABS(BW26)*BX26+ABS(BY26)*BZ26+ABS(CA26)*CB26+ABS(CC26)*CD26+ABS(CE26)*CF26+ABS(CG26)*CH26+ABS(CI26)*CJ26+ABS(CK26)*CL26+ABS(CM26)*CN26+ABS(CO26)*CP26+ABS(CQ26)*CR26+ABS(CS26)*CT26+ABS(CU26)*CV26+ABS(CW26)*CX26</f>
        <v>0</v>
      </c>
      <c r="DH26" s="43" t="n">
        <f aca="false">((H26-X26)*W26+(H26-Z26)*Y26+(H26-AB26)*AA26+(H26-AD26)*AC26+(H26-AF26)*AE26+(H26-AH26)*AG26+(H26-AJ26)*AI26+(H26-AL26)*AK26+(H26-AN26)*AM26+(H26-AP26)*AO26+(H26-AR26)*AQ26+(H26-AT26)*AS26+(H26-AV26)*AU26+(H26-AX26)*AW26+(H26-AZ26)*AY26+(H26-BB26)*BA26+(H26-BD26)*BC26+(H26-BF26)*BE26+(H26-BH26)*BG26+(H26-BJ26)*BI26)*DD26*DE26</f>
        <v>0</v>
      </c>
      <c r="DI26" s="43" t="n">
        <f aca="false">(((H26-BL26)*BK26+(H26-BN26)*BM26+(H26-BP26)*BO26+(H26-BR26)*BQ26+(H26-BT26)*BS26+(H26-BV26)*BU26+(H26-BX26)*BW26+(H26-BZ26)*BY26+(H26-CB26)*CA26+(H26-CD26)*CC26+(H26-CF26)*CE26+(H26-CH26)*CG26+(H26-CJ26)*CH26+(H26-CL26)*CK26+(H26-CN26)*CM26+(H26-CP26)*CO26+(H26-CR26)*CQ26+(H26-CT26)*CS26+(H26-CV26)*CU26+(H26-CX26)*CW26)*DD26*DE26)</f>
        <v>0</v>
      </c>
      <c r="DK26" s="85" t="n">
        <v>37149</v>
      </c>
      <c r="DL26" s="21" t="n">
        <v>0</v>
      </c>
      <c r="DM26" s="21" t="n">
        <f aca="false">[5]NEPOOL!$L13</f>
        <v>-1189.7</v>
      </c>
      <c r="DN26" s="21" t="n">
        <f aca="false">IF(AND(WEEKDAY(DK26)&gt;1,WEEKDAY(DK26)&lt;7),1,0)</f>
        <v>0</v>
      </c>
    </row>
    <row r="27" customFormat="false" ht="18.75" hidden="false" customHeight="false" outlineLevel="0" collapsed="false">
      <c r="A27" s="58" t="n">
        <f aca="false">'NYISO A'!A27</f>
        <v>37150</v>
      </c>
      <c r="B27" s="59" t="n">
        <f aca="false">+[3]NYZoneJ!$L18/16</f>
        <v>0</v>
      </c>
      <c r="C27" s="101" t="n">
        <f aca="false">CY27</f>
        <v>0</v>
      </c>
      <c r="D27" s="87" t="n">
        <f aca="false">(IF(MONTH(A27)=MONTH(EOMONTH(TradeDate,1)),$AP$70,0)*VLOOKUP(A27,$DK$12:$DN$43,4))</f>
        <v>0</v>
      </c>
      <c r="E27" s="62" t="n">
        <f aca="false">B27+C27+D27</f>
        <v>0</v>
      </c>
      <c r="F27" s="63" t="n">
        <f aca="false">[3]NYZoneJ!$C18</f>
        <v>42</v>
      </c>
      <c r="G27" s="88" t="n">
        <f aca="false">IF($Q$9,Q27,P27)</f>
        <v>0</v>
      </c>
      <c r="H27" s="89" t="n">
        <f aca="false">F27+G27</f>
        <v>42</v>
      </c>
      <c r="I27" s="87" t="n">
        <f aca="false">B27*G27*DD27</f>
        <v>0</v>
      </c>
      <c r="J27" s="66" t="n">
        <f aca="false">DH27+DI27</f>
        <v>0</v>
      </c>
      <c r="K27" s="90" t="n">
        <f aca="false">I27+J27</f>
        <v>0</v>
      </c>
      <c r="L27" s="98"/>
      <c r="M27" s="67" t="n">
        <f aca="false">A27</f>
        <v>37150</v>
      </c>
      <c r="N27" s="92" t="n">
        <v>42</v>
      </c>
      <c r="O27" s="92" t="n">
        <v>42</v>
      </c>
      <c r="P27" s="69" t="n">
        <f aca="false">AVERAGE(N27:O27)-F27</f>
        <v>0</v>
      </c>
      <c r="Q27" s="70"/>
      <c r="R27" s="91" t="n">
        <f aca="false">H27</f>
        <v>42</v>
      </c>
      <c r="S27" s="24"/>
      <c r="T27" s="24"/>
      <c r="U27" s="72"/>
      <c r="V27" s="73" t="n">
        <f aca="false">A27</f>
        <v>37150</v>
      </c>
      <c r="W27" s="74"/>
      <c r="X27" s="293"/>
      <c r="Y27" s="77"/>
      <c r="Z27" s="78"/>
      <c r="AA27" s="77"/>
      <c r="AB27" s="78"/>
      <c r="AC27" s="77"/>
      <c r="AD27" s="78"/>
      <c r="AE27" s="77"/>
      <c r="AF27" s="78"/>
      <c r="AG27" s="77"/>
      <c r="AH27" s="76"/>
      <c r="AI27" s="77"/>
      <c r="AJ27" s="78"/>
      <c r="AK27" s="77"/>
      <c r="AL27" s="78"/>
      <c r="AM27" s="77"/>
      <c r="AN27" s="78"/>
      <c r="AO27" s="77"/>
      <c r="AP27" s="78"/>
      <c r="AQ27" s="77"/>
      <c r="AR27" s="78"/>
      <c r="AS27" s="77"/>
      <c r="AT27" s="160"/>
      <c r="AU27" s="94"/>
      <c r="AV27" s="95"/>
      <c r="AW27" s="96"/>
      <c r="AX27" s="75"/>
      <c r="AY27" s="81"/>
      <c r="AZ27" s="75"/>
      <c r="BA27" s="81"/>
      <c r="BB27" s="75"/>
      <c r="BC27" s="81"/>
      <c r="BD27" s="75"/>
      <c r="BE27" s="81"/>
      <c r="BF27" s="75"/>
      <c r="BG27" s="81"/>
      <c r="BH27" s="75"/>
      <c r="BI27" s="81"/>
      <c r="BJ27" s="75"/>
      <c r="BK27" s="81"/>
      <c r="BL27" s="75"/>
      <c r="BM27" s="81"/>
      <c r="BN27" s="75"/>
      <c r="BO27" s="81"/>
      <c r="BP27" s="75"/>
      <c r="BQ27" s="81"/>
      <c r="BR27" s="75"/>
      <c r="BS27" s="81"/>
      <c r="BT27" s="75"/>
      <c r="BU27" s="81"/>
      <c r="BV27" s="75"/>
      <c r="BW27" s="81"/>
      <c r="BX27" s="75"/>
      <c r="BY27" s="81"/>
      <c r="BZ27" s="75"/>
      <c r="CA27" s="81"/>
      <c r="CB27" s="75"/>
      <c r="CC27" s="81"/>
      <c r="CD27" s="75"/>
      <c r="CE27" s="81"/>
      <c r="CF27" s="75"/>
      <c r="CG27" s="81"/>
      <c r="CH27" s="75"/>
      <c r="CI27" s="81"/>
      <c r="CJ27" s="75"/>
      <c r="CK27" s="81"/>
      <c r="CL27" s="75"/>
      <c r="CM27" s="81"/>
      <c r="CN27" s="75"/>
      <c r="CO27" s="81"/>
      <c r="CP27" s="75"/>
      <c r="CQ27" s="81"/>
      <c r="CR27" s="75"/>
      <c r="CS27" s="81"/>
      <c r="CT27" s="75"/>
      <c r="CU27" s="81"/>
      <c r="CV27" s="75"/>
      <c r="CW27" s="81"/>
      <c r="CX27" s="75"/>
      <c r="CY27" s="82" t="n">
        <f aca="false">W27+Y27+AA27+AC27+AE27+AG27+AI27+AK27+AM27+AO27+AQ27+AS27+AU27+AW27+AY27+BA27+BC27+BE27+BG27+BI27+BK27+BM27+BO27+BQ27+BS27+BU27+BW27+BY27+CA27+CC27+CE27+CG27+CI27+CK27+CM27+CO27+CQ27+CS27+CU27+CW27</f>
        <v>0</v>
      </c>
      <c r="CZ27" s="83" t="n">
        <f aca="false">IF(AND(CY27=0,DC27=0),0,(DF27+DG27)/DC27)</f>
        <v>0</v>
      </c>
      <c r="DA27" s="84" t="n">
        <f aca="false">DC27*DD27</f>
        <v>0</v>
      </c>
      <c r="DB27" s="85" t="n">
        <f aca="false">V27</f>
        <v>37150</v>
      </c>
      <c r="DC27" s="84" t="n">
        <f aca="false">ABS(W27)+ABS(Y27)+ABS(AA27)+ABS(AC27)+ABS(AE27)+ABS(AG27)+ABS(AI27)+ABS(AK27)+ABS(AM27)+ABS(AO27)+ABS(AQ27)+ABS(AS27)+ABS(AU27)+ABS(AW27)+ABS(AY27)+ABS(BA27)+ABS(BC27)+ABS(BE27)+ABS(BG27)+ABS(BI27)+ABS(BK27)+ABS(BM27)+ABS(BO27)+ABS(BQ27)+ABS(BS27)+ABS(BU27)+ABS(BW27)+ABS(BY27)+ABS(CA27)+ABS(CC27)+ABS(CE27)+ABS(CG27)+ABS(CI27)+ABS(CK27)+ABS(CM27)+ABS(CO27)+ABS(CQ27)+ABS(CS27)+ABS(CU27)+ABS(CW27)</f>
        <v>0</v>
      </c>
      <c r="DD27" s="86" t="n">
        <v>16</v>
      </c>
      <c r="DE27" s="84" t="n">
        <v>1</v>
      </c>
      <c r="DF27" s="43" t="n">
        <f aca="false">(ABS(W27)*X27+ABS(Y27)*Z27+ABS(AA27)*AB27+ABS(AC27)*AD27+ABS(AE27)*AF27+ABS(AG27)*AH27+ABS(AI27)*AJ27+ABS(AK27)*AL27+ABS(AM27)*AN27+ABS(AO27)*AP27+ABS(AQ27)*AR27+ABS(AS27)*AT27+ABS(AU27)*AV27+ABS(AW27)*AX27+ABS(AY27)*AZ27+ABS(BA27)*BB27+ABS(BC27)*BD27+ABS(BE27)*BF27+ABS(BG27)*BH27+ABS(BI27)*BJ27)</f>
        <v>0</v>
      </c>
      <c r="DG27" s="43" t="n">
        <f aca="false">ABS(BK27)*BL27+ABS(BM27)*BN27+ABS(BO27)*BP27+ABS(BQ27)*BR27+ABS(BS27)*BT27+ABS(BU27)*BV27+ABS(BW27)*BX27+ABS(BY27)*BZ27+ABS(CA27)*CB27+ABS(CC27)*CD27+ABS(CE27)*CF27+ABS(CG27)*CH27+ABS(CI27)*CJ27+ABS(CK27)*CL27+ABS(CM27)*CN27+ABS(CO27)*CP27+ABS(CQ27)*CR27+ABS(CS27)*CT27+ABS(CU27)*CV27+ABS(CW27)*CX27</f>
        <v>0</v>
      </c>
      <c r="DH27" s="43" t="n">
        <f aca="false">((H27-X27)*W27+(H27-Z27)*Y27+(H27-AB27)*AA27+(H27-AD27)*AC27+(H27-AF27)*AE27+(H27-AH27)*AG27+(H27-AJ27)*AI27+(H27-AL27)*AK27+(H27-AN27)*AM27+(H27-AP27)*AO27+(H27-AR27)*AQ27+(H27-AT27)*AS27+(H27-AV27)*AU27+(H27-AX27)*AW27+(H27-AZ27)*AY27+(H27-BB27)*BA27+(H27-BD27)*BC27+(H27-BF27)*BE27+(H27-BH27)*BG27+(H27-BJ27)*BI27)*DD27*DE27</f>
        <v>0</v>
      </c>
      <c r="DI27" s="43" t="n">
        <f aca="false">(((H27-BL27)*BK27+(H27-BN27)*BM27+(H27-BP27)*BO27+(H27-BR27)*BQ27+(H27-BT27)*BS27+(H27-BV27)*BU27+(H27-BX27)*BW27+(H27-BZ27)*BY27+(H27-CB27)*CA27+(H27-CD27)*CC27+(H27-CF27)*CE27+(H27-CH27)*CG27+(H27-CJ27)*CH27+(H27-CL27)*CK27+(H27-CN27)*CM27+(H27-CP27)*CO27+(H27-CR27)*CQ27+(H27-CT27)*CS27+(H27-CV27)*CU27+(H27-CX27)*CW27)*DD27*DE27)</f>
        <v>0</v>
      </c>
      <c r="DK27" s="85" t="n">
        <v>37150</v>
      </c>
      <c r="DL27" s="21" t="n">
        <v>0</v>
      </c>
      <c r="DM27" s="21" t="n">
        <f aca="false">[5]NEPOOL!$L14</f>
        <v>0</v>
      </c>
      <c r="DN27" s="21" t="n">
        <f aca="false">IF(AND(WEEKDAY(DK27)&gt;1,WEEKDAY(DK27)&lt;7),1,0)</f>
        <v>0</v>
      </c>
    </row>
    <row r="28" customFormat="false" ht="18.75" hidden="false" customHeight="false" outlineLevel="0" collapsed="false">
      <c r="A28" s="58" t="n">
        <f aca="false">'NYISO A'!A28</f>
        <v>37151</v>
      </c>
      <c r="B28" s="59" t="n">
        <f aca="false">+[3]NYZoneJ!$L19/16</f>
        <v>74.7329559326172</v>
      </c>
      <c r="C28" s="60" t="n">
        <f aca="false">CY28</f>
        <v>0</v>
      </c>
      <c r="D28" s="61" t="n">
        <f aca="false">(IF(MONTH(A28)=MONTH(EOMONTH(TradeDate,1)),$AP$70,0)*VLOOKUP(A28,$DK$12:$DN$43,4))</f>
        <v>0</v>
      </c>
      <c r="E28" s="62" t="n">
        <f aca="false">B28+C28+D28</f>
        <v>74.7329559326172</v>
      </c>
      <c r="F28" s="63" t="n">
        <f aca="false">[3]NYZoneJ!$C19</f>
        <v>45.75</v>
      </c>
      <c r="G28" s="63" t="n">
        <f aca="false">IF($Q$9,Q28,P28)</f>
        <v>0</v>
      </c>
      <c r="H28" s="64" t="n">
        <f aca="false">F28+G28</f>
        <v>45.75</v>
      </c>
      <c r="I28" s="65" t="n">
        <f aca="false">B28*G28*DD28</f>
        <v>0</v>
      </c>
      <c r="J28" s="66" t="n">
        <f aca="false">DH28+DI28</f>
        <v>0</v>
      </c>
      <c r="K28" s="66" t="n">
        <f aca="false">I28+J28</f>
        <v>0</v>
      </c>
      <c r="M28" s="67" t="n">
        <f aca="false">A28</f>
        <v>37151</v>
      </c>
      <c r="N28" s="92" t="n">
        <v>45.75</v>
      </c>
      <c r="O28" s="92" t="n">
        <v>45.75</v>
      </c>
      <c r="P28" s="69" t="n">
        <f aca="false">AVERAGE(N28:O28)-F28</f>
        <v>0</v>
      </c>
      <c r="Q28" s="70"/>
      <c r="R28" s="91" t="n">
        <f aca="false">H28</f>
        <v>45.75</v>
      </c>
      <c r="S28" s="24"/>
      <c r="T28" s="24"/>
      <c r="U28" s="72"/>
      <c r="V28" s="73" t="n">
        <f aca="false">A28</f>
        <v>37151</v>
      </c>
      <c r="W28" s="74"/>
      <c r="X28" s="293"/>
      <c r="Y28" s="77"/>
      <c r="Z28" s="78"/>
      <c r="AA28" s="77"/>
      <c r="AB28" s="99"/>
      <c r="AC28" s="77"/>
      <c r="AD28" s="78"/>
      <c r="AE28" s="77"/>
      <c r="AF28" s="78"/>
      <c r="AG28" s="77"/>
      <c r="AH28" s="78"/>
      <c r="AI28" s="77"/>
      <c r="AJ28" s="78"/>
      <c r="AK28" s="77"/>
      <c r="AL28" s="78"/>
      <c r="AM28" s="77"/>
      <c r="AN28" s="78"/>
      <c r="AO28" s="77"/>
      <c r="AP28" s="78"/>
      <c r="AQ28" s="77"/>
      <c r="AR28" s="78"/>
      <c r="AS28" s="77"/>
      <c r="AT28" s="160"/>
      <c r="AU28" s="94"/>
      <c r="AV28" s="95"/>
      <c r="AW28" s="96"/>
      <c r="AX28" s="75"/>
      <c r="AY28" s="81"/>
      <c r="AZ28" s="75"/>
      <c r="BA28" s="81"/>
      <c r="BB28" s="75"/>
      <c r="BC28" s="81"/>
      <c r="BD28" s="75"/>
      <c r="BE28" s="81"/>
      <c r="BF28" s="75"/>
      <c r="BG28" s="81"/>
      <c r="BH28" s="75"/>
      <c r="BI28" s="81"/>
      <c r="BJ28" s="75"/>
      <c r="BK28" s="81"/>
      <c r="BL28" s="75"/>
      <c r="BM28" s="81"/>
      <c r="BN28" s="75"/>
      <c r="BO28" s="81"/>
      <c r="BP28" s="75"/>
      <c r="BQ28" s="81"/>
      <c r="BR28" s="75"/>
      <c r="BS28" s="81"/>
      <c r="BT28" s="75"/>
      <c r="BU28" s="81"/>
      <c r="BV28" s="75"/>
      <c r="BW28" s="81"/>
      <c r="BX28" s="75"/>
      <c r="BY28" s="81"/>
      <c r="BZ28" s="75"/>
      <c r="CA28" s="81"/>
      <c r="CB28" s="75"/>
      <c r="CC28" s="81"/>
      <c r="CD28" s="75"/>
      <c r="CE28" s="81"/>
      <c r="CF28" s="75"/>
      <c r="CG28" s="81"/>
      <c r="CH28" s="75"/>
      <c r="CI28" s="81"/>
      <c r="CJ28" s="75"/>
      <c r="CK28" s="81"/>
      <c r="CL28" s="75"/>
      <c r="CM28" s="81"/>
      <c r="CN28" s="75"/>
      <c r="CO28" s="81"/>
      <c r="CP28" s="75"/>
      <c r="CQ28" s="81"/>
      <c r="CR28" s="75"/>
      <c r="CS28" s="81"/>
      <c r="CT28" s="75"/>
      <c r="CU28" s="81"/>
      <c r="CV28" s="75"/>
      <c r="CW28" s="81"/>
      <c r="CX28" s="75"/>
      <c r="CY28" s="82" t="n">
        <f aca="false">W28+Y28+AA28+AC28+AE28+AG28+AI28+AK28+AM28+AO28+AQ28+AS28+AU28+AW28+AY28+BA28+BC28+BE28+BG28+BI28+BK28+BM28+BO28+BQ28+BS28+BU28+BW28+BY28+CA28+CC28+CE28+CG28+CI28+CK28+CM28+CO28+CQ28+CS28+CU28+CW28</f>
        <v>0</v>
      </c>
      <c r="CZ28" s="83" t="n">
        <f aca="false">IF(AND(CY28=0,DC28=0),0,(DF28+DG28)/DC28)</f>
        <v>0</v>
      </c>
      <c r="DA28" s="84" t="n">
        <f aca="false">DC28*DD28</f>
        <v>0</v>
      </c>
      <c r="DB28" s="85" t="n">
        <f aca="false">V28</f>
        <v>37151</v>
      </c>
      <c r="DC28" s="84" t="n">
        <f aca="false">ABS(W28)+ABS(Y28)+ABS(AA28)+ABS(AC28)+ABS(AE28)+ABS(AG28)+ABS(AI28)+ABS(AK28)+ABS(AM28)+ABS(AO28)+ABS(AQ28)+ABS(AS28)+ABS(AU28)+ABS(AW28)+ABS(AY28)+ABS(BA28)+ABS(BC28)+ABS(BE28)+ABS(BG28)+ABS(BI28)+ABS(BK28)+ABS(BM28)+ABS(BO28)+ABS(BQ28)+ABS(BS28)+ABS(BU28)+ABS(BW28)+ABS(BY28)+ABS(CA28)+ABS(CC28)+ABS(CE28)+ABS(CG28)+ABS(CI28)+ABS(CK28)+ABS(CM28)+ABS(CO28)+ABS(CQ28)+ABS(CS28)+ABS(CU28)+ABS(CW28)</f>
        <v>0</v>
      </c>
      <c r="DD28" s="86" t="n">
        <v>16</v>
      </c>
      <c r="DE28" s="84" t="n">
        <v>1</v>
      </c>
      <c r="DF28" s="43" t="n">
        <f aca="false">(ABS(W28)*X28+ABS(Y28)*Z28+ABS(AA28)*AB28+ABS(AC28)*AD28+ABS(AE28)*AF28+ABS(AG28)*AH28+ABS(AI28)*AJ28+ABS(AK28)*AL28+ABS(AM28)*AN28+ABS(AO28)*AP28+ABS(AQ28)*AR28+ABS(AS28)*AT28+ABS(AU28)*AV28+ABS(AW28)*AX28+ABS(AY28)*AZ28+ABS(BA28)*BB28+ABS(BC28)*BD28+ABS(BE28)*BF28+ABS(BG28)*BH28+ABS(BI28)*BJ28)</f>
        <v>0</v>
      </c>
      <c r="DG28" s="43" t="n">
        <f aca="false">ABS(BK28)*BL28+ABS(BM28)*BN28+ABS(BO28)*BP28+ABS(BQ28)*BR28+ABS(BS28)*BT28+ABS(BU28)*BV28+ABS(BW28)*BX28+ABS(BY28)*BZ28+ABS(CA28)*CB28+ABS(CC28)*CD28+ABS(CE28)*CF28+ABS(CG28)*CH28+ABS(CI28)*CJ28+ABS(CK28)*CL28+ABS(CM28)*CN28+ABS(CO28)*CP28+ABS(CQ28)*CR28+ABS(CS28)*CT28+ABS(CU28)*CV28+ABS(CW28)*CX28</f>
        <v>0</v>
      </c>
      <c r="DH28" s="43" t="n">
        <f aca="false">((H28-X28)*W28+(H28-Z28)*Y28+(H28-AB28)*AA28+(H28-AD28)*AC28+(H28-AF28)*AE28+(H28-AH28)*AG28+(H28-AJ28)*AI28+(H28-AL28)*AK28+(H28-AN28)*AM28+(H28-AP28)*AO28+(H28-AR28)*AQ28+(H28-AT28)*AS28+(H28-AV28)*AU28+(H28-AX28)*AW28+(H28-AZ28)*AY28+(H28-BB28)*BA28+(H28-BD28)*BC28+(H28-BF28)*BE28+(H28-BH28)*BG28+(H28-BJ28)*BI28)*DD28*DE28</f>
        <v>0</v>
      </c>
      <c r="DI28" s="43" t="n">
        <f aca="false">(((H28-BL28)*BK28+(H28-BN28)*BM28+(H28-BP28)*BO28+(H28-BR28)*BQ28+(H28-BT28)*BS28+(H28-BV28)*BU28+(H28-BX28)*BW28+(H28-BZ28)*BY28+(H28-CB28)*CA28+(H28-CD28)*CC28+(H28-CF28)*CE28+(H28-CH28)*CG28+(H28-CJ28)*CH28+(H28-CL28)*CK28+(H28-CN28)*CM28+(H28-CP28)*CO28+(H28-CR28)*CQ28+(H28-CT28)*CS28+(H28-CV28)*CU28+(H28-CX28)*CW28)*DD28*DE28)</f>
        <v>0</v>
      </c>
      <c r="DK28" s="85" t="n">
        <v>37151</v>
      </c>
      <c r="DL28" s="21" t="n">
        <v>74.7329559326172</v>
      </c>
      <c r="DM28" s="21" t="n">
        <f aca="false">[5]NEPOOL!$L15</f>
        <v>0</v>
      </c>
      <c r="DN28" s="21" t="n">
        <f aca="false">IF(AND(WEEKDAY(DK28)&gt;1,WEEKDAY(DK28)&lt;7),1,0)</f>
        <v>1</v>
      </c>
    </row>
    <row r="29" customFormat="false" ht="18.75" hidden="false" customHeight="false" outlineLevel="0" collapsed="false">
      <c r="A29" s="58" t="n">
        <f aca="false">'NYISO A'!A29</f>
        <v>37152</v>
      </c>
      <c r="B29" s="59" t="n">
        <f aca="false">+[3]NYZoneJ!$L20/16</f>
        <v>74.7329559326172</v>
      </c>
      <c r="C29" s="101" t="n">
        <f aca="false">CY29</f>
        <v>0</v>
      </c>
      <c r="D29" s="87" t="n">
        <f aca="false">(IF(MONTH(A29)=MONTH(EOMONTH(TradeDate,1)),$AP$70,0)*VLOOKUP(A29,$DK$12:$DN$43,4))</f>
        <v>0</v>
      </c>
      <c r="E29" s="62" t="n">
        <f aca="false">B29+C29+D29</f>
        <v>74.7329559326172</v>
      </c>
      <c r="F29" s="63" t="n">
        <f aca="false">[3]NYZoneJ!$C20</f>
        <v>45.75</v>
      </c>
      <c r="G29" s="88" t="n">
        <f aca="false">IF($Q$9,Q29,P29)</f>
        <v>0</v>
      </c>
      <c r="H29" s="89" t="n">
        <f aca="false">F29+G29</f>
        <v>45.75</v>
      </c>
      <c r="I29" s="87" t="n">
        <f aca="false">B29*G29*DD29</f>
        <v>0</v>
      </c>
      <c r="J29" s="66" t="n">
        <f aca="false">DH29+DI29</f>
        <v>0</v>
      </c>
      <c r="K29" s="90" t="n">
        <f aca="false">I29+J29</f>
        <v>0</v>
      </c>
      <c r="L29" s="24"/>
      <c r="M29" s="67" t="n">
        <f aca="false">A29</f>
        <v>37152</v>
      </c>
      <c r="N29" s="92" t="n">
        <v>45.75</v>
      </c>
      <c r="O29" s="92" t="n">
        <v>45.75</v>
      </c>
      <c r="P29" s="69" t="n">
        <f aca="false">AVERAGE(N29:O29)-F29</f>
        <v>0</v>
      </c>
      <c r="Q29" s="70"/>
      <c r="R29" s="91" t="n">
        <f aca="false">H29</f>
        <v>45.75</v>
      </c>
      <c r="S29" s="24"/>
      <c r="T29" s="24"/>
      <c r="U29" s="72"/>
      <c r="V29" s="73" t="n">
        <f aca="false">A29</f>
        <v>37152</v>
      </c>
      <c r="W29" s="74"/>
      <c r="X29" s="293"/>
      <c r="Y29" s="77"/>
      <c r="Z29" s="78"/>
      <c r="AA29" s="74"/>
      <c r="AB29" s="99"/>
      <c r="AC29" s="77"/>
      <c r="AD29" s="78"/>
      <c r="AE29" s="77"/>
      <c r="AF29" s="78"/>
      <c r="AG29" s="77"/>
      <c r="AH29" s="78"/>
      <c r="AI29" s="77"/>
      <c r="AJ29" s="78"/>
      <c r="AK29" s="77"/>
      <c r="AL29" s="78"/>
      <c r="AM29" s="77"/>
      <c r="AN29" s="78"/>
      <c r="AO29" s="77"/>
      <c r="AP29" s="78"/>
      <c r="AQ29" s="77"/>
      <c r="AR29" s="78"/>
      <c r="AS29" s="77"/>
      <c r="AT29" s="160"/>
      <c r="AU29" s="94"/>
      <c r="AV29" s="95"/>
      <c r="AW29" s="96"/>
      <c r="AX29" s="75"/>
      <c r="AY29" s="81"/>
      <c r="AZ29" s="75"/>
      <c r="BA29" s="81"/>
      <c r="BB29" s="75"/>
      <c r="BC29" s="81"/>
      <c r="BD29" s="75"/>
      <c r="BE29" s="81"/>
      <c r="BF29" s="75"/>
      <c r="BG29" s="81"/>
      <c r="BH29" s="75"/>
      <c r="BI29" s="81"/>
      <c r="BJ29" s="75"/>
      <c r="BK29" s="81"/>
      <c r="BL29" s="75"/>
      <c r="BM29" s="81"/>
      <c r="BN29" s="75"/>
      <c r="BO29" s="81"/>
      <c r="BP29" s="75"/>
      <c r="BQ29" s="81"/>
      <c r="BR29" s="75"/>
      <c r="BS29" s="81"/>
      <c r="BT29" s="75"/>
      <c r="BU29" s="81"/>
      <c r="BV29" s="75"/>
      <c r="BW29" s="81"/>
      <c r="BX29" s="75"/>
      <c r="BY29" s="81"/>
      <c r="BZ29" s="75"/>
      <c r="CA29" s="81"/>
      <c r="CB29" s="75"/>
      <c r="CC29" s="81"/>
      <c r="CD29" s="75"/>
      <c r="CE29" s="81"/>
      <c r="CF29" s="75"/>
      <c r="CG29" s="81"/>
      <c r="CH29" s="75"/>
      <c r="CI29" s="81"/>
      <c r="CJ29" s="75"/>
      <c r="CK29" s="81"/>
      <c r="CL29" s="75"/>
      <c r="CM29" s="81"/>
      <c r="CN29" s="75"/>
      <c r="CO29" s="81"/>
      <c r="CP29" s="75"/>
      <c r="CQ29" s="81"/>
      <c r="CR29" s="75"/>
      <c r="CS29" s="81"/>
      <c r="CT29" s="75"/>
      <c r="CU29" s="81"/>
      <c r="CV29" s="75"/>
      <c r="CW29" s="81"/>
      <c r="CX29" s="75"/>
      <c r="CY29" s="82" t="n">
        <f aca="false">W29+Y29+AA29+AC29+AE29+AG29+AI29+AK29+AM29+AO29+AQ29+AS29+AU29+AW29+AY29+BA29+BC29+BE29+BG29+BI29+BK29+BM29+BO29+BQ29+BS29+BU29+BW29+BY29+CA29+CC29+CE29+CG29+CI29+CK29+CM29+CO29+CQ29+CS29+CU29+CW29</f>
        <v>0</v>
      </c>
      <c r="CZ29" s="83" t="n">
        <f aca="false">IF(AND(CY29=0,DC29=0),0,(DF29+DG29)/DC29)</f>
        <v>0</v>
      </c>
      <c r="DA29" s="84" t="n">
        <f aca="false">DC29*DD29</f>
        <v>0</v>
      </c>
      <c r="DB29" s="85" t="n">
        <f aca="false">V29</f>
        <v>37152</v>
      </c>
      <c r="DC29" s="84" t="n">
        <f aca="false">ABS(W29)+ABS(Y29)+ABS(AA29)+ABS(AC29)+ABS(AE29)+ABS(AG29)+ABS(AI29)+ABS(AK29)+ABS(AM29)+ABS(AO29)+ABS(AQ29)+ABS(AS29)+ABS(AU29)+ABS(AW29)+ABS(AY29)+ABS(BA29)+ABS(BC29)+ABS(BE29)+ABS(BG29)+ABS(BI29)+ABS(BK29)+ABS(BM29)+ABS(BO29)+ABS(BQ29)+ABS(BS29)+ABS(BU29)+ABS(BW29)+ABS(BY29)+ABS(CA29)+ABS(CC29)+ABS(CE29)+ABS(CG29)+ABS(CI29)+ABS(CK29)+ABS(CM29)+ABS(CO29)+ABS(CQ29)+ABS(CS29)+ABS(CU29)+ABS(CW29)</f>
        <v>0</v>
      </c>
      <c r="DD29" s="86" t="n">
        <v>16</v>
      </c>
      <c r="DE29" s="84" t="n">
        <v>1</v>
      </c>
      <c r="DF29" s="43" t="n">
        <f aca="false">(ABS(W29)*X29+ABS(Y29)*Z29+ABS(AA29)*AB29+ABS(AC29)*AD29+ABS(AE29)*AF29+ABS(AG29)*AH29+ABS(AI29)*AJ29+ABS(AK29)*AL29+ABS(AM29)*AN29+ABS(AO29)*AP29+ABS(AQ29)*AR29+ABS(AS29)*AT29+ABS(AU29)*AV29+ABS(AW29)*AX29+ABS(AY29)*AZ29+ABS(BA29)*BB29+ABS(BC29)*BD29+ABS(BE29)*BF29+ABS(BG29)*BH29+ABS(BI29)*BJ29)</f>
        <v>0</v>
      </c>
      <c r="DG29" s="43" t="n">
        <f aca="false">ABS(BK29)*BL29+ABS(BM29)*BN29+ABS(BO29)*BP29+ABS(BQ29)*BR29+ABS(BS29)*BT29+ABS(BU29)*BV29+ABS(BW29)*BX29+ABS(BY29)*BZ29+ABS(CA29)*CB29+ABS(CC29)*CD29+ABS(CE29)*CF29+ABS(CG29)*CH29+ABS(CI29)*CJ29+ABS(CK29)*CL29+ABS(CM29)*CN29+ABS(CO29)*CP29+ABS(CQ29)*CR29+ABS(CS29)*CT29+ABS(CU29)*CV29+ABS(CW29)*CX29</f>
        <v>0</v>
      </c>
      <c r="DH29" s="43" t="n">
        <f aca="false">((H29-X29)*W29+(H29-Z29)*Y29+(H29-AB29)*AA29+(H29-AD29)*AC29+(H29-AF29)*AE29+(H29-AH29)*AG29+(H29-AJ29)*AI29+(H29-AL29)*AK29+(H29-AN29)*AM29+(H29-AP29)*AO29+(H29-AR29)*AQ29+(H29-AT29)*AS29+(H29-AV29)*AU29+(H29-AX29)*AW29+(H29-AZ29)*AY29+(H29-BB29)*BA29+(H29-BD29)*BC29+(H29-BF29)*BE29+(H29-BH29)*BG29+(H29-BJ29)*BI29)*DD29*DE29</f>
        <v>0</v>
      </c>
      <c r="DI29" s="43" t="n">
        <f aca="false">(((H29-BL29)*BK29+(H29-BN29)*BM29+(H29-BP29)*BO29+(H29-BR29)*BQ29+(H29-BT29)*BS29+(H29-BV29)*BU29+(H29-BX29)*BW29+(H29-BZ29)*BY29+(H29-CB29)*CA29+(H29-CD29)*CC29+(H29-CF29)*CE29+(H29-CH29)*CG29+(H29-CJ29)*CH29+(H29-CL29)*CK29+(H29-CN29)*CM29+(H29-CP29)*CO29+(H29-CR29)*CQ29+(H29-CT29)*CS29+(H29-CV29)*CU29+(H29-CX29)*CW29)*DD29*DE29)</f>
        <v>0</v>
      </c>
      <c r="DK29" s="85" t="n">
        <v>37152</v>
      </c>
      <c r="DL29" s="21" t="n">
        <v>74.7329559326172</v>
      </c>
      <c r="DM29" s="21" t="n">
        <f aca="false">[5]NEPOOL!$L16</f>
        <v>-1189.7</v>
      </c>
      <c r="DN29" s="21" t="n">
        <f aca="false">IF(AND(WEEKDAY(DK29)&gt;1,WEEKDAY(DK29)&lt;7),1,0)</f>
        <v>1</v>
      </c>
    </row>
    <row r="30" customFormat="false" ht="18.75" hidden="false" customHeight="false" outlineLevel="0" collapsed="false">
      <c r="A30" s="58" t="n">
        <f aca="false">'NYISO A'!A30</f>
        <v>37153</v>
      </c>
      <c r="B30" s="59" t="n">
        <f aca="false">+[3]NYZoneJ!$L21/16</f>
        <v>74.7329559326172</v>
      </c>
      <c r="C30" s="60" t="n">
        <f aca="false">CY30</f>
        <v>0</v>
      </c>
      <c r="D30" s="61" t="n">
        <f aca="false">(IF(MONTH(A30)=MONTH(EOMONTH(TradeDate,1)),$AP$70,0)*VLOOKUP(A30,$DK$12:$DN$43,4))</f>
        <v>0</v>
      </c>
      <c r="E30" s="62" t="n">
        <f aca="false">B30+C30+D30</f>
        <v>74.7329559326172</v>
      </c>
      <c r="F30" s="63" t="n">
        <f aca="false">[3]NYZoneJ!$C21</f>
        <v>45.75</v>
      </c>
      <c r="G30" s="63" t="n">
        <f aca="false">IF($Q$9,Q30,P30)</f>
        <v>0</v>
      </c>
      <c r="H30" s="64" t="n">
        <f aca="false">F30+G30</f>
        <v>45.75</v>
      </c>
      <c r="I30" s="65" t="n">
        <f aca="false">B30*G30*DD30</f>
        <v>0</v>
      </c>
      <c r="J30" s="66" t="n">
        <f aca="false">DH30+DI30</f>
        <v>0</v>
      </c>
      <c r="K30" s="66" t="n">
        <f aca="false">I30+J30</f>
        <v>0</v>
      </c>
      <c r="L30" s="100"/>
      <c r="M30" s="67" t="n">
        <f aca="false">A30</f>
        <v>37153</v>
      </c>
      <c r="N30" s="92" t="n">
        <v>45.75</v>
      </c>
      <c r="O30" s="92" t="n">
        <v>45.75</v>
      </c>
      <c r="P30" s="69" t="n">
        <f aca="false">AVERAGE(N30:O30)-F30</f>
        <v>0</v>
      </c>
      <c r="Q30" s="70"/>
      <c r="R30" s="91" t="n">
        <f aca="false">H30</f>
        <v>45.75</v>
      </c>
      <c r="S30" s="24"/>
      <c r="T30" s="24"/>
      <c r="U30" s="72"/>
      <c r="V30" s="73" t="n">
        <f aca="false">A30</f>
        <v>37153</v>
      </c>
      <c r="W30" s="74"/>
      <c r="X30" s="293"/>
      <c r="Y30" s="77"/>
      <c r="Z30" s="78"/>
      <c r="AA30" s="77"/>
      <c r="AB30" s="78"/>
      <c r="AC30" s="77"/>
      <c r="AD30" s="78"/>
      <c r="AE30" s="77"/>
      <c r="AF30" s="78"/>
      <c r="AG30" s="77"/>
      <c r="AH30" s="76"/>
      <c r="AI30" s="77"/>
      <c r="AJ30" s="78"/>
      <c r="AK30" s="77"/>
      <c r="AL30" s="78"/>
      <c r="AM30" s="77"/>
      <c r="AN30" s="78"/>
      <c r="AO30" s="77"/>
      <c r="AP30" s="78"/>
      <c r="AQ30" s="77"/>
      <c r="AR30" s="78"/>
      <c r="AS30" s="77"/>
      <c r="AT30" s="160"/>
      <c r="AU30" s="94"/>
      <c r="AV30" s="95"/>
      <c r="AW30" s="96"/>
      <c r="AX30" s="75"/>
      <c r="AY30" s="81"/>
      <c r="AZ30" s="75"/>
      <c r="BA30" s="81"/>
      <c r="BB30" s="75"/>
      <c r="BC30" s="81"/>
      <c r="BD30" s="75"/>
      <c r="BE30" s="81"/>
      <c r="BF30" s="75"/>
      <c r="BG30" s="81"/>
      <c r="BH30" s="75"/>
      <c r="BI30" s="81"/>
      <c r="BJ30" s="75"/>
      <c r="BK30" s="81"/>
      <c r="BL30" s="75"/>
      <c r="BM30" s="81"/>
      <c r="BN30" s="75"/>
      <c r="BO30" s="81"/>
      <c r="BP30" s="75"/>
      <c r="BQ30" s="81"/>
      <c r="BR30" s="75"/>
      <c r="BS30" s="81"/>
      <c r="BT30" s="75"/>
      <c r="BU30" s="81"/>
      <c r="BV30" s="75"/>
      <c r="BW30" s="81"/>
      <c r="BX30" s="75"/>
      <c r="BY30" s="81"/>
      <c r="BZ30" s="75"/>
      <c r="CA30" s="81"/>
      <c r="CB30" s="75"/>
      <c r="CC30" s="81"/>
      <c r="CD30" s="75"/>
      <c r="CE30" s="81"/>
      <c r="CF30" s="75"/>
      <c r="CG30" s="81"/>
      <c r="CH30" s="75"/>
      <c r="CI30" s="81"/>
      <c r="CJ30" s="75"/>
      <c r="CK30" s="81"/>
      <c r="CL30" s="75"/>
      <c r="CM30" s="81"/>
      <c r="CN30" s="75"/>
      <c r="CO30" s="81"/>
      <c r="CP30" s="75"/>
      <c r="CQ30" s="81"/>
      <c r="CR30" s="75"/>
      <c r="CS30" s="81"/>
      <c r="CT30" s="75"/>
      <c r="CU30" s="81"/>
      <c r="CV30" s="75"/>
      <c r="CW30" s="81"/>
      <c r="CX30" s="75"/>
      <c r="CY30" s="82" t="n">
        <f aca="false">W30+Y30+AA30+AC30+AE30+AG30+AI30+AK30+AM30+AO30+AQ30+AS30+AU30+AW30+AY30+BA30+BC30+BE30+BG30+BI30+BK30+BM30+BO30+BQ30+BS30+BU30+BW30+BY30+CA30+CC30+CE30+CG30+CI30+CK30+CM30+CO30+CQ30+CS30+CU30+CW30</f>
        <v>0</v>
      </c>
      <c r="CZ30" s="83" t="n">
        <f aca="false">IF(AND(CY30=0,DC30=0),0,(DF30+DG30)/DC30)</f>
        <v>0</v>
      </c>
      <c r="DA30" s="84" t="n">
        <f aca="false">DC30*DD30</f>
        <v>0</v>
      </c>
      <c r="DB30" s="85" t="n">
        <f aca="false">V30</f>
        <v>37153</v>
      </c>
      <c r="DC30" s="84" t="n">
        <f aca="false">ABS(W30)+ABS(Y30)+ABS(AA30)+ABS(AC30)+ABS(AE30)+ABS(AG30)+ABS(AI30)+ABS(AK30)+ABS(AM30)+ABS(AO30)+ABS(AQ30)+ABS(AS30)+ABS(AU30)+ABS(AW30)+ABS(AY30)+ABS(BA30)+ABS(BC30)+ABS(BE30)+ABS(BG30)+ABS(BI30)+ABS(BK30)+ABS(BM30)+ABS(BO30)+ABS(BQ30)+ABS(BS30)+ABS(BU30)+ABS(BW30)+ABS(BY30)+ABS(CA30)+ABS(CC30)+ABS(CE30)+ABS(CG30)+ABS(CI30)+ABS(CK30)+ABS(CM30)+ABS(CO30)+ABS(CQ30)+ABS(CS30)+ABS(CU30)+ABS(CW30)</f>
        <v>0</v>
      </c>
      <c r="DD30" s="86" t="n">
        <v>16</v>
      </c>
      <c r="DE30" s="84" t="n">
        <v>1</v>
      </c>
      <c r="DF30" s="43" t="n">
        <f aca="false">(ABS(W30)*X30+ABS(Y30)*Z30+ABS(AA30)*AB30+ABS(AC30)*AD30+ABS(AE30)*AF30+ABS(AG30)*AH30+ABS(AI30)*AJ30+ABS(AK30)*AL30+ABS(AM30)*AN30+ABS(AO30)*AP30+ABS(AQ30)*AR30+ABS(AS30)*AT30+ABS(AU30)*AV30+ABS(AW30)*AX30+ABS(AY30)*AZ30+ABS(BA30)*BB30+ABS(BC30)*BD30+ABS(BE30)*BF30+ABS(BG30)*BH30+ABS(BI30)*BJ30)</f>
        <v>0</v>
      </c>
      <c r="DG30" s="43" t="n">
        <f aca="false">ABS(BK30)*BL30+ABS(BM30)*BN30+ABS(BO30)*BP30+ABS(BQ30)*BR30+ABS(BS30)*BT30+ABS(BU30)*BV30+ABS(BW30)*BX30+ABS(BY30)*BZ30+ABS(CA30)*CB30+ABS(CC30)*CD30+ABS(CE30)*CF30+ABS(CG30)*CH30+ABS(CI30)*CJ30+ABS(CK30)*CL30+ABS(CM30)*CN30+ABS(CO30)*CP30+ABS(CQ30)*CR30+ABS(CS30)*CT30+ABS(CU30)*CV30+ABS(CW30)*CX30</f>
        <v>0</v>
      </c>
      <c r="DH30" s="43" t="n">
        <f aca="false">((H30-X30)*W30+(H30-Z30)*Y30+(H30-AB30)*AA30+(H30-AD30)*AC30+(H30-AF30)*AE30+(H30-AH30)*AG30+(H30-AJ30)*AI30+(H30-AL30)*AK30+(H30-AN30)*AM30+(H30-AP30)*AO30+(H30-AR30)*AQ30+(H30-AT30)*AS30+(H30-AV30)*AU30+(H30-AX30)*AW30+(H30-AZ30)*AY30+(H30-BB30)*BA30+(H30-BD30)*BC30+(H30-BF30)*BE30+(H30-BH30)*BG30+(H30-BJ30)*BI30)*DD30*DE30</f>
        <v>0</v>
      </c>
      <c r="DI30" s="43" t="n">
        <f aca="false">(((H30-BL30)*BK30+(H30-BN30)*BM30+(H30-BP30)*BO30+(H30-BR30)*BQ30+(H30-BT30)*BS30+(H30-BV30)*BU30+(H30-BX30)*BW30+(H30-BZ30)*BY30+(H30-CB30)*CA30+(H30-CD30)*CC30+(H30-CF30)*CE30+(H30-CH30)*CG30+(H30-CJ30)*CH30+(H30-CL30)*CK30+(H30-CN30)*CM30+(H30-CP30)*CO30+(H30-CR30)*CQ30+(H30-CT30)*CS30+(H30-CV30)*CU30+(H30-CX30)*CW30)*DD30*DE30)</f>
        <v>0</v>
      </c>
      <c r="DK30" s="85" t="n">
        <v>37153</v>
      </c>
      <c r="DL30" s="21" t="n">
        <v>74.7329559326172</v>
      </c>
      <c r="DM30" s="21" t="n">
        <f aca="false">[5]NEPOOL!$L17</f>
        <v>-1189.7</v>
      </c>
      <c r="DN30" s="21" t="n">
        <f aca="false">IF(AND(WEEKDAY(DK30)&gt;1,WEEKDAY(DK30)&lt;7),1,0)</f>
        <v>1</v>
      </c>
    </row>
    <row r="31" customFormat="false" ht="18.75" hidden="false" customHeight="false" outlineLevel="0" collapsed="false">
      <c r="A31" s="58" t="n">
        <f aca="false">'NYISO A'!A31</f>
        <v>37154</v>
      </c>
      <c r="B31" s="59" t="n">
        <f aca="false">+[3]NYZoneJ!$L22/16</f>
        <v>74.7329559326172</v>
      </c>
      <c r="C31" s="101" t="n">
        <f aca="false">CY31</f>
        <v>0</v>
      </c>
      <c r="D31" s="87" t="n">
        <f aca="false">(IF(MONTH(A31)=MONTH(EOMONTH(TradeDate,1)),$AP$70,0)*VLOOKUP(A31,$DK$12:$DN$43,4))</f>
        <v>0</v>
      </c>
      <c r="E31" s="62" t="n">
        <f aca="false">B31+C31+D31</f>
        <v>74.7329559326172</v>
      </c>
      <c r="F31" s="63" t="n">
        <f aca="false">[3]NYZoneJ!$C22</f>
        <v>45.75</v>
      </c>
      <c r="G31" s="88" t="n">
        <f aca="false">IF($Q$9,Q31,P31)</f>
        <v>0</v>
      </c>
      <c r="H31" s="89" t="n">
        <f aca="false">F31+G31</f>
        <v>45.75</v>
      </c>
      <c r="I31" s="87" t="n">
        <f aca="false">B31*G31*DD31</f>
        <v>0</v>
      </c>
      <c r="J31" s="66" t="n">
        <f aca="false">DH31+DI31</f>
        <v>0</v>
      </c>
      <c r="K31" s="90" t="n">
        <f aca="false">I31+J31</f>
        <v>0</v>
      </c>
      <c r="L31" s="100"/>
      <c r="M31" s="67" t="n">
        <f aca="false">A31</f>
        <v>37154</v>
      </c>
      <c r="N31" s="92" t="n">
        <v>45.75</v>
      </c>
      <c r="O31" s="92" t="n">
        <v>45.75</v>
      </c>
      <c r="P31" s="69" t="n">
        <f aca="false">AVERAGE(N31:O31)-F31</f>
        <v>0</v>
      </c>
      <c r="Q31" s="70"/>
      <c r="R31" s="91" t="n">
        <f aca="false">H31</f>
        <v>45.75</v>
      </c>
      <c r="S31" s="24"/>
      <c r="T31" s="24"/>
      <c r="U31" s="72"/>
      <c r="V31" s="73" t="n">
        <f aca="false">A31</f>
        <v>37154</v>
      </c>
      <c r="W31" s="74"/>
      <c r="X31" s="293"/>
      <c r="Y31" s="77"/>
      <c r="Z31" s="78"/>
      <c r="AA31" s="77"/>
      <c r="AB31" s="78"/>
      <c r="AC31" s="77"/>
      <c r="AD31" s="78"/>
      <c r="AE31" s="77"/>
      <c r="AF31" s="78"/>
      <c r="AG31" s="77"/>
      <c r="AH31" s="76"/>
      <c r="AI31" s="77"/>
      <c r="AJ31" s="78"/>
      <c r="AK31" s="77"/>
      <c r="AL31" s="78"/>
      <c r="AM31" s="77"/>
      <c r="AN31" s="78"/>
      <c r="AO31" s="77"/>
      <c r="AP31" s="78"/>
      <c r="AQ31" s="77"/>
      <c r="AR31" s="78"/>
      <c r="AS31" s="77"/>
      <c r="AT31" s="160"/>
      <c r="AU31" s="94"/>
      <c r="AV31" s="95"/>
      <c r="AW31" s="96"/>
      <c r="AX31" s="75"/>
      <c r="AY31" s="81"/>
      <c r="AZ31" s="75"/>
      <c r="BA31" s="81"/>
      <c r="BB31" s="75"/>
      <c r="BC31" s="81"/>
      <c r="BD31" s="75"/>
      <c r="BE31" s="81"/>
      <c r="BF31" s="75"/>
      <c r="BG31" s="81"/>
      <c r="BH31" s="75"/>
      <c r="BI31" s="81"/>
      <c r="BJ31" s="75"/>
      <c r="BK31" s="81"/>
      <c r="BL31" s="75"/>
      <c r="BM31" s="81"/>
      <c r="BN31" s="75"/>
      <c r="BO31" s="81"/>
      <c r="BP31" s="75"/>
      <c r="BQ31" s="81"/>
      <c r="BR31" s="75"/>
      <c r="BS31" s="81"/>
      <c r="BT31" s="75"/>
      <c r="BU31" s="81"/>
      <c r="BV31" s="75"/>
      <c r="BW31" s="81"/>
      <c r="BX31" s="75"/>
      <c r="BY31" s="81"/>
      <c r="BZ31" s="75"/>
      <c r="CA31" s="81"/>
      <c r="CB31" s="75"/>
      <c r="CC31" s="81"/>
      <c r="CD31" s="75"/>
      <c r="CE31" s="81"/>
      <c r="CF31" s="75"/>
      <c r="CG31" s="81"/>
      <c r="CH31" s="75"/>
      <c r="CI31" s="81"/>
      <c r="CJ31" s="75"/>
      <c r="CK31" s="81"/>
      <c r="CL31" s="75"/>
      <c r="CM31" s="81"/>
      <c r="CN31" s="75"/>
      <c r="CO31" s="81"/>
      <c r="CP31" s="75"/>
      <c r="CQ31" s="81"/>
      <c r="CR31" s="75"/>
      <c r="CS31" s="81"/>
      <c r="CT31" s="75"/>
      <c r="CU31" s="81"/>
      <c r="CV31" s="75"/>
      <c r="CW31" s="81"/>
      <c r="CX31" s="75"/>
      <c r="CY31" s="82" t="n">
        <f aca="false">W31+Y31+AA31+AC31+AE31+AG31+AI31+AK31+AM31+AO31+AQ31+AS31+AU31+AW31+AY31+BA31+BC31+BE31+BG31+BI31+BK31+BM31+BO31+BQ31+BS31+BU31+BW31+BY31+CA31+CC31+CE31+CG31+CI31+CK31+CM31+CO31+CQ31+CS31+CU31+CW31</f>
        <v>0</v>
      </c>
      <c r="CZ31" s="83" t="n">
        <f aca="false">IF(AND(CY31=0,DC31=0),0,(DF31+DG31)/DC31)</f>
        <v>0</v>
      </c>
      <c r="DA31" s="84" t="n">
        <f aca="false">DC31*DD31</f>
        <v>0</v>
      </c>
      <c r="DB31" s="85" t="n">
        <f aca="false">V31</f>
        <v>37154</v>
      </c>
      <c r="DC31" s="84" t="n">
        <f aca="false">ABS(W31)+ABS(Y31)+ABS(AA31)+ABS(AC31)+ABS(AE31)+ABS(AG31)+ABS(AI31)+ABS(AK31)+ABS(AM31)+ABS(AO31)+ABS(AQ31)+ABS(AS31)+ABS(AU31)+ABS(AW31)+ABS(AY31)+ABS(BA31)+ABS(BC31)+ABS(BE31)+ABS(BG31)+ABS(BI31)+ABS(BK31)+ABS(BM31)+ABS(BO31)+ABS(BQ31)+ABS(BS31)+ABS(BU31)+ABS(BW31)+ABS(BY31)+ABS(CA31)+ABS(CC31)+ABS(CE31)+ABS(CG31)+ABS(CI31)+ABS(CK31)+ABS(CM31)+ABS(CO31)+ABS(CQ31)+ABS(CS31)+ABS(CU31)+ABS(CW31)</f>
        <v>0</v>
      </c>
      <c r="DD31" s="86" t="n">
        <v>16</v>
      </c>
      <c r="DE31" s="84" t="n">
        <v>1</v>
      </c>
      <c r="DF31" s="43" t="n">
        <f aca="false">(ABS(W31)*X31+ABS(Y31)*Z31+ABS(AA31)*AB31+ABS(AC31)*AD31+ABS(AE31)*AF31+ABS(AG31)*AH31+ABS(AI31)*AJ31+ABS(AK31)*AL31+ABS(AM31)*AN31+ABS(AO31)*AP31+ABS(AQ31)*AR31+ABS(AS31)*AT31+ABS(AU31)*AV31+ABS(AW31)*AX31+ABS(AY31)*AZ31+ABS(BA31)*BB31+ABS(BC31)*BD31+ABS(BE31)*BF31+ABS(BG31)*BH31+ABS(BI31)*BJ31)</f>
        <v>0</v>
      </c>
      <c r="DG31" s="43" t="n">
        <f aca="false">ABS(BK31)*BL31+ABS(BM31)*BN31+ABS(BO31)*BP31+ABS(BQ31)*BR31+ABS(BS31)*BT31+ABS(BU31)*BV31+ABS(BW31)*BX31+ABS(BY31)*BZ31+ABS(CA31)*CB31+ABS(CC31)*CD31+ABS(CE31)*CF31+ABS(CG31)*CH31+ABS(CI31)*CJ31+ABS(CK31)*CL31+ABS(CM31)*CN31+ABS(CO31)*CP31+ABS(CQ31)*CR31+ABS(CS31)*CT31+ABS(CU31)*CV31+ABS(CW31)*CX31</f>
        <v>0</v>
      </c>
      <c r="DH31" s="43" t="n">
        <f aca="false">((H31-X31)*W31+(H31-Z31)*Y31+(H31-AB31)*AA31+(H31-AD31)*AC31+(H31-AF31)*AE31+(H31-AH31)*AG31+(H31-AJ31)*AI31+(H31-AL31)*AK31+(H31-AN31)*AM31+(H31-AP31)*AO31+(H31-AR31)*AQ31+(H31-AT31)*AS31+(H31-AV31)*AU31+(H31-AX31)*AW31+(H31-AZ31)*AY31+(H31-BB31)*BA31+(H31-BD31)*BC31+(H31-BF31)*BE31+(H31-BH31)*BG31+(H31-BJ31)*BI31)*DD31*DE31</f>
        <v>0</v>
      </c>
      <c r="DI31" s="43" t="n">
        <f aca="false">(((H31-BL31)*BK31+(H31-BN31)*BM31+(H31-BP31)*BO31+(H31-BR31)*BQ31+(H31-BT31)*BS31+(H31-BV31)*BU31+(H31-BX31)*BW31+(H31-BZ31)*BY31+(H31-CB31)*CA31+(H31-CD31)*CC31+(H31-CF31)*CE31+(H31-CH31)*CG31+(H31-CJ31)*CH31+(H31-CL31)*CK31+(H31-CN31)*CM31+(H31-CP31)*CO31+(H31-CR31)*CQ31+(H31-CT31)*CS31+(H31-CV31)*CU31+(H31-CX31)*CW31)*DD31*DE31)</f>
        <v>0</v>
      </c>
      <c r="DK31" s="85" t="n">
        <v>37154</v>
      </c>
      <c r="DL31" s="21" t="n">
        <v>74.7329559326172</v>
      </c>
      <c r="DM31" s="21" t="n">
        <f aca="false">[5]NEPOOL!$L18</f>
        <v>-1189.7</v>
      </c>
      <c r="DN31" s="21" t="n">
        <f aca="false">IF(AND(WEEKDAY(DK31)&gt;1,WEEKDAY(DK31)&lt;7),1,0)</f>
        <v>1</v>
      </c>
    </row>
    <row r="32" customFormat="false" ht="18.75" hidden="false" customHeight="false" outlineLevel="0" collapsed="false">
      <c r="A32" s="58" t="n">
        <f aca="false">'NYISO A'!A32</f>
        <v>37155</v>
      </c>
      <c r="B32" s="59" t="n">
        <f aca="false">+[3]NYZoneJ!$L23/16</f>
        <v>74.7329559326172</v>
      </c>
      <c r="C32" s="60" t="n">
        <f aca="false">CY32</f>
        <v>0</v>
      </c>
      <c r="D32" s="61" t="n">
        <f aca="false">(IF(MONTH(A32)=MONTH(EOMONTH(TradeDate,1)),$AP$70,0)*VLOOKUP(A32,$DK$12:$DN$43,4))</f>
        <v>0</v>
      </c>
      <c r="E32" s="62" t="n">
        <f aca="false">B32+C32+D32</f>
        <v>74.7329559326172</v>
      </c>
      <c r="F32" s="63" t="n">
        <f aca="false">[3]NYZoneJ!$C23</f>
        <v>45.75</v>
      </c>
      <c r="G32" s="63" t="n">
        <f aca="false">IF($Q$9,Q32,P32)</f>
        <v>0</v>
      </c>
      <c r="H32" s="64" t="n">
        <f aca="false">F32+G32</f>
        <v>45.75</v>
      </c>
      <c r="I32" s="65" t="n">
        <f aca="false">B32*G32*DD32</f>
        <v>0</v>
      </c>
      <c r="J32" s="66" t="n">
        <f aca="false">DH32+DI32</f>
        <v>0</v>
      </c>
      <c r="K32" s="66" t="n">
        <f aca="false">I32+J32</f>
        <v>0</v>
      </c>
      <c r="L32" s="100"/>
      <c r="M32" s="67" t="n">
        <f aca="false">A32</f>
        <v>37155</v>
      </c>
      <c r="N32" s="92" t="n">
        <v>45.75</v>
      </c>
      <c r="O32" s="92" t="n">
        <v>45.75</v>
      </c>
      <c r="P32" s="69" t="n">
        <f aca="false">AVERAGE(N32:O32)-F32</f>
        <v>0</v>
      </c>
      <c r="Q32" s="70"/>
      <c r="R32" s="91" t="n">
        <f aca="false">H32</f>
        <v>45.75</v>
      </c>
      <c r="S32" s="24"/>
      <c r="T32" s="24"/>
      <c r="U32" s="72"/>
      <c r="V32" s="73" t="n">
        <f aca="false">A32</f>
        <v>37155</v>
      </c>
      <c r="W32" s="74"/>
      <c r="X32" s="293"/>
      <c r="Y32" s="77"/>
      <c r="Z32" s="78"/>
      <c r="AA32" s="77"/>
      <c r="AB32" s="78"/>
      <c r="AC32" s="77"/>
      <c r="AD32" s="78"/>
      <c r="AE32" s="77"/>
      <c r="AF32" s="78"/>
      <c r="AG32" s="77"/>
      <c r="AH32" s="76"/>
      <c r="AI32" s="77"/>
      <c r="AJ32" s="78"/>
      <c r="AK32" s="77"/>
      <c r="AL32" s="78"/>
      <c r="AM32" s="77"/>
      <c r="AN32" s="78"/>
      <c r="AO32" s="77"/>
      <c r="AP32" s="78"/>
      <c r="AQ32" s="77"/>
      <c r="AR32" s="78"/>
      <c r="AS32" s="77"/>
      <c r="AT32" s="160"/>
      <c r="AU32" s="94"/>
      <c r="AV32" s="95"/>
      <c r="AW32" s="96"/>
      <c r="AX32" s="75"/>
      <c r="AY32" s="81"/>
      <c r="AZ32" s="75"/>
      <c r="BA32" s="81"/>
      <c r="BB32" s="75"/>
      <c r="BC32" s="81"/>
      <c r="BD32" s="75"/>
      <c r="BE32" s="81"/>
      <c r="BF32" s="75"/>
      <c r="BG32" s="81"/>
      <c r="BH32" s="75"/>
      <c r="BI32" s="81"/>
      <c r="BJ32" s="75"/>
      <c r="BK32" s="81"/>
      <c r="BL32" s="75"/>
      <c r="BM32" s="81"/>
      <c r="BN32" s="75"/>
      <c r="BO32" s="81"/>
      <c r="BP32" s="75"/>
      <c r="BQ32" s="81"/>
      <c r="BR32" s="75"/>
      <c r="BS32" s="81"/>
      <c r="BT32" s="75"/>
      <c r="BU32" s="81"/>
      <c r="BV32" s="75"/>
      <c r="BW32" s="81"/>
      <c r="BX32" s="75"/>
      <c r="BY32" s="81"/>
      <c r="BZ32" s="75"/>
      <c r="CA32" s="81"/>
      <c r="CB32" s="75"/>
      <c r="CC32" s="81"/>
      <c r="CD32" s="75"/>
      <c r="CE32" s="81"/>
      <c r="CF32" s="75"/>
      <c r="CG32" s="81"/>
      <c r="CH32" s="75"/>
      <c r="CI32" s="81"/>
      <c r="CJ32" s="75"/>
      <c r="CK32" s="81"/>
      <c r="CL32" s="75"/>
      <c r="CM32" s="81"/>
      <c r="CN32" s="75"/>
      <c r="CO32" s="81"/>
      <c r="CP32" s="75"/>
      <c r="CQ32" s="81"/>
      <c r="CR32" s="75"/>
      <c r="CS32" s="81"/>
      <c r="CT32" s="75"/>
      <c r="CU32" s="81"/>
      <c r="CV32" s="75"/>
      <c r="CW32" s="81"/>
      <c r="CX32" s="75"/>
      <c r="CY32" s="82" t="n">
        <f aca="false">W32+Y32+AA32+AC32+AE32+AG32+AI32+AK32+AM32+AO32+AQ32+AS32+AU32+AW32+AY32+BA32+BC32+BE32+BG32+BI32+BK32+BM32+BO32+BQ32+BS32+BU32+BW32+BY32+CA32+CC32+CE32+CG32+CI32+CK32+CM32+CO32+CQ32+CS32+CU32+CW32</f>
        <v>0</v>
      </c>
      <c r="CZ32" s="83" t="n">
        <f aca="false">IF(AND(CY32=0,DC32=0),0,(DF32+DG32)/DC32)</f>
        <v>0</v>
      </c>
      <c r="DA32" s="84" t="n">
        <f aca="false">DC32*DD32</f>
        <v>0</v>
      </c>
      <c r="DB32" s="85" t="n">
        <f aca="false">V32</f>
        <v>37155</v>
      </c>
      <c r="DC32" s="84" t="n">
        <f aca="false">ABS(W32)+ABS(Y32)+ABS(AA32)+ABS(AC32)+ABS(AE32)+ABS(AG32)+ABS(AI32)+ABS(AK32)+ABS(AM32)+ABS(AO32)+ABS(AQ32)+ABS(AS32)+ABS(AU32)+ABS(AW32)+ABS(AY32)+ABS(BA32)+ABS(BC32)+ABS(BE32)+ABS(BG32)+ABS(BI32)+ABS(BK32)+ABS(BM32)+ABS(BO32)+ABS(BQ32)+ABS(BS32)+ABS(BU32)+ABS(BW32)+ABS(BY32)+ABS(CA32)+ABS(CC32)+ABS(CE32)+ABS(CG32)+ABS(CI32)+ABS(CK32)+ABS(CM32)+ABS(CO32)+ABS(CQ32)+ABS(CS32)+ABS(CU32)+ABS(CW32)</f>
        <v>0</v>
      </c>
      <c r="DD32" s="86" t="n">
        <v>16</v>
      </c>
      <c r="DE32" s="84" t="n">
        <v>1</v>
      </c>
      <c r="DF32" s="43" t="n">
        <f aca="false">(ABS(W32)*X32+ABS(Y32)*Z32+ABS(AA32)*AB32+ABS(AC32)*AD32+ABS(AE32)*AF32+ABS(AG32)*AH32+ABS(AI32)*AJ32+ABS(AK32)*AL32+ABS(AM32)*AN32+ABS(AO32)*AP32+ABS(AQ32)*AR32+ABS(AS32)*AT32+ABS(AU32)*AV32+ABS(AW32)*AX32+ABS(AY32)*AZ32+ABS(BA32)*BB32+ABS(BC32)*BD32+ABS(BE32)*BF32+ABS(BG32)*BH32+ABS(BI32)*BJ32)</f>
        <v>0</v>
      </c>
      <c r="DG32" s="43" t="n">
        <f aca="false">ABS(BK32)*BL32+ABS(BM32)*BN32+ABS(BO32)*BP32+ABS(BQ32)*BR32+ABS(BS32)*BT32+ABS(BU32)*BV32+ABS(BW32)*BX32+ABS(BY32)*BZ32+ABS(CA32)*CB32+ABS(CC32)*CD32+ABS(CE32)*CF32+ABS(CG32)*CH32+ABS(CI32)*CJ32+ABS(CK32)*CL32+ABS(CM32)*CN32+ABS(CO32)*CP32+ABS(CQ32)*CR32+ABS(CS32)*CT32+ABS(CU32)*CV32+ABS(CW32)*CX32</f>
        <v>0</v>
      </c>
      <c r="DH32" s="43" t="n">
        <f aca="false">((H32-X32)*W32+(H32-Z32)*Y32+(H32-AB32)*AA32+(H32-AD32)*AC32+(H32-AF32)*AE32+(H32-AH32)*AG32+(H32-AJ32)*AI32+(H32-AL32)*AK32+(H32-AN32)*AM32+(H32-AP32)*AO32+(H32-AR32)*AQ32+(H32-AT32)*AS32+(H32-AV32)*AU32+(H32-AX32)*AW32+(H32-AZ32)*AY32+(H32-BB32)*BA32+(H32-BD32)*BC32+(H32-BF32)*BE32+(H32-BH32)*BG32+(H32-BJ32)*BI32)*DD32*DE32</f>
        <v>0</v>
      </c>
      <c r="DI32" s="43" t="n">
        <f aca="false">(((H32-BL32)*BK32+(H32-BN32)*BM32+(H32-BP32)*BO32+(H32-BR32)*BQ32+(H32-BT32)*BS32+(H32-BV32)*BU32+(H32-BX32)*BW32+(H32-BZ32)*BY32+(H32-CB32)*CA32+(H32-CD32)*CC32+(H32-CF32)*CE32+(H32-CH32)*CG32+(H32-CJ32)*CH32+(H32-CL32)*CK32+(H32-CN32)*CM32+(H32-CP32)*CO32+(H32-CR32)*CQ32+(H32-CT32)*CS32+(H32-CV32)*CU32+(H32-CX32)*CW32)*DD32*DE32)</f>
        <v>0</v>
      </c>
      <c r="DK32" s="85" t="n">
        <v>37155</v>
      </c>
      <c r="DL32" s="21" t="n">
        <v>74.7329559326172</v>
      </c>
      <c r="DM32" s="21" t="n">
        <f aca="false">[5]NEPOOL!$L19</f>
        <v>-1189.7</v>
      </c>
      <c r="DN32" s="21" t="n">
        <f aca="false">IF(AND(WEEKDAY(DK32)&gt;1,WEEKDAY(DK32)&lt;7),1,0)</f>
        <v>1</v>
      </c>
    </row>
    <row r="33" customFormat="false" ht="18.75" hidden="false" customHeight="false" outlineLevel="0" collapsed="false">
      <c r="A33" s="58" t="n">
        <f aca="false">'NYISO A'!A33</f>
        <v>37156</v>
      </c>
      <c r="B33" s="59" t="n">
        <f aca="false">+[3]NYZoneJ!$L24/16</f>
        <v>0</v>
      </c>
      <c r="C33" s="101" t="n">
        <f aca="false">CY33</f>
        <v>0</v>
      </c>
      <c r="D33" s="87" t="n">
        <f aca="false">(IF(MONTH(A33)=MONTH(EOMONTH(TradeDate,1)),$AP$70,0)*VLOOKUP(A33,$DK$12:$DN$43,4))</f>
        <v>0</v>
      </c>
      <c r="E33" s="62" t="n">
        <f aca="false">B33+C33+D33</f>
        <v>0</v>
      </c>
      <c r="F33" s="63" t="n">
        <f aca="false">[3]NYZoneJ!$C24</f>
        <v>42</v>
      </c>
      <c r="G33" s="88" t="n">
        <f aca="false">IF($Q$9,Q33,P33)</f>
        <v>0</v>
      </c>
      <c r="H33" s="89" t="n">
        <f aca="false">F33+G33</f>
        <v>42</v>
      </c>
      <c r="I33" s="87" t="n">
        <f aca="false">B33*G33*DD33</f>
        <v>0</v>
      </c>
      <c r="J33" s="66" t="n">
        <f aca="false">DH33+DI33</f>
        <v>0</v>
      </c>
      <c r="K33" s="90" t="n">
        <f aca="false">I33+J33</f>
        <v>0</v>
      </c>
      <c r="L33" s="100"/>
      <c r="M33" s="67" t="n">
        <f aca="false">A33</f>
        <v>37156</v>
      </c>
      <c r="N33" s="92" t="n">
        <v>42</v>
      </c>
      <c r="O33" s="92" t="n">
        <v>42</v>
      </c>
      <c r="P33" s="69" t="n">
        <f aca="false">AVERAGE(N33:O33)-F33</f>
        <v>0</v>
      </c>
      <c r="Q33" s="70"/>
      <c r="R33" s="91" t="n">
        <f aca="false">H33</f>
        <v>42</v>
      </c>
      <c r="S33" s="24"/>
      <c r="T33" s="24"/>
      <c r="U33" s="72"/>
      <c r="V33" s="73" t="n">
        <f aca="false">A33</f>
        <v>37156</v>
      </c>
      <c r="W33" s="74"/>
      <c r="X33" s="293"/>
      <c r="Y33" s="77"/>
      <c r="Z33" s="78"/>
      <c r="AA33" s="77"/>
      <c r="AB33" s="78"/>
      <c r="AC33" s="77"/>
      <c r="AD33" s="78"/>
      <c r="AE33" s="77"/>
      <c r="AF33" s="78"/>
      <c r="AG33" s="77"/>
      <c r="AH33" s="76"/>
      <c r="AI33" s="77"/>
      <c r="AJ33" s="78"/>
      <c r="AK33" s="77"/>
      <c r="AL33" s="78"/>
      <c r="AM33" s="77"/>
      <c r="AN33" s="78"/>
      <c r="AO33" s="77"/>
      <c r="AP33" s="78"/>
      <c r="AQ33" s="77"/>
      <c r="AR33" s="78"/>
      <c r="AS33" s="77"/>
      <c r="AT33" s="160"/>
      <c r="AU33" s="94"/>
      <c r="AV33" s="95"/>
      <c r="AW33" s="96"/>
      <c r="AX33" s="75"/>
      <c r="AY33" s="81"/>
      <c r="AZ33" s="75"/>
      <c r="BA33" s="81"/>
      <c r="BB33" s="75"/>
      <c r="BC33" s="81"/>
      <c r="BD33" s="75"/>
      <c r="BE33" s="81"/>
      <c r="BF33" s="75"/>
      <c r="BG33" s="81"/>
      <c r="BH33" s="75"/>
      <c r="BI33" s="81"/>
      <c r="BJ33" s="75"/>
      <c r="BK33" s="81"/>
      <c r="BL33" s="75"/>
      <c r="BM33" s="81"/>
      <c r="BN33" s="75"/>
      <c r="BO33" s="81"/>
      <c r="BP33" s="75"/>
      <c r="BQ33" s="81"/>
      <c r="BR33" s="75"/>
      <c r="BS33" s="81"/>
      <c r="BT33" s="75"/>
      <c r="BU33" s="81"/>
      <c r="BV33" s="75"/>
      <c r="BW33" s="81"/>
      <c r="BX33" s="75"/>
      <c r="BY33" s="81"/>
      <c r="BZ33" s="75"/>
      <c r="CA33" s="81"/>
      <c r="CB33" s="75"/>
      <c r="CC33" s="81"/>
      <c r="CD33" s="75"/>
      <c r="CE33" s="81"/>
      <c r="CF33" s="75"/>
      <c r="CG33" s="81"/>
      <c r="CH33" s="75"/>
      <c r="CI33" s="81"/>
      <c r="CJ33" s="75"/>
      <c r="CK33" s="81"/>
      <c r="CL33" s="75"/>
      <c r="CM33" s="81"/>
      <c r="CN33" s="75"/>
      <c r="CO33" s="81"/>
      <c r="CP33" s="75"/>
      <c r="CQ33" s="81"/>
      <c r="CR33" s="75"/>
      <c r="CS33" s="81"/>
      <c r="CT33" s="75"/>
      <c r="CU33" s="81"/>
      <c r="CV33" s="75"/>
      <c r="CW33" s="81"/>
      <c r="CX33" s="75"/>
      <c r="CY33" s="82" t="n">
        <f aca="false">W33+Y33+AA33+AC33+AE33+AG33+AI33+AK33+AM33+AO33+AQ33+AS33+AU33+AW33+AY33+BA33+BC33+BE33+BG33+BI33+BK33+BM33+BO33+BQ33+BS33+BU33+BW33+BY33+CA33+CC33+CE33+CG33+CI33+CK33+CM33+CO33+CQ33+CS33+CU33+CW33</f>
        <v>0</v>
      </c>
      <c r="CZ33" s="83" t="n">
        <f aca="false">IF(AND(CY33=0,DC33=0),0,(DF33+DG33)/DC33)</f>
        <v>0</v>
      </c>
      <c r="DA33" s="84" t="n">
        <f aca="false">DC33*DD33</f>
        <v>0</v>
      </c>
      <c r="DB33" s="85" t="n">
        <f aca="false">V33</f>
        <v>37156</v>
      </c>
      <c r="DC33" s="84" t="n">
        <f aca="false">ABS(W33)+ABS(Y33)+ABS(AA33)+ABS(AC33)+ABS(AE33)+ABS(AG33)+ABS(AI33)+ABS(AK33)+ABS(AM33)+ABS(AO33)+ABS(AQ33)+ABS(AS33)+ABS(AU33)+ABS(AW33)+ABS(AY33)+ABS(BA33)+ABS(BC33)+ABS(BE33)+ABS(BG33)+ABS(BI33)+ABS(BK33)+ABS(BM33)+ABS(BO33)+ABS(BQ33)+ABS(BS33)+ABS(BU33)+ABS(BW33)+ABS(BY33)+ABS(CA33)+ABS(CC33)+ABS(CE33)+ABS(CG33)+ABS(CI33)+ABS(CK33)+ABS(CM33)+ABS(CO33)+ABS(CQ33)+ABS(CS33)+ABS(CU33)+ABS(CW33)</f>
        <v>0</v>
      </c>
      <c r="DD33" s="86" t="n">
        <v>16</v>
      </c>
      <c r="DE33" s="84" t="n">
        <v>1</v>
      </c>
      <c r="DF33" s="43" t="n">
        <f aca="false">(ABS(W33)*X33+ABS(Y33)*Z33+ABS(AA33)*AB33+ABS(AC33)*AD33+ABS(AE33)*AF33+ABS(AG33)*AH33+ABS(AI33)*AJ33+ABS(AK33)*AL33+ABS(AM33)*AN33+ABS(AO33)*AP33+ABS(AQ33)*AR33+ABS(AS33)*AT33+ABS(AU33)*AV33+ABS(AW33)*AX33+ABS(AY33)*AZ33+ABS(BA33)*BB33+ABS(BC33)*BD33+ABS(BE33)*BF33+ABS(BG33)*BH33+ABS(BI33)*BJ33)</f>
        <v>0</v>
      </c>
      <c r="DG33" s="43" t="n">
        <f aca="false">ABS(BK33)*BL33+ABS(BM33)*BN33+ABS(BO33)*BP33+ABS(BQ33)*BR33+ABS(BS33)*BT33+ABS(BU33)*BV33+ABS(BW33)*BX33+ABS(BY33)*BZ33+ABS(CA33)*CB33+ABS(CC33)*CD33+ABS(CE33)*CF33+ABS(CG33)*CH33+ABS(CI33)*CJ33+ABS(CK33)*CL33+ABS(CM33)*CN33+ABS(CO33)*CP33+ABS(CQ33)*CR33+ABS(CS33)*CT33+ABS(CU33)*CV33+ABS(CW33)*CX33</f>
        <v>0</v>
      </c>
      <c r="DH33" s="43" t="n">
        <f aca="false">((H33-X33)*W33+(H33-Z33)*Y33+(H33-AB33)*AA33+(H33-AD33)*AC33+(H33-AF33)*AE33+(H33-AH33)*AG33+(H33-AJ33)*AI33+(H33-AL33)*AK33+(H33-AN33)*AM33+(H33-AP33)*AO33+(H33-AR33)*AQ33+(H33-AT33)*AS33+(H33-AV33)*AU33+(H33-AX33)*AW33+(H33-AZ33)*AY33+(H33-BB33)*BA33+(H33-BD33)*BC33+(H33-BF33)*BE33+(H33-BH33)*BG33+(H33-BJ33)*BI33)*DD33*DE33</f>
        <v>0</v>
      </c>
      <c r="DI33" s="43" t="n">
        <f aca="false">(((H33-BL33)*BK33+(H33-BN33)*BM33+(H33-BP33)*BO33+(H33-BR33)*BQ33+(H33-BT33)*BS33+(H33-BV33)*BU33+(H33-BX33)*BW33+(H33-BZ33)*BY33+(H33-CB33)*CA33+(H33-CD33)*CC33+(H33-CF33)*CE33+(H33-CH33)*CG33+(H33-CJ33)*CH33+(H33-CL33)*CK33+(H33-CN33)*CM33+(H33-CP33)*CO33+(H33-CR33)*CQ33+(H33-CT33)*CS33+(H33-CV33)*CU33+(H33-CX33)*CW33)*DD33*DE33)</f>
        <v>0</v>
      </c>
      <c r="DK33" s="85" t="n">
        <v>37156</v>
      </c>
      <c r="DL33" s="21" t="n">
        <v>0</v>
      </c>
      <c r="DM33" s="21" t="n">
        <f aca="false">[5]NEPOOL!$L20</f>
        <v>-1189.7</v>
      </c>
      <c r="DN33" s="21" t="n">
        <f aca="false">IF(AND(WEEKDAY(DK33)&gt;1,WEEKDAY(DK33)&lt;7),1,0)</f>
        <v>0</v>
      </c>
    </row>
    <row r="34" customFormat="false" ht="18.75" hidden="false" customHeight="false" outlineLevel="0" collapsed="false">
      <c r="A34" s="58" t="n">
        <f aca="false">'NYISO A'!A34</f>
        <v>37157</v>
      </c>
      <c r="B34" s="59" t="n">
        <f aca="false">+[3]NYZoneJ!$L25/16</f>
        <v>0</v>
      </c>
      <c r="C34" s="60" t="n">
        <f aca="false">CY34</f>
        <v>0</v>
      </c>
      <c r="D34" s="61" t="n">
        <f aca="false">(IF(MONTH(A34)=MONTH(EOMONTH(TradeDate,1)),$AP$70,0)*VLOOKUP(A34,$DK$12:$DN$43,4))</f>
        <v>0</v>
      </c>
      <c r="E34" s="62" t="n">
        <f aca="false">B34+C34+D34</f>
        <v>0</v>
      </c>
      <c r="F34" s="63" t="n">
        <f aca="false">[3]NYZoneJ!$C25</f>
        <v>42</v>
      </c>
      <c r="G34" s="63" t="n">
        <f aca="false">IF($Q$9,Q34,P34)</f>
        <v>0</v>
      </c>
      <c r="H34" s="64" t="n">
        <f aca="false">F34+G34</f>
        <v>42</v>
      </c>
      <c r="I34" s="65" t="n">
        <f aca="false">B34*G34*DD34</f>
        <v>0</v>
      </c>
      <c r="J34" s="66" t="n">
        <f aca="false">DH34+DI34</f>
        <v>0</v>
      </c>
      <c r="K34" s="66" t="n">
        <f aca="false">I34+J34</f>
        <v>0</v>
      </c>
      <c r="L34" s="24"/>
      <c r="M34" s="67" t="n">
        <f aca="false">A34</f>
        <v>37157</v>
      </c>
      <c r="N34" s="92" t="n">
        <v>42</v>
      </c>
      <c r="O34" s="92" t="n">
        <v>42</v>
      </c>
      <c r="P34" s="69" t="n">
        <f aca="false">AVERAGE(N34:O34)-F34</f>
        <v>0</v>
      </c>
      <c r="Q34" s="70"/>
      <c r="R34" s="91" t="n">
        <f aca="false">H34</f>
        <v>42</v>
      </c>
      <c r="S34" s="24"/>
      <c r="T34" s="24"/>
      <c r="U34" s="72"/>
      <c r="V34" s="73" t="n">
        <f aca="false">A34</f>
        <v>37157</v>
      </c>
      <c r="W34" s="74"/>
      <c r="X34" s="293"/>
      <c r="Y34" s="77"/>
      <c r="Z34" s="78"/>
      <c r="AA34" s="77"/>
      <c r="AB34" s="78"/>
      <c r="AC34" s="77"/>
      <c r="AD34" s="78"/>
      <c r="AE34" s="77"/>
      <c r="AF34" s="78"/>
      <c r="AG34" s="77"/>
      <c r="AH34" s="76"/>
      <c r="AI34" s="77"/>
      <c r="AJ34" s="78"/>
      <c r="AK34" s="77"/>
      <c r="AL34" s="78"/>
      <c r="AM34" s="77"/>
      <c r="AN34" s="78"/>
      <c r="AO34" s="77"/>
      <c r="AP34" s="78"/>
      <c r="AQ34" s="77"/>
      <c r="AR34" s="78"/>
      <c r="AS34" s="77"/>
      <c r="AT34" s="160"/>
      <c r="AU34" s="94"/>
      <c r="AV34" s="95"/>
      <c r="AW34" s="96"/>
      <c r="AX34" s="75"/>
      <c r="AY34" s="81"/>
      <c r="AZ34" s="75"/>
      <c r="BA34" s="81"/>
      <c r="BB34" s="75"/>
      <c r="BC34" s="81"/>
      <c r="BD34" s="75"/>
      <c r="BE34" s="81"/>
      <c r="BF34" s="75"/>
      <c r="BG34" s="81"/>
      <c r="BH34" s="75"/>
      <c r="BI34" s="81"/>
      <c r="BJ34" s="75"/>
      <c r="BK34" s="81"/>
      <c r="BL34" s="75"/>
      <c r="BM34" s="81"/>
      <c r="BN34" s="75"/>
      <c r="BO34" s="81"/>
      <c r="BP34" s="75"/>
      <c r="BQ34" s="81"/>
      <c r="BR34" s="75"/>
      <c r="BS34" s="81"/>
      <c r="BT34" s="75"/>
      <c r="BU34" s="81"/>
      <c r="BV34" s="75"/>
      <c r="BW34" s="81"/>
      <c r="BX34" s="75"/>
      <c r="BY34" s="81"/>
      <c r="BZ34" s="75"/>
      <c r="CA34" s="81"/>
      <c r="CB34" s="75"/>
      <c r="CC34" s="81"/>
      <c r="CD34" s="75"/>
      <c r="CE34" s="81"/>
      <c r="CF34" s="75"/>
      <c r="CG34" s="81"/>
      <c r="CH34" s="75"/>
      <c r="CI34" s="81"/>
      <c r="CJ34" s="75"/>
      <c r="CK34" s="81"/>
      <c r="CL34" s="75"/>
      <c r="CM34" s="81"/>
      <c r="CN34" s="75"/>
      <c r="CO34" s="81"/>
      <c r="CP34" s="75"/>
      <c r="CQ34" s="81"/>
      <c r="CR34" s="75"/>
      <c r="CS34" s="81"/>
      <c r="CT34" s="75"/>
      <c r="CU34" s="81"/>
      <c r="CV34" s="75"/>
      <c r="CW34" s="81"/>
      <c r="CX34" s="75"/>
      <c r="CY34" s="82" t="n">
        <f aca="false">W34+Y34+AA34+AC34+AE34+AG34+AI34+AK34+AM34+AO34+AQ34+AS34+AU34+AW34+AY34+BA34+BC34+BE34+BG34+BI34+BK34+BM34+BO34+BQ34+BS34+BU34+BW34+BY34+CA34+CC34+CE34+CG34+CI34+CK34+CM34+CO34+CQ34+CS34+CU34+CW34</f>
        <v>0</v>
      </c>
      <c r="CZ34" s="83" t="n">
        <f aca="false">IF(AND(CY34=0,DC34=0),0,(DF34+DG34)/DC34)</f>
        <v>0</v>
      </c>
      <c r="DA34" s="84" t="n">
        <f aca="false">DC34*DD34</f>
        <v>0</v>
      </c>
      <c r="DB34" s="85" t="n">
        <f aca="false">V34</f>
        <v>37157</v>
      </c>
      <c r="DC34" s="84" t="n">
        <f aca="false">ABS(W34)+ABS(Y34)+ABS(AA34)+ABS(AC34)+ABS(AE34)+ABS(AG34)+ABS(AI34)+ABS(AK34)+ABS(AM34)+ABS(AO34)+ABS(AQ34)+ABS(AS34)+ABS(AU34)+ABS(AW34)+ABS(AY34)+ABS(BA34)+ABS(BC34)+ABS(BE34)+ABS(BG34)+ABS(BI34)+ABS(BK34)+ABS(BM34)+ABS(BO34)+ABS(BQ34)+ABS(BS34)+ABS(BU34)+ABS(BW34)+ABS(BY34)+ABS(CA34)+ABS(CC34)+ABS(CE34)+ABS(CG34)+ABS(CI34)+ABS(CK34)+ABS(CM34)+ABS(CO34)+ABS(CQ34)+ABS(CS34)+ABS(CU34)+ABS(CW34)</f>
        <v>0</v>
      </c>
      <c r="DD34" s="86" t="n">
        <v>16</v>
      </c>
      <c r="DE34" s="84" t="n">
        <v>1</v>
      </c>
      <c r="DF34" s="43" t="n">
        <f aca="false">(ABS(W34)*X34+ABS(Y34)*Z34+ABS(AA34)*AB34+ABS(AC34)*AD34+ABS(AE34)*AF34+ABS(AG34)*AH34+ABS(AI34)*AJ34+ABS(AK34)*AL34+ABS(AM34)*AN34+ABS(AO34)*AP34+ABS(AQ34)*AR34+ABS(AS34)*AT34+ABS(AU34)*AV34+ABS(AW34)*AX34+ABS(AY34)*AZ34+ABS(BA34)*BB34+ABS(BC34)*BD34+ABS(BE34)*BF34+ABS(BG34)*BH34+ABS(BI34)*BJ34)</f>
        <v>0</v>
      </c>
      <c r="DG34" s="43" t="n">
        <f aca="false">ABS(BK34)*BL34+ABS(BM34)*BN34+ABS(BO34)*BP34+ABS(BQ34)*BR34+ABS(BS34)*BT34+ABS(BU34)*BV34+ABS(BW34)*BX34+ABS(BY34)*BZ34+ABS(CA34)*CB34+ABS(CC34)*CD34+ABS(CE34)*CF34+ABS(CG34)*CH34+ABS(CI34)*CJ34+ABS(CK34)*CL34+ABS(CM34)*CN34+ABS(CO34)*CP34+ABS(CQ34)*CR34+ABS(CS34)*CT34+ABS(CU34)*CV34+ABS(CW34)*CX34</f>
        <v>0</v>
      </c>
      <c r="DH34" s="43" t="n">
        <f aca="false">((H34-X34)*W34+(H34-Z34)*Y34+(H34-AB34)*AA34+(H34-AD34)*AC34+(H34-AF34)*AE34+(H34-AH34)*AG34+(H34-AJ34)*AI34+(H34-AL34)*AK34+(H34-AN34)*AM34+(H34-AP34)*AO34+(H34-AR34)*AQ34+(H34-AT34)*AS34+(H34-AV34)*AU34+(H34-AX34)*AW34+(H34-AZ34)*AY34+(H34-BB34)*BA34+(H34-BD34)*BC34+(H34-BF34)*BE34+(H34-BH34)*BG34+(H34-BJ34)*BI34)*DD34*DE34</f>
        <v>0</v>
      </c>
      <c r="DI34" s="43" t="n">
        <f aca="false">(((H34-BL34)*BK34+(H34-BN34)*BM34+(H34-BP34)*BO34+(H34-BR34)*BQ34+(H34-BT34)*BS34+(H34-BV34)*BU34+(H34-BX34)*BW34+(H34-BZ34)*BY34+(H34-CB34)*CA34+(H34-CD34)*CC34+(H34-CF34)*CE34+(H34-CH34)*CG34+(H34-CJ34)*CH34+(H34-CL34)*CK34+(H34-CN34)*CM34+(H34-CP34)*CO34+(H34-CR34)*CQ34+(H34-CT34)*CS34+(H34-CV34)*CU34+(H34-CX34)*CW34)*DD34*DE34)</f>
        <v>0</v>
      </c>
      <c r="DK34" s="85" t="n">
        <v>37157</v>
      </c>
      <c r="DL34" s="21" t="n">
        <v>0</v>
      </c>
      <c r="DM34" s="21" t="n">
        <f aca="false">[5]NEPOOL!$L21</f>
        <v>0</v>
      </c>
      <c r="DN34" s="21" t="n">
        <f aca="false">IF(AND(WEEKDAY(DK34)&gt;1,WEEKDAY(DK34)&lt;7),1,0)</f>
        <v>0</v>
      </c>
    </row>
    <row r="35" customFormat="false" ht="18.75" hidden="false" customHeight="false" outlineLevel="0" collapsed="false">
      <c r="A35" s="58" t="n">
        <f aca="false">'NYISO A'!A35</f>
        <v>37158</v>
      </c>
      <c r="B35" s="59" t="n">
        <f aca="false">+[3]NYZoneJ!$L26/16</f>
        <v>74.7329559326172</v>
      </c>
      <c r="C35" s="101" t="n">
        <f aca="false">CY35</f>
        <v>0</v>
      </c>
      <c r="D35" s="87" t="n">
        <f aca="false">(IF(MONTH(A35)=MONTH(EOMONTH(TradeDate,1)),$AP$70,0)*VLOOKUP(A35,$DK$12:$DN$43,4))</f>
        <v>0</v>
      </c>
      <c r="E35" s="62" t="n">
        <f aca="false">B35+C35+D35</f>
        <v>74.7329559326172</v>
      </c>
      <c r="F35" s="63" t="n">
        <f aca="false">[3]NYZoneJ!$C26</f>
        <v>45.75</v>
      </c>
      <c r="G35" s="88" t="n">
        <f aca="false">IF($Q$9,Q35,P35)</f>
        <v>0</v>
      </c>
      <c r="H35" s="89" t="n">
        <f aca="false">F35+G35</f>
        <v>45.75</v>
      </c>
      <c r="I35" s="87" t="n">
        <f aca="false">B35*G35*DD35</f>
        <v>0</v>
      </c>
      <c r="J35" s="66" t="n">
        <f aca="false">DH35+DI35</f>
        <v>0</v>
      </c>
      <c r="K35" s="90" t="n">
        <f aca="false">I35+J35</f>
        <v>0</v>
      </c>
      <c r="L35" s="24"/>
      <c r="M35" s="67" t="n">
        <f aca="false">A35</f>
        <v>37158</v>
      </c>
      <c r="N35" s="92" t="n">
        <v>45.75</v>
      </c>
      <c r="O35" s="92" t="n">
        <v>45.75</v>
      </c>
      <c r="P35" s="69" t="n">
        <f aca="false">AVERAGE(N35:O35)-F35</f>
        <v>0</v>
      </c>
      <c r="Q35" s="70"/>
      <c r="R35" s="91" t="n">
        <f aca="false">H35</f>
        <v>45.75</v>
      </c>
      <c r="S35" s="24"/>
      <c r="T35" s="24"/>
      <c r="U35" s="72"/>
      <c r="V35" s="73" t="n">
        <f aca="false">A35</f>
        <v>37158</v>
      </c>
      <c r="W35" s="74"/>
      <c r="X35" s="293"/>
      <c r="Y35" s="77"/>
      <c r="Z35" s="78"/>
      <c r="AA35" s="77"/>
      <c r="AB35" s="99"/>
      <c r="AC35" s="77"/>
      <c r="AD35" s="99"/>
      <c r="AE35" s="77"/>
      <c r="AF35" s="78"/>
      <c r="AG35" s="77"/>
      <c r="AH35" s="78"/>
      <c r="AI35" s="77"/>
      <c r="AJ35" s="78"/>
      <c r="AK35" s="77"/>
      <c r="AL35" s="78"/>
      <c r="AM35" s="77"/>
      <c r="AN35" s="78"/>
      <c r="AO35" s="77"/>
      <c r="AP35" s="78"/>
      <c r="AQ35" s="77"/>
      <c r="AR35" s="78"/>
      <c r="AS35" s="77"/>
      <c r="AT35" s="160"/>
      <c r="AU35" s="94"/>
      <c r="AV35" s="95"/>
      <c r="AW35" s="96"/>
      <c r="AX35" s="75"/>
      <c r="AY35" s="81"/>
      <c r="AZ35" s="75"/>
      <c r="BA35" s="81"/>
      <c r="BB35" s="75"/>
      <c r="BC35" s="81"/>
      <c r="BD35" s="75"/>
      <c r="BE35" s="81"/>
      <c r="BF35" s="75"/>
      <c r="BG35" s="81"/>
      <c r="BH35" s="75"/>
      <c r="BI35" s="81"/>
      <c r="BJ35" s="75"/>
      <c r="BK35" s="81"/>
      <c r="BL35" s="75"/>
      <c r="BM35" s="81"/>
      <c r="BN35" s="75"/>
      <c r="BO35" s="81"/>
      <c r="BP35" s="75"/>
      <c r="BQ35" s="81"/>
      <c r="BR35" s="75"/>
      <c r="BS35" s="81"/>
      <c r="BT35" s="75"/>
      <c r="BU35" s="81"/>
      <c r="BV35" s="75"/>
      <c r="BW35" s="81"/>
      <c r="BX35" s="75"/>
      <c r="BY35" s="81"/>
      <c r="BZ35" s="75"/>
      <c r="CA35" s="81"/>
      <c r="CB35" s="75"/>
      <c r="CC35" s="81"/>
      <c r="CD35" s="75"/>
      <c r="CE35" s="81"/>
      <c r="CF35" s="75"/>
      <c r="CG35" s="81"/>
      <c r="CH35" s="75"/>
      <c r="CI35" s="81"/>
      <c r="CJ35" s="75"/>
      <c r="CK35" s="81"/>
      <c r="CL35" s="75"/>
      <c r="CM35" s="81"/>
      <c r="CN35" s="75"/>
      <c r="CO35" s="81"/>
      <c r="CP35" s="75"/>
      <c r="CQ35" s="81"/>
      <c r="CR35" s="75"/>
      <c r="CS35" s="81"/>
      <c r="CT35" s="75"/>
      <c r="CU35" s="81"/>
      <c r="CV35" s="75"/>
      <c r="CW35" s="81"/>
      <c r="CX35" s="75"/>
      <c r="CY35" s="82" t="n">
        <f aca="false">W35+Y35+AA35+AC35+AE35+AG35+AI35+AK35+AM35+AO35+AQ35+AS35+AU35+AW35+AY35+BA35+BC35+BE35+BG35+BI35+BK35+BM35+BO35+BQ35+BS35+BU35+BW35+BY35+CA35+CC35+CE35+CG35+CI35+CK35+CM35+CO35+CQ35+CS35+CU35+CW35</f>
        <v>0</v>
      </c>
      <c r="CZ35" s="83" t="n">
        <f aca="false">IF(AND(CY35=0,DC35=0),0,(DF35+DG35)/DC35)</f>
        <v>0</v>
      </c>
      <c r="DA35" s="84" t="n">
        <f aca="false">DC35*DD35</f>
        <v>0</v>
      </c>
      <c r="DB35" s="85" t="n">
        <f aca="false">V35</f>
        <v>37158</v>
      </c>
      <c r="DC35" s="84" t="n">
        <f aca="false">ABS(W35)+ABS(Y35)+ABS(AA35)+ABS(AC35)+ABS(AE35)+ABS(AG35)+ABS(AI35)+ABS(AK35)+ABS(AM35)+ABS(AO35)+ABS(AQ35)+ABS(AS35)+ABS(AU35)+ABS(AW35)+ABS(AY35)+ABS(BA35)+ABS(BC35)+ABS(BE35)+ABS(BG35)+ABS(BI35)+ABS(BK35)+ABS(BM35)+ABS(BO35)+ABS(BQ35)+ABS(BS35)+ABS(BU35)+ABS(BW35)+ABS(BY35)+ABS(CA35)+ABS(CC35)+ABS(CE35)+ABS(CG35)+ABS(CI35)+ABS(CK35)+ABS(CM35)+ABS(CO35)+ABS(CQ35)+ABS(CS35)+ABS(CU35)+ABS(CW35)</f>
        <v>0</v>
      </c>
      <c r="DD35" s="86" t="n">
        <v>16</v>
      </c>
      <c r="DE35" s="84" t="n">
        <v>1</v>
      </c>
      <c r="DF35" s="43" t="n">
        <f aca="false">(ABS(W35)*X35+ABS(Y35)*Z35+ABS(AA35)*AB35+ABS(AC35)*AD35+ABS(AE35)*AF35+ABS(AG35)*AH35+ABS(AI35)*AJ35+ABS(AK35)*AL35+ABS(AM35)*AN35+ABS(AO35)*AP35+ABS(AQ35)*AR35+ABS(AS35)*AT35+ABS(AU35)*AV35+ABS(AW35)*AX35+ABS(AY35)*AZ35+ABS(BA35)*BB35+ABS(BC35)*BD35+ABS(BE35)*BF35+ABS(BG35)*BH35+ABS(BI35)*BJ35)</f>
        <v>0</v>
      </c>
      <c r="DG35" s="43" t="n">
        <f aca="false">ABS(BK35)*BL35+ABS(BM35)*BN35+ABS(BO35)*BP35+ABS(BQ35)*BR35+ABS(BS35)*BT35+ABS(BU35)*BV35+ABS(BW35)*BX35+ABS(BY35)*BZ35+ABS(CA35)*CB35+ABS(CC35)*CD35+ABS(CE35)*CF35+ABS(CG35)*CH35+ABS(CI35)*CJ35+ABS(CK35)*CL35+ABS(CM35)*CN35+ABS(CO35)*CP35+ABS(CQ35)*CR35+ABS(CS35)*CT35+ABS(CU35)*CV35+ABS(CW35)*CX35</f>
        <v>0</v>
      </c>
      <c r="DH35" s="43" t="n">
        <f aca="false">((H35-X35)*W35+(H35-Z35)*Y35+(H35-AB35)*AA35+(H35-AD35)*AC35+(H35-AF35)*AE35+(H35-AH35)*AG35+(H35-AJ35)*AI35+(H35-AL35)*AK35+(H35-AN35)*AM35+(H35-AP35)*AO35+(H35-AR35)*AQ35+(H35-AT35)*AS35+(H35-AV35)*AU35+(H35-AX35)*AW35+(H35-AZ35)*AY35+(H35-BB35)*BA35+(H35-BD35)*BC35+(H35-BF35)*BE35+(H35-BH35)*BG35+(H35-BJ35)*BI35)*DD35*DE35</f>
        <v>0</v>
      </c>
      <c r="DI35" s="43" t="n">
        <f aca="false">(((H35-BL35)*BK35+(H35-BN35)*BM35+(H35-BP35)*BO35+(H35-BR35)*BQ35+(H35-BT35)*BS35+(H35-BV35)*BU35+(H35-BX35)*BW35+(H35-BZ35)*BY35+(H35-CB35)*CA35+(H35-CD35)*CC35+(H35-CF35)*CE35+(H35-CH35)*CG35+(H35-CJ35)*CH35+(H35-CL35)*CK35+(H35-CN35)*CM35+(H35-CP35)*CO35+(H35-CR35)*CQ35+(H35-CT35)*CS35+(H35-CV35)*CU35+(H35-CX35)*CW35)*DD35*DE35)</f>
        <v>0</v>
      </c>
      <c r="DK35" s="85" t="n">
        <v>37158</v>
      </c>
      <c r="DL35" s="21" t="n">
        <v>74.7329559326172</v>
      </c>
      <c r="DM35" s="21" t="n">
        <f aca="false">[5]NEPOOL!$L22</f>
        <v>0</v>
      </c>
      <c r="DN35" s="21" t="n">
        <f aca="false">IF(AND(WEEKDAY(DK35)&gt;1,WEEKDAY(DK35)&lt;7),1,0)</f>
        <v>1</v>
      </c>
    </row>
    <row r="36" customFormat="false" ht="18.75" hidden="false" customHeight="false" outlineLevel="0" collapsed="false">
      <c r="A36" s="58" t="n">
        <f aca="false">'NYISO A'!A36</f>
        <v>37159</v>
      </c>
      <c r="B36" s="59" t="n">
        <f aca="false">+[3]NYZoneJ!$L27/16</f>
        <v>74.7329559326172</v>
      </c>
      <c r="C36" s="60" t="n">
        <f aca="false">CY36</f>
        <v>0</v>
      </c>
      <c r="D36" s="61" t="n">
        <f aca="false">(IF(MONTH(A36)=MONTH(EOMONTH(TradeDate,1)),$AP$70,0)*VLOOKUP(A36,$DK$12:$DN$43,4))</f>
        <v>0</v>
      </c>
      <c r="E36" s="62" t="n">
        <f aca="false">B36+C36+D36</f>
        <v>74.7329559326172</v>
      </c>
      <c r="F36" s="63" t="n">
        <f aca="false">[3]NYZoneJ!$C27</f>
        <v>45.75</v>
      </c>
      <c r="G36" s="63" t="n">
        <f aca="false">IF($Q$9,Q36,P36)</f>
        <v>0</v>
      </c>
      <c r="H36" s="64" t="n">
        <f aca="false">F36+G36</f>
        <v>45.75</v>
      </c>
      <c r="I36" s="65" t="n">
        <f aca="false">B36*G36*DD36</f>
        <v>0</v>
      </c>
      <c r="J36" s="66" t="n">
        <f aca="false">DH36+DI36</f>
        <v>0</v>
      </c>
      <c r="K36" s="66" t="n">
        <f aca="false">I36+J36</f>
        <v>0</v>
      </c>
      <c r="L36" s="24"/>
      <c r="M36" s="67" t="n">
        <f aca="false">A36</f>
        <v>37159</v>
      </c>
      <c r="N36" s="92" t="n">
        <v>45.75</v>
      </c>
      <c r="O36" s="92" t="n">
        <v>45.75</v>
      </c>
      <c r="P36" s="69" t="n">
        <f aca="false">AVERAGE(N36:O36)-F36</f>
        <v>0</v>
      </c>
      <c r="Q36" s="70"/>
      <c r="R36" s="91" t="n">
        <f aca="false">H36</f>
        <v>45.75</v>
      </c>
      <c r="S36" s="24"/>
      <c r="T36" s="24"/>
      <c r="U36" s="72"/>
      <c r="V36" s="73" t="n">
        <f aca="false">A36</f>
        <v>37159</v>
      </c>
      <c r="W36" s="74"/>
      <c r="X36" s="293"/>
      <c r="Y36" s="77"/>
      <c r="Z36" s="78"/>
      <c r="AA36" s="77"/>
      <c r="AB36" s="78"/>
      <c r="AC36" s="77"/>
      <c r="AD36" s="78"/>
      <c r="AE36" s="77"/>
      <c r="AF36" s="78"/>
      <c r="AG36" s="77"/>
      <c r="AH36" s="78"/>
      <c r="AI36" s="77"/>
      <c r="AJ36" s="78"/>
      <c r="AK36" s="77"/>
      <c r="AL36" s="78"/>
      <c r="AM36" s="77"/>
      <c r="AN36" s="78"/>
      <c r="AO36" s="77"/>
      <c r="AP36" s="78"/>
      <c r="AQ36" s="77"/>
      <c r="AR36" s="78"/>
      <c r="AS36" s="77"/>
      <c r="AT36" s="160"/>
      <c r="AU36" s="94"/>
      <c r="AV36" s="95"/>
      <c r="AW36" s="96"/>
      <c r="AX36" s="75"/>
      <c r="AY36" s="81"/>
      <c r="AZ36" s="75"/>
      <c r="BA36" s="81"/>
      <c r="BB36" s="75"/>
      <c r="BC36" s="81"/>
      <c r="BD36" s="75"/>
      <c r="BE36" s="81"/>
      <c r="BF36" s="75"/>
      <c r="BG36" s="81"/>
      <c r="BH36" s="75"/>
      <c r="BI36" s="81"/>
      <c r="BJ36" s="75"/>
      <c r="BK36" s="81"/>
      <c r="BL36" s="75"/>
      <c r="BM36" s="81"/>
      <c r="BN36" s="75"/>
      <c r="BO36" s="81"/>
      <c r="BP36" s="75"/>
      <c r="BQ36" s="81"/>
      <c r="BR36" s="75"/>
      <c r="BS36" s="81"/>
      <c r="BT36" s="75"/>
      <c r="BU36" s="81"/>
      <c r="BV36" s="75"/>
      <c r="BW36" s="81"/>
      <c r="BX36" s="75"/>
      <c r="BY36" s="81"/>
      <c r="BZ36" s="75"/>
      <c r="CA36" s="81"/>
      <c r="CB36" s="75"/>
      <c r="CC36" s="81"/>
      <c r="CD36" s="75"/>
      <c r="CE36" s="81"/>
      <c r="CF36" s="75"/>
      <c r="CG36" s="81"/>
      <c r="CH36" s="75"/>
      <c r="CI36" s="81"/>
      <c r="CJ36" s="75"/>
      <c r="CK36" s="81"/>
      <c r="CL36" s="75"/>
      <c r="CM36" s="81"/>
      <c r="CN36" s="75"/>
      <c r="CO36" s="81"/>
      <c r="CP36" s="75"/>
      <c r="CQ36" s="81"/>
      <c r="CR36" s="75"/>
      <c r="CS36" s="81"/>
      <c r="CT36" s="75"/>
      <c r="CU36" s="81"/>
      <c r="CV36" s="75"/>
      <c r="CW36" s="81"/>
      <c r="CX36" s="75"/>
      <c r="CY36" s="82" t="n">
        <f aca="false">W36+Y36+AA36+AC36+AE36+AG36+AI36+AK36+AM36+AO36+AQ36+AS36+AU36+AW36+AY36+BA36+BC36+BE36+BG36+BI36+BK36+BM36+BO36+BQ36+BS36+BU36+BW36+BY36+CA36+CC36+CE36+CG36+CI36+CK36+CM36+CO36+CQ36+CS36+CU36+CW36</f>
        <v>0</v>
      </c>
      <c r="CZ36" s="83" t="n">
        <f aca="false">IF(AND(CY36=0,DC36=0),0,(DF36+DG36)/DC36)</f>
        <v>0</v>
      </c>
      <c r="DA36" s="84" t="n">
        <f aca="false">DC36*DD36</f>
        <v>0</v>
      </c>
      <c r="DB36" s="85" t="n">
        <f aca="false">V36</f>
        <v>37159</v>
      </c>
      <c r="DC36" s="84" t="n">
        <f aca="false">ABS(W36)+ABS(Y36)+ABS(AA36)+ABS(AC36)+ABS(AE36)+ABS(AG36)+ABS(AI36)+ABS(AK36)+ABS(AM36)+ABS(AO36)+ABS(AQ36)+ABS(AS36)+ABS(AU36)+ABS(AW36)+ABS(AY36)+ABS(BA36)+ABS(BC36)+ABS(BE36)+ABS(BG36)+ABS(BI36)+ABS(BK36)+ABS(BM36)+ABS(BO36)+ABS(BQ36)+ABS(BS36)+ABS(BU36)+ABS(BW36)+ABS(BY36)+ABS(CA36)+ABS(CC36)+ABS(CE36)+ABS(CG36)+ABS(CI36)+ABS(CK36)+ABS(CM36)+ABS(CO36)+ABS(CQ36)+ABS(CS36)+ABS(CU36)+ABS(CW36)</f>
        <v>0</v>
      </c>
      <c r="DD36" s="86" t="n">
        <v>16</v>
      </c>
      <c r="DE36" s="84" t="n">
        <v>1</v>
      </c>
      <c r="DF36" s="43" t="n">
        <f aca="false">(ABS(W36)*X36+ABS(Y36)*Z36+ABS(AA36)*AB36+ABS(AC36)*AD36+ABS(AE36)*AF36+ABS(AG36)*AH36+ABS(AI36)*AJ36+ABS(AK36)*AL36+ABS(AM36)*AN36+ABS(AO36)*AP36+ABS(AQ36)*AR36+ABS(AS36)*AT36+ABS(AU36)*AV36+ABS(AW36)*AX36+ABS(AY36)*AZ36+ABS(BA36)*BB36+ABS(BC36)*BD36+ABS(BE36)*BF36+ABS(BG36)*BH36+ABS(BI36)*BJ36)</f>
        <v>0</v>
      </c>
      <c r="DG36" s="43" t="n">
        <f aca="false">ABS(BK36)*BL36+ABS(BM36)*BN36+ABS(BO36)*BP36+ABS(BQ36)*BR36+ABS(BS36)*BT36+ABS(BU36)*BV36+ABS(BW36)*BX36+ABS(BY36)*BZ36+ABS(CA36)*CB36+ABS(CC36)*CD36+ABS(CE36)*CF36+ABS(CG36)*CH36+ABS(CI36)*CJ36+ABS(CK36)*CL36+ABS(CM36)*CN36+ABS(CO36)*CP36+ABS(CQ36)*CR36+ABS(CS36)*CT36+ABS(CU36)*CV36+ABS(CW36)*CX36</f>
        <v>0</v>
      </c>
      <c r="DH36" s="43" t="n">
        <f aca="false">((H36-X36)*W36+(H36-Z36)*Y36+(H36-AB36)*AA36+(H36-AD36)*AC36+(H36-AF36)*AE36+(H36-AH36)*AG36+(H36-AJ36)*AI36+(H36-AL36)*AK36+(H36-AN36)*AM36+(H36-AP36)*AO36+(H36-AR36)*AQ36+(H36-AT36)*AS36+(H36-AV36)*AU36+(H36-AX36)*AW36+(H36-AZ36)*AY36+(H36-BB36)*BA36+(H36-BD36)*BC36+(H36-BF36)*BE36+(H36-BH36)*BG36+(H36-BJ36)*BI36)*DD36*DE36</f>
        <v>0</v>
      </c>
      <c r="DI36" s="43" t="n">
        <f aca="false">(((H36-BL36)*BK36+(H36-BN36)*BM36+(H36-BP36)*BO36+(H36-BR36)*BQ36+(H36-BT36)*BS36+(H36-BV36)*BU36+(H36-BX36)*BW36+(H36-BZ36)*BY36+(H36-CB36)*CA36+(H36-CD36)*CC36+(H36-CF36)*CE36+(H36-CH36)*CG36+(H36-CJ36)*CH36+(H36-CL36)*CK36+(H36-CN36)*CM36+(H36-CP36)*CO36+(H36-CR36)*CQ36+(H36-CT36)*CS36+(H36-CV36)*CU36+(H36-CX36)*CW36)*DD36*DE36)</f>
        <v>0</v>
      </c>
      <c r="DK36" s="85" t="n">
        <v>37159</v>
      </c>
      <c r="DL36" s="21" t="n">
        <v>74.7329559326172</v>
      </c>
      <c r="DM36" s="21" t="n">
        <f aca="false">[5]NEPOOL!$L23</f>
        <v>-1189.7</v>
      </c>
      <c r="DN36" s="21" t="n">
        <f aca="false">IF(AND(WEEKDAY(DK36)&gt;1,WEEKDAY(DK36)&lt;7),1,0)</f>
        <v>1</v>
      </c>
    </row>
    <row r="37" customFormat="false" ht="18.75" hidden="false" customHeight="false" outlineLevel="0" collapsed="false">
      <c r="A37" s="58" t="n">
        <f aca="false">'NYISO A'!A37</f>
        <v>37160</v>
      </c>
      <c r="B37" s="59" t="n">
        <f aca="false">+[3]NYZoneJ!$L28/16</f>
        <v>74.7329559326172</v>
      </c>
      <c r="C37" s="101" t="n">
        <f aca="false">CY37</f>
        <v>0</v>
      </c>
      <c r="D37" s="87" t="n">
        <f aca="false">(IF(MONTH(A37)=MONTH(EOMONTH(TradeDate,1)),$AP$70,0)*VLOOKUP(A37,$DK$12:$DN$43,4))</f>
        <v>0</v>
      </c>
      <c r="E37" s="62" t="n">
        <f aca="false">B37+C37+D37</f>
        <v>74.7329559326172</v>
      </c>
      <c r="F37" s="63" t="n">
        <f aca="false">[3]NYZoneJ!$C28</f>
        <v>45.75</v>
      </c>
      <c r="G37" s="88" t="n">
        <f aca="false">IF($Q$9,Q37,P37)</f>
        <v>0</v>
      </c>
      <c r="H37" s="89" t="n">
        <f aca="false">F37+G37</f>
        <v>45.75</v>
      </c>
      <c r="I37" s="87" t="n">
        <f aca="false">B37*G37*DD37</f>
        <v>0</v>
      </c>
      <c r="J37" s="66" t="n">
        <f aca="false">DH37+DI37</f>
        <v>0</v>
      </c>
      <c r="K37" s="90" t="n">
        <f aca="false">I37+J37</f>
        <v>0</v>
      </c>
      <c r="L37" s="24"/>
      <c r="M37" s="67" t="n">
        <f aca="false">A37</f>
        <v>37160</v>
      </c>
      <c r="N37" s="92" t="n">
        <v>45.75</v>
      </c>
      <c r="O37" s="92" t="n">
        <v>45.75</v>
      </c>
      <c r="P37" s="69" t="n">
        <f aca="false">AVERAGE(N37:O37)-F37</f>
        <v>0</v>
      </c>
      <c r="Q37" s="70"/>
      <c r="R37" s="91" t="n">
        <f aca="false">H37</f>
        <v>45.75</v>
      </c>
      <c r="S37" s="24"/>
      <c r="T37" s="24"/>
      <c r="U37" s="72"/>
      <c r="V37" s="73" t="n">
        <f aca="false">A37</f>
        <v>37160</v>
      </c>
      <c r="W37" s="74"/>
      <c r="X37" s="293"/>
      <c r="Y37" s="77"/>
      <c r="Z37" s="78"/>
      <c r="AA37" s="77"/>
      <c r="AB37" s="78"/>
      <c r="AC37" s="77"/>
      <c r="AD37" s="78"/>
      <c r="AE37" s="77"/>
      <c r="AF37" s="78"/>
      <c r="AG37" s="77"/>
      <c r="AH37" s="76"/>
      <c r="AI37" s="77"/>
      <c r="AJ37" s="78"/>
      <c r="AK37" s="77"/>
      <c r="AL37" s="78"/>
      <c r="AM37" s="77"/>
      <c r="AN37" s="78"/>
      <c r="AO37" s="77"/>
      <c r="AP37" s="78"/>
      <c r="AQ37" s="77"/>
      <c r="AR37" s="78"/>
      <c r="AS37" s="77"/>
      <c r="AT37" s="160"/>
      <c r="AU37" s="94"/>
      <c r="AV37" s="95"/>
      <c r="AW37" s="96"/>
      <c r="AX37" s="75"/>
      <c r="AY37" s="81"/>
      <c r="AZ37" s="75"/>
      <c r="BA37" s="81"/>
      <c r="BB37" s="75"/>
      <c r="BC37" s="81"/>
      <c r="BD37" s="75"/>
      <c r="BE37" s="81"/>
      <c r="BF37" s="75"/>
      <c r="BG37" s="81"/>
      <c r="BH37" s="75"/>
      <c r="BI37" s="81"/>
      <c r="BJ37" s="75"/>
      <c r="BK37" s="81"/>
      <c r="BL37" s="75"/>
      <c r="BM37" s="81"/>
      <c r="BN37" s="75"/>
      <c r="BO37" s="81"/>
      <c r="BP37" s="75"/>
      <c r="BQ37" s="81"/>
      <c r="BR37" s="75"/>
      <c r="BS37" s="81"/>
      <c r="BT37" s="75"/>
      <c r="BU37" s="81"/>
      <c r="BV37" s="75"/>
      <c r="BW37" s="81"/>
      <c r="BX37" s="75"/>
      <c r="BY37" s="81"/>
      <c r="BZ37" s="75"/>
      <c r="CA37" s="81"/>
      <c r="CB37" s="75"/>
      <c r="CC37" s="81"/>
      <c r="CD37" s="75"/>
      <c r="CE37" s="81"/>
      <c r="CF37" s="75"/>
      <c r="CG37" s="81"/>
      <c r="CH37" s="75"/>
      <c r="CI37" s="81"/>
      <c r="CJ37" s="75"/>
      <c r="CK37" s="81"/>
      <c r="CL37" s="75"/>
      <c r="CM37" s="81"/>
      <c r="CN37" s="75"/>
      <c r="CO37" s="81"/>
      <c r="CP37" s="75"/>
      <c r="CQ37" s="81"/>
      <c r="CR37" s="75"/>
      <c r="CS37" s="81"/>
      <c r="CT37" s="75"/>
      <c r="CU37" s="81"/>
      <c r="CV37" s="75"/>
      <c r="CW37" s="81"/>
      <c r="CX37" s="75"/>
      <c r="CY37" s="82" t="n">
        <f aca="false">W37+Y37+AA37+AC37+AE37+AG37+AI37+AK37+AM37+AO37+AQ37+AS37+AU37+AW37+AY37+BA37+BC37+BE37+BG37+BI37+BK37+BM37+BO37+BQ37+BS37+BU37+BW37+BY37+CA37+CC37+CE37+CG37+CI37+CK37+CM37+CO37+CQ37+CS37+CU37+CW37</f>
        <v>0</v>
      </c>
      <c r="CZ37" s="83" t="n">
        <f aca="false">IF(AND(CY37=0,DC37=0),0,(DF37+DG37)/DC37)</f>
        <v>0</v>
      </c>
      <c r="DA37" s="84" t="n">
        <f aca="false">DC37*DD37</f>
        <v>0</v>
      </c>
      <c r="DB37" s="85" t="n">
        <f aca="false">V37</f>
        <v>37160</v>
      </c>
      <c r="DC37" s="84" t="n">
        <f aca="false">ABS(W37)+ABS(Y37)+ABS(AA37)+ABS(AC37)+ABS(AE37)+ABS(AG37)+ABS(AI37)+ABS(AK37)+ABS(AM37)+ABS(AO37)+ABS(AQ37)+ABS(AS37)+ABS(AU37)+ABS(AW37)+ABS(AY37)+ABS(BA37)+ABS(BC37)+ABS(BE37)+ABS(BG37)+ABS(BI37)+ABS(BK37)+ABS(BM37)+ABS(BO37)+ABS(BQ37)+ABS(BS37)+ABS(BU37)+ABS(BW37)+ABS(BY37)+ABS(CA37)+ABS(CC37)+ABS(CE37)+ABS(CG37)+ABS(CI37)+ABS(CK37)+ABS(CM37)+ABS(CO37)+ABS(CQ37)+ABS(CS37)+ABS(CU37)+ABS(CW37)</f>
        <v>0</v>
      </c>
      <c r="DD37" s="86" t="n">
        <v>16</v>
      </c>
      <c r="DE37" s="84" t="n">
        <v>1</v>
      </c>
      <c r="DF37" s="43" t="n">
        <f aca="false">(ABS(W37)*X37+ABS(Y37)*Z37+ABS(AA37)*AB37+ABS(AC37)*AD37+ABS(AE37)*AF37+ABS(AG37)*AH37+ABS(AI37)*AJ37+ABS(AK37)*AL37+ABS(AM37)*AN37+ABS(AO37)*AP37+ABS(AQ37)*AR37+ABS(AS37)*AT37+ABS(AU37)*AV37+ABS(AW37)*AX37+ABS(AY37)*AZ37+ABS(BA37)*BB37+ABS(BC37)*BD37+ABS(BE37)*BF37+ABS(BG37)*BH37+ABS(BI37)*BJ37)</f>
        <v>0</v>
      </c>
      <c r="DG37" s="43" t="n">
        <f aca="false">ABS(BK37)*BL37+ABS(BM37)*BN37+ABS(BO37)*BP37+ABS(BQ37)*BR37+ABS(BS37)*BT37+ABS(BU37)*BV37+ABS(BW37)*BX37+ABS(BY37)*BZ37+ABS(CA37)*CB37+ABS(CC37)*CD37+ABS(CE37)*CF37+ABS(CG37)*CH37+ABS(CI37)*CJ37+ABS(CK37)*CL37+ABS(CM37)*CN37+ABS(CO37)*CP37+ABS(CQ37)*CR37+ABS(CS37)*CT37+ABS(CU37)*CV37+ABS(CW37)*CX37</f>
        <v>0</v>
      </c>
      <c r="DH37" s="43" t="n">
        <f aca="false">((H37-X37)*W37+(H37-Z37)*Y37+(H37-AB37)*AA37+(H37-AD37)*AC37+(H37-AF37)*AE37+(H37-AH37)*AG37+(H37-AJ37)*AI37+(H37-AL37)*AK37+(H37-AN37)*AM37+(H37-AP37)*AO37+(H37-AR37)*AQ37+(H37-AT37)*AS37+(H37-AV37)*AU37+(H37-AX37)*AW37+(H37-AZ37)*AY37+(H37-BB37)*BA37+(H37-BD37)*BC37+(H37-BF37)*BE37+(H37-BH37)*BG37+(H37-BJ37)*BI37)*DD37*DE37</f>
        <v>0</v>
      </c>
      <c r="DI37" s="43" t="n">
        <f aca="false">(((H37-BL37)*BK37+(H37-BN37)*BM37+(H37-BP37)*BO37+(H37-BR37)*BQ37+(H37-BT37)*BS37+(H37-BV37)*BU37+(H37-BX37)*BW37+(H37-BZ37)*BY37+(H37-CB37)*CA37+(H37-CD37)*CC37+(H37-CF37)*CE37+(H37-CH37)*CG37+(H37-CJ37)*CH37+(H37-CL37)*CK37+(H37-CN37)*CM37+(H37-CP37)*CO37+(H37-CR37)*CQ37+(H37-CT37)*CS37+(H37-CV37)*CU37+(H37-CX37)*CW37)*DD37*DE37)</f>
        <v>0</v>
      </c>
      <c r="DK37" s="85" t="n">
        <v>37160</v>
      </c>
      <c r="DL37" s="21" t="n">
        <v>74.7329559326172</v>
      </c>
      <c r="DM37" s="21" t="n">
        <f aca="false">[5]NEPOOL!$L24</f>
        <v>-1189.7</v>
      </c>
      <c r="DN37" s="21" t="n">
        <f aca="false">IF(AND(WEEKDAY(DK37)&gt;1,WEEKDAY(DK37)&lt;7),1,0)</f>
        <v>1</v>
      </c>
    </row>
    <row r="38" customFormat="false" ht="18.75" hidden="false" customHeight="false" outlineLevel="0" collapsed="false">
      <c r="A38" s="58" t="n">
        <f aca="false">'NYISO A'!A38</f>
        <v>37161</v>
      </c>
      <c r="B38" s="59" t="n">
        <f aca="false">+[3]NYZoneJ!$L29/16</f>
        <v>74.7329559326172</v>
      </c>
      <c r="C38" s="60" t="n">
        <f aca="false">CY38</f>
        <v>0</v>
      </c>
      <c r="D38" s="61" t="n">
        <f aca="false">(IF(MONTH(A38)=MONTH(EOMONTH(TradeDate,1)),$AP$70,0)*VLOOKUP(A38,$DK$12:$DN$43,4))</f>
        <v>0</v>
      </c>
      <c r="E38" s="62" t="n">
        <f aca="false">B38+C38+D38</f>
        <v>74.7329559326172</v>
      </c>
      <c r="F38" s="63" t="n">
        <f aca="false">[3]NYZoneJ!$C29</f>
        <v>45.75</v>
      </c>
      <c r="G38" s="63" t="n">
        <f aca="false">IF($Q$9,Q38,P38)</f>
        <v>0</v>
      </c>
      <c r="H38" s="64" t="n">
        <f aca="false">F38+G38</f>
        <v>45.75</v>
      </c>
      <c r="I38" s="65" t="n">
        <f aca="false">B38*G38*DD38</f>
        <v>0</v>
      </c>
      <c r="J38" s="66" t="n">
        <f aca="false">DH38+DI38</f>
        <v>0</v>
      </c>
      <c r="K38" s="66" t="n">
        <f aca="false">I38+J38</f>
        <v>0</v>
      </c>
      <c r="L38" s="24"/>
      <c r="M38" s="67" t="n">
        <f aca="false">A38</f>
        <v>37161</v>
      </c>
      <c r="N38" s="92" t="n">
        <v>45.75</v>
      </c>
      <c r="O38" s="92" t="n">
        <v>45.75</v>
      </c>
      <c r="P38" s="69" t="n">
        <f aca="false">AVERAGE(N38:O38)-F38</f>
        <v>0</v>
      </c>
      <c r="Q38" s="70"/>
      <c r="R38" s="91" t="n">
        <f aca="false">H38</f>
        <v>45.75</v>
      </c>
      <c r="S38" s="24"/>
      <c r="T38" s="24"/>
      <c r="U38" s="72"/>
      <c r="V38" s="73" t="n">
        <f aca="false">A38</f>
        <v>37161</v>
      </c>
      <c r="W38" s="74"/>
      <c r="X38" s="293"/>
      <c r="Y38" s="77"/>
      <c r="Z38" s="78"/>
      <c r="AA38" s="77"/>
      <c r="AB38" s="78"/>
      <c r="AC38" s="77"/>
      <c r="AD38" s="78"/>
      <c r="AE38" s="77"/>
      <c r="AF38" s="78"/>
      <c r="AG38" s="77"/>
      <c r="AH38" s="76"/>
      <c r="AI38" s="77"/>
      <c r="AJ38" s="78"/>
      <c r="AK38" s="77"/>
      <c r="AL38" s="78"/>
      <c r="AM38" s="77"/>
      <c r="AN38" s="78"/>
      <c r="AO38" s="77"/>
      <c r="AP38" s="78"/>
      <c r="AQ38" s="77"/>
      <c r="AR38" s="78"/>
      <c r="AS38" s="77"/>
      <c r="AT38" s="160"/>
      <c r="AU38" s="94"/>
      <c r="AV38" s="95"/>
      <c r="AW38" s="96"/>
      <c r="AX38" s="75"/>
      <c r="AY38" s="81"/>
      <c r="AZ38" s="75"/>
      <c r="BA38" s="81"/>
      <c r="BB38" s="75"/>
      <c r="BC38" s="81"/>
      <c r="BD38" s="75"/>
      <c r="BE38" s="81"/>
      <c r="BF38" s="75"/>
      <c r="BG38" s="81"/>
      <c r="BH38" s="75"/>
      <c r="BI38" s="81"/>
      <c r="BJ38" s="75"/>
      <c r="BK38" s="81"/>
      <c r="BL38" s="75"/>
      <c r="BM38" s="81"/>
      <c r="BN38" s="75"/>
      <c r="BO38" s="81"/>
      <c r="BP38" s="75"/>
      <c r="BQ38" s="81"/>
      <c r="BR38" s="75"/>
      <c r="BS38" s="81"/>
      <c r="BT38" s="75"/>
      <c r="BU38" s="81"/>
      <c r="BV38" s="75"/>
      <c r="BW38" s="81"/>
      <c r="BX38" s="75"/>
      <c r="BY38" s="81"/>
      <c r="BZ38" s="75"/>
      <c r="CA38" s="81"/>
      <c r="CB38" s="75"/>
      <c r="CC38" s="81"/>
      <c r="CD38" s="75"/>
      <c r="CE38" s="81"/>
      <c r="CF38" s="75"/>
      <c r="CG38" s="81"/>
      <c r="CH38" s="75"/>
      <c r="CI38" s="81"/>
      <c r="CJ38" s="75"/>
      <c r="CK38" s="81"/>
      <c r="CL38" s="75"/>
      <c r="CM38" s="81"/>
      <c r="CN38" s="75"/>
      <c r="CO38" s="81"/>
      <c r="CP38" s="75"/>
      <c r="CQ38" s="81"/>
      <c r="CR38" s="75"/>
      <c r="CS38" s="81"/>
      <c r="CT38" s="75"/>
      <c r="CU38" s="81"/>
      <c r="CV38" s="75"/>
      <c r="CW38" s="81"/>
      <c r="CX38" s="75"/>
      <c r="CY38" s="82" t="n">
        <f aca="false">W38+Y38+AA38+AC38+AE38+AG38+AI38+AK38+AM38+AO38+AQ38+AS38+AU38+AW38+AY38+BA38+BC38+BE38+BG38+BI38+BK38+BM38+BO38+BQ38+BS38+BU38+BW38+BY38+CA38+CC38+CE38+CG38+CI38+CK38+CM38+CO38+CQ38+CS38+CU38+CW38</f>
        <v>0</v>
      </c>
      <c r="CZ38" s="83" t="n">
        <f aca="false">IF(AND(CY38=0,DC38=0),0,(DF38+DG38)/DC38)</f>
        <v>0</v>
      </c>
      <c r="DA38" s="84" t="n">
        <f aca="false">DC38*DD38</f>
        <v>0</v>
      </c>
      <c r="DB38" s="85" t="n">
        <f aca="false">V38</f>
        <v>37161</v>
      </c>
      <c r="DC38" s="84" t="n">
        <f aca="false">ABS(W38)+ABS(Y38)+ABS(AA38)+ABS(AC38)+ABS(AE38)+ABS(AG38)+ABS(AI38)+ABS(AK38)+ABS(AM38)+ABS(AO38)+ABS(AQ38)+ABS(AS38)+ABS(AU38)+ABS(AW38)+ABS(AY38)+ABS(BA38)+ABS(BC38)+ABS(BE38)+ABS(BG38)+ABS(BI38)+ABS(BK38)+ABS(BM38)+ABS(BO38)+ABS(BQ38)+ABS(BS38)+ABS(BU38)+ABS(BW38)+ABS(BY38)+ABS(CA38)+ABS(CC38)+ABS(CE38)+ABS(CG38)+ABS(CI38)+ABS(CK38)+ABS(CM38)+ABS(CO38)+ABS(CQ38)+ABS(CS38)+ABS(CU38)+ABS(CW38)</f>
        <v>0</v>
      </c>
      <c r="DD38" s="86" t="n">
        <v>16</v>
      </c>
      <c r="DE38" s="84" t="n">
        <v>1</v>
      </c>
      <c r="DF38" s="43" t="n">
        <f aca="false">(ABS(W38)*X38+ABS(Y38)*Z38+ABS(AA38)*AB38+ABS(AC38)*AD38+ABS(AE38)*AF38+ABS(AG38)*AH38+ABS(AI38)*AJ38+ABS(AK38)*AL38+ABS(AM38)*AN38+ABS(AO38)*AP38+ABS(AQ38)*AR38+ABS(AS38)*AT38+ABS(AU38)*AV38+ABS(AW38)*AX38+ABS(AY38)*AZ38+ABS(BA38)*BB38+ABS(BC38)*BD38+ABS(BE38)*BF38+ABS(BG38)*BH38+ABS(BI38)*BJ38)</f>
        <v>0</v>
      </c>
      <c r="DG38" s="43" t="n">
        <f aca="false">ABS(BK38)*BL38+ABS(BM38)*BN38+ABS(BO38)*BP38+ABS(BQ38)*BR38+ABS(BS38)*BT38+ABS(BU38)*BV38+ABS(BW38)*BX38+ABS(BY38)*BZ38+ABS(CA38)*CB38+ABS(CC38)*CD38+ABS(CE38)*CF38+ABS(CG38)*CH38+ABS(CI38)*CJ38+ABS(CK38)*CL38+ABS(CM38)*CN38+ABS(CO38)*CP38+ABS(CQ38)*CR38+ABS(CS38)*CT38+ABS(CU38)*CV38+ABS(CW38)*CX38</f>
        <v>0</v>
      </c>
      <c r="DH38" s="43" t="n">
        <f aca="false">((H38-X38)*W38+(H38-Z38)*Y38+(H38-AB38)*AA38+(H38-AD38)*AC38+(H38-AF38)*AE38+(H38-AH38)*AG38+(H38-AJ38)*AI38+(H38-AL38)*AK38+(H38-AN38)*AM38+(H38-AP38)*AO38+(H38-AR38)*AQ38+(H38-AT38)*AS38+(H38-AV38)*AU38+(H38-AX38)*AW38+(H38-AZ38)*AY38+(H38-BB38)*BA38+(H38-BD38)*BC38+(H38-BF38)*BE38+(H38-BH38)*BG38+(H38-BJ38)*BI38)*DD38*DE38</f>
        <v>0</v>
      </c>
      <c r="DI38" s="43" t="n">
        <f aca="false">(((H38-BL38)*BK38+(H38-BN38)*BM38+(H38-BP38)*BO38+(H38-BR38)*BQ38+(H38-BT38)*BS38+(H38-BV38)*BU38+(H38-BX38)*BW38+(H38-BZ38)*BY38+(H38-CB38)*CA38+(H38-CD38)*CC38+(H38-CF38)*CE38+(H38-CH38)*CG38+(H38-CJ38)*CH38+(H38-CL38)*CK38+(H38-CN38)*CM38+(H38-CP38)*CO38+(H38-CR38)*CQ38+(H38-CT38)*CS38+(H38-CV38)*CU38+(H38-CX38)*CW38)*DD38*DE38)</f>
        <v>0</v>
      </c>
      <c r="DK38" s="85" t="n">
        <v>37161</v>
      </c>
      <c r="DL38" s="21" t="n">
        <v>74.7329559326172</v>
      </c>
      <c r="DM38" s="21" t="n">
        <f aca="false">[5]NEPOOL!$L25</f>
        <v>-1189.7</v>
      </c>
      <c r="DN38" s="21" t="n">
        <f aca="false">IF(AND(WEEKDAY(DK38)&gt;1,WEEKDAY(DK38)&lt;7),1,0)</f>
        <v>1</v>
      </c>
    </row>
    <row r="39" customFormat="false" ht="18.75" hidden="false" customHeight="false" outlineLevel="0" collapsed="false">
      <c r="A39" s="58" t="n">
        <f aca="false">'NYISO A'!A39</f>
        <v>37162</v>
      </c>
      <c r="B39" s="59" t="n">
        <f aca="false">+[3]NYZoneJ!$L30/16</f>
        <v>74.7329559326172</v>
      </c>
      <c r="C39" s="101" t="n">
        <f aca="false">CY39</f>
        <v>0</v>
      </c>
      <c r="D39" s="87" t="n">
        <f aca="false">(IF(MONTH(A39)=MONTH(EOMONTH(TradeDate,1)),$AP$70,0)*VLOOKUP(A39,$DK$12:$DN$43,4))</f>
        <v>0</v>
      </c>
      <c r="E39" s="62" t="n">
        <f aca="false">B39+C39+D39</f>
        <v>74.7329559326172</v>
      </c>
      <c r="F39" s="63" t="n">
        <f aca="false">[3]NYZoneJ!$C30</f>
        <v>45.75</v>
      </c>
      <c r="G39" s="88" t="n">
        <f aca="false">IF($Q$9,Q39,P39)</f>
        <v>0</v>
      </c>
      <c r="H39" s="89" t="n">
        <f aca="false">F39+G39</f>
        <v>45.75</v>
      </c>
      <c r="I39" s="87" t="n">
        <f aca="false">B39*G39*DD39</f>
        <v>0</v>
      </c>
      <c r="J39" s="66" t="n">
        <f aca="false">DH39+DI39</f>
        <v>0</v>
      </c>
      <c r="K39" s="90" t="n">
        <f aca="false">I39+J39</f>
        <v>0</v>
      </c>
      <c r="L39" s="24"/>
      <c r="M39" s="67" t="n">
        <f aca="false">A39</f>
        <v>37162</v>
      </c>
      <c r="N39" s="92" t="n">
        <v>45.75</v>
      </c>
      <c r="O39" s="92" t="n">
        <v>45.75</v>
      </c>
      <c r="P39" s="69" t="n">
        <f aca="false">AVERAGE(N39:O39)-F39</f>
        <v>0</v>
      </c>
      <c r="Q39" s="70"/>
      <c r="R39" s="91" t="n">
        <f aca="false">H39</f>
        <v>45.75</v>
      </c>
      <c r="S39" s="24"/>
      <c r="T39" s="24"/>
      <c r="U39" s="72"/>
      <c r="V39" s="73" t="n">
        <f aca="false">A39</f>
        <v>37162</v>
      </c>
      <c r="W39" s="74"/>
      <c r="X39" s="293"/>
      <c r="Y39" s="77"/>
      <c r="Z39" s="78"/>
      <c r="AA39" s="77"/>
      <c r="AB39" s="78"/>
      <c r="AC39" s="77"/>
      <c r="AD39" s="78"/>
      <c r="AE39" s="77"/>
      <c r="AF39" s="78"/>
      <c r="AG39" s="77"/>
      <c r="AH39" s="76"/>
      <c r="AI39" s="77"/>
      <c r="AJ39" s="78"/>
      <c r="AK39" s="77"/>
      <c r="AL39" s="78"/>
      <c r="AM39" s="77"/>
      <c r="AN39" s="78"/>
      <c r="AO39" s="77"/>
      <c r="AP39" s="78"/>
      <c r="AQ39" s="77"/>
      <c r="AR39" s="78"/>
      <c r="AS39" s="77"/>
      <c r="AT39" s="160"/>
      <c r="AU39" s="94"/>
      <c r="AV39" s="95"/>
      <c r="AW39" s="96"/>
      <c r="AX39" s="75"/>
      <c r="AY39" s="81"/>
      <c r="AZ39" s="75"/>
      <c r="BA39" s="81"/>
      <c r="BB39" s="75"/>
      <c r="BC39" s="81"/>
      <c r="BD39" s="75"/>
      <c r="BE39" s="81"/>
      <c r="BF39" s="75"/>
      <c r="BG39" s="81"/>
      <c r="BH39" s="75"/>
      <c r="BI39" s="81"/>
      <c r="BJ39" s="75"/>
      <c r="BK39" s="81"/>
      <c r="BL39" s="75"/>
      <c r="BM39" s="81"/>
      <c r="BN39" s="75"/>
      <c r="BO39" s="81"/>
      <c r="BP39" s="75"/>
      <c r="BQ39" s="81"/>
      <c r="BR39" s="75"/>
      <c r="BS39" s="81"/>
      <c r="BT39" s="75"/>
      <c r="BU39" s="81"/>
      <c r="BV39" s="75"/>
      <c r="BW39" s="81"/>
      <c r="BX39" s="75"/>
      <c r="BY39" s="81"/>
      <c r="BZ39" s="75"/>
      <c r="CA39" s="81"/>
      <c r="CB39" s="75"/>
      <c r="CC39" s="81"/>
      <c r="CD39" s="75"/>
      <c r="CE39" s="81"/>
      <c r="CF39" s="75"/>
      <c r="CG39" s="81"/>
      <c r="CH39" s="75"/>
      <c r="CI39" s="81"/>
      <c r="CJ39" s="75"/>
      <c r="CK39" s="81"/>
      <c r="CL39" s="75"/>
      <c r="CM39" s="81"/>
      <c r="CN39" s="75"/>
      <c r="CO39" s="81"/>
      <c r="CP39" s="75"/>
      <c r="CQ39" s="81"/>
      <c r="CR39" s="75"/>
      <c r="CS39" s="81"/>
      <c r="CT39" s="75"/>
      <c r="CU39" s="81"/>
      <c r="CV39" s="75"/>
      <c r="CW39" s="81"/>
      <c r="CX39" s="75"/>
      <c r="CY39" s="82" t="n">
        <f aca="false">W39+Y39+AA39+AC39+AE39+AG39+AI39+AK39+AM39+AO39+AQ39+AS39+AU39+AW39+AY39+BA39+BC39+BE39+BG39+BI39+BK39+BM39+BO39+BQ39+BS39+BU39+BW39+BY39+CA39+CC39+CE39+CG39+CI39+CK39+CM39+CO39+CQ39+CS39+CU39+CW39</f>
        <v>0</v>
      </c>
      <c r="CZ39" s="83" t="n">
        <f aca="false">IF(AND(CY39=0,DC39=0),0,(DF39+DG39)/DC39)</f>
        <v>0</v>
      </c>
      <c r="DA39" s="84" t="n">
        <f aca="false">DC39*DD39</f>
        <v>0</v>
      </c>
      <c r="DB39" s="85" t="n">
        <f aca="false">V39</f>
        <v>37162</v>
      </c>
      <c r="DC39" s="84" t="n">
        <f aca="false">ABS(W39)+ABS(Y39)+ABS(AA39)+ABS(AC39)+ABS(AE39)+ABS(AG39)+ABS(AI39)+ABS(AK39)+ABS(AM39)+ABS(AO39)+ABS(AQ39)+ABS(AS39)+ABS(AU39)+ABS(AW39)+ABS(AY39)+ABS(BA39)+ABS(BC39)+ABS(BE39)+ABS(BG39)+ABS(BI39)+ABS(BK39)+ABS(BM39)+ABS(BO39)+ABS(BQ39)+ABS(BS39)+ABS(BU39)+ABS(BW39)+ABS(BY39)+ABS(CA39)+ABS(CC39)+ABS(CE39)+ABS(CG39)+ABS(CI39)+ABS(CK39)+ABS(CM39)+ABS(CO39)+ABS(CQ39)+ABS(CS39)+ABS(CU39)+ABS(CW39)</f>
        <v>0</v>
      </c>
      <c r="DD39" s="86" t="n">
        <v>16</v>
      </c>
      <c r="DE39" s="84" t="n">
        <v>1</v>
      </c>
      <c r="DF39" s="43" t="n">
        <f aca="false">(ABS(W39)*X39+ABS(Y39)*Z39+ABS(AA39)*AB39+ABS(AC39)*AD39+ABS(AE39)*AF39+ABS(AG39)*AH39+ABS(AI39)*AJ39+ABS(AK39)*AL39+ABS(AM39)*AN39+ABS(AO39)*AP39+ABS(AQ39)*AR39+ABS(AS39)*AT39+ABS(AU39)*AV39+ABS(AW39)*AX39+ABS(AY39)*AZ39+ABS(BA39)*BB39+ABS(BC39)*BD39+ABS(BE39)*BF39+ABS(BG39)*BH39+ABS(BI39)*BJ39)</f>
        <v>0</v>
      </c>
      <c r="DG39" s="43" t="n">
        <f aca="false">ABS(BK39)*BL39+ABS(BM39)*BN39+ABS(BO39)*BP39+ABS(BQ39)*BR39+ABS(BS39)*BT39+ABS(BU39)*BV39+ABS(BW39)*BX39+ABS(BY39)*BZ39+ABS(CA39)*CB39+ABS(CC39)*CD39+ABS(CE39)*CF39+ABS(CG39)*CH39+ABS(CI39)*CJ39+ABS(CK39)*CL39+ABS(CM39)*CN39+ABS(CO39)*CP39+ABS(CQ39)*CR39+ABS(CS39)*CT39+ABS(CU39)*CV39+ABS(CW39)*CX39</f>
        <v>0</v>
      </c>
      <c r="DH39" s="43" t="n">
        <f aca="false">((H39-X39)*W39+(H39-Z39)*Y39+(H39-AB39)*AA39+(H39-AD39)*AC39+(H39-AF39)*AE39+(H39-AH39)*AG39+(H39-AJ39)*AI39+(H39-AL39)*AK39+(H39-AN39)*AM39+(H39-AP39)*AO39+(H39-AR39)*AQ39+(H39-AT39)*AS39+(H39-AV39)*AU39+(H39-AX39)*AW39+(H39-AZ39)*AY39+(H39-BB39)*BA39+(H39-BD39)*BC39+(H39-BF39)*BE39+(H39-BH39)*BG39+(H39-BJ39)*BI39)*DD39*DE39</f>
        <v>0</v>
      </c>
      <c r="DI39" s="43" t="n">
        <f aca="false">(((H39-BL39)*BK39+(H39-BN39)*BM39+(H39-BP39)*BO39+(H39-BR39)*BQ39+(H39-BT39)*BS39+(H39-BV39)*BU39+(H39-BX39)*BW39+(H39-BZ39)*BY39+(H39-CB39)*CA39+(H39-CD39)*CC39+(H39-CF39)*CE39+(H39-CH39)*CG39+(H39-CJ39)*CH39+(H39-CL39)*CK39+(H39-CN39)*CM39+(H39-CP39)*CO39+(H39-CR39)*CQ39+(H39-CT39)*CS39+(H39-CV39)*CU39+(H39-CX39)*CW39)*DD39*DE39)</f>
        <v>0</v>
      </c>
      <c r="DK39" s="85" t="n">
        <v>37162</v>
      </c>
      <c r="DL39" s="21" t="n">
        <v>74.7329559326172</v>
      </c>
      <c r="DM39" s="21" t="n">
        <f aca="false">[5]NEPOOL!$L26</f>
        <v>-1189.7</v>
      </c>
      <c r="DN39" s="21" t="n">
        <f aca="false">IF(AND(WEEKDAY(DK39)&gt;1,WEEKDAY(DK39)&lt;7),1,0)</f>
        <v>1</v>
      </c>
    </row>
    <row r="40" customFormat="false" ht="18.75" hidden="false" customHeight="false" outlineLevel="0" collapsed="false">
      <c r="A40" s="58" t="n">
        <f aca="false">'NYISO A'!A40</f>
        <v>37163</v>
      </c>
      <c r="B40" s="59" t="n">
        <f aca="false">+[3]NYZoneJ!$L31/16</f>
        <v>0</v>
      </c>
      <c r="C40" s="60" t="n">
        <f aca="false">CY40</f>
        <v>0</v>
      </c>
      <c r="D40" s="61" t="n">
        <f aca="false">(IF(MONTH(A40)=MONTH(EOMONTH(TradeDate,1)),$AP$70,0)*VLOOKUP(A40,$DK$12:$DN$43,4))</f>
        <v>0</v>
      </c>
      <c r="E40" s="62" t="n">
        <f aca="false">B40+C40+D40</f>
        <v>0</v>
      </c>
      <c r="F40" s="63" t="n">
        <f aca="false">[3]NYZoneJ!$C31</f>
        <v>47</v>
      </c>
      <c r="G40" s="63" t="n">
        <f aca="false">IF($Q$9,Q40,P40)</f>
        <v>0</v>
      </c>
      <c r="H40" s="64" t="n">
        <f aca="false">F40+G40</f>
        <v>47</v>
      </c>
      <c r="I40" s="65" t="n">
        <f aca="false">B40*G40*DD40</f>
        <v>0</v>
      </c>
      <c r="J40" s="66" t="n">
        <f aca="false">DH40+DI40</f>
        <v>0</v>
      </c>
      <c r="K40" s="66" t="n">
        <f aca="false">I40+J40</f>
        <v>0</v>
      </c>
      <c r="L40" s="24"/>
      <c r="M40" s="67" t="n">
        <f aca="false">A40</f>
        <v>37163</v>
      </c>
      <c r="N40" s="92" t="n">
        <v>47</v>
      </c>
      <c r="O40" s="92" t="n">
        <v>47</v>
      </c>
      <c r="P40" s="69" t="n">
        <f aca="false">AVERAGE(N40:O40)-F40</f>
        <v>0</v>
      </c>
      <c r="Q40" s="70"/>
      <c r="R40" s="91" t="n">
        <f aca="false">H40</f>
        <v>47</v>
      </c>
      <c r="S40" s="24"/>
      <c r="T40" s="24"/>
      <c r="U40" s="72"/>
      <c r="V40" s="73" t="n">
        <f aca="false">A40</f>
        <v>37163</v>
      </c>
      <c r="W40" s="74"/>
      <c r="X40" s="293"/>
      <c r="Y40" s="77"/>
      <c r="Z40" s="78"/>
      <c r="AA40" s="77"/>
      <c r="AB40" s="78"/>
      <c r="AC40" s="77"/>
      <c r="AD40" s="78"/>
      <c r="AE40" s="77"/>
      <c r="AF40" s="78"/>
      <c r="AG40" s="77"/>
      <c r="AH40" s="76"/>
      <c r="AI40" s="77"/>
      <c r="AJ40" s="78"/>
      <c r="AK40" s="77"/>
      <c r="AL40" s="78"/>
      <c r="AM40" s="77"/>
      <c r="AN40" s="78"/>
      <c r="AO40" s="77"/>
      <c r="AP40" s="78"/>
      <c r="AQ40" s="77"/>
      <c r="AR40" s="78"/>
      <c r="AS40" s="77"/>
      <c r="AT40" s="160"/>
      <c r="AU40" s="94"/>
      <c r="AV40" s="95"/>
      <c r="AW40" s="96"/>
      <c r="AX40" s="75"/>
      <c r="AY40" s="81"/>
      <c r="AZ40" s="75"/>
      <c r="BA40" s="81"/>
      <c r="BB40" s="75"/>
      <c r="BC40" s="81"/>
      <c r="BD40" s="75"/>
      <c r="BE40" s="81"/>
      <c r="BF40" s="75"/>
      <c r="BG40" s="81"/>
      <c r="BH40" s="75"/>
      <c r="BI40" s="81"/>
      <c r="BJ40" s="75"/>
      <c r="BK40" s="81"/>
      <c r="BL40" s="75"/>
      <c r="BM40" s="81"/>
      <c r="BN40" s="75"/>
      <c r="BO40" s="81"/>
      <c r="BP40" s="75"/>
      <c r="BQ40" s="81"/>
      <c r="BR40" s="75"/>
      <c r="BS40" s="81"/>
      <c r="BT40" s="75"/>
      <c r="BU40" s="81"/>
      <c r="BV40" s="75"/>
      <c r="BW40" s="81"/>
      <c r="BX40" s="75"/>
      <c r="BY40" s="81"/>
      <c r="BZ40" s="75"/>
      <c r="CA40" s="81"/>
      <c r="CB40" s="75"/>
      <c r="CC40" s="81"/>
      <c r="CD40" s="75"/>
      <c r="CE40" s="81"/>
      <c r="CF40" s="75"/>
      <c r="CG40" s="81"/>
      <c r="CH40" s="75"/>
      <c r="CI40" s="81"/>
      <c r="CJ40" s="75"/>
      <c r="CK40" s="81"/>
      <c r="CL40" s="75"/>
      <c r="CM40" s="81"/>
      <c r="CN40" s="75"/>
      <c r="CO40" s="81"/>
      <c r="CP40" s="75"/>
      <c r="CQ40" s="81"/>
      <c r="CR40" s="75"/>
      <c r="CS40" s="81"/>
      <c r="CT40" s="75"/>
      <c r="CU40" s="81"/>
      <c r="CV40" s="75"/>
      <c r="CW40" s="81"/>
      <c r="CX40" s="75"/>
      <c r="CY40" s="82" t="n">
        <f aca="false">W40+Y40+AA40+AC40+AE40+AG40+AI40+AK40+AM40+AO40+AQ40+AS40+AU40+AW40+AY40+BA40+BC40+BE40+BG40+BI40+BK40+BM40+BO40+BQ40+BS40+BU40+BW40+BY40+CA40+CC40+CE40+CG40+CI40+CK40+CM40+CO40+CQ40+CS40+CU40+CW40</f>
        <v>0</v>
      </c>
      <c r="CZ40" s="83" t="n">
        <f aca="false">IF(AND(CY40=0,DC40=0),0,(DF40+DG40)/DC40)</f>
        <v>0</v>
      </c>
      <c r="DA40" s="84" t="n">
        <f aca="false">DC40*DD40</f>
        <v>0</v>
      </c>
      <c r="DB40" s="85" t="n">
        <f aca="false">V40</f>
        <v>37163</v>
      </c>
      <c r="DC40" s="84" t="n">
        <f aca="false">ABS(W40)+ABS(Y40)+ABS(AA40)+ABS(AC40)+ABS(AE40)+ABS(AG40)+ABS(AI40)+ABS(AK40)+ABS(AM40)+ABS(AO40)+ABS(AQ40)+ABS(AS40)+ABS(AU40)+ABS(AW40)+ABS(AY40)+ABS(BA40)+ABS(BC40)+ABS(BE40)+ABS(BG40)+ABS(BI40)+ABS(BK40)+ABS(BM40)+ABS(BO40)+ABS(BQ40)+ABS(BS40)+ABS(BU40)+ABS(BW40)+ABS(BY40)+ABS(CA40)+ABS(CC40)+ABS(CE40)+ABS(CG40)+ABS(CI40)+ABS(CK40)+ABS(CM40)+ABS(CO40)+ABS(CQ40)+ABS(CS40)+ABS(CU40)+ABS(CW40)</f>
        <v>0</v>
      </c>
      <c r="DD40" s="86" t="n">
        <v>16</v>
      </c>
      <c r="DE40" s="84" t="n">
        <v>1</v>
      </c>
      <c r="DF40" s="43" t="n">
        <f aca="false">(ABS(W40)*X40+ABS(Y40)*Z40+ABS(AA40)*AB40+ABS(AC40)*AD40+ABS(AE40)*AF40+ABS(AG40)*AH40+ABS(AI40)*AJ40+ABS(AK40)*AL40+ABS(AM40)*AN40+ABS(AO40)*AP40+ABS(AQ40)*AR40+ABS(AS40)*AT40+ABS(AU40)*AV40+ABS(AW40)*AX40+ABS(AY40)*AZ40+ABS(BA40)*BB40+ABS(BC40)*BD40+ABS(BE40)*BF40+ABS(BG40)*BH40+ABS(BI40)*BJ40)</f>
        <v>0</v>
      </c>
      <c r="DG40" s="43" t="n">
        <f aca="false">ABS(BK40)*BL40+ABS(BM40)*BN40+ABS(BO40)*BP40+ABS(BQ40)*BR40+ABS(BS40)*BT40+ABS(BU40)*BV40+ABS(BW40)*BX40+ABS(BY40)*BZ40+ABS(CA40)*CB40+ABS(CC40)*CD40+ABS(CE40)*CF40+ABS(CG40)*CH40+ABS(CI40)*CJ40+ABS(CK40)*CL40+ABS(CM40)*CN40+ABS(CO40)*CP40+ABS(CQ40)*CR40+ABS(CS40)*CT40+ABS(CU40)*CV40+ABS(CW40)*CX40</f>
        <v>0</v>
      </c>
      <c r="DH40" s="43" t="n">
        <f aca="false">((H40-X40)*W40+(H40-Z40)*Y40+(H40-AB40)*AA40+(H40-AD40)*AC40+(H40-AF40)*AE40+(H40-AH40)*AG40+(H40-AJ40)*AI40+(H40-AL40)*AK40+(H40-AN40)*AM40+(H40-AP40)*AO40+(H40-AR40)*AQ40+(H40-AT40)*AS40+(H40-AV40)*AU40+(H40-AX40)*AW40+(H40-AZ40)*AY40+(H40-BB40)*BA40+(H40-BD40)*BC40+(H40-BF40)*BE40+(H40-BH40)*BG40+(H40-BJ40)*BI40)*DD40*DE40</f>
        <v>0</v>
      </c>
      <c r="DI40" s="43" t="n">
        <f aca="false">(((H40-BL40)*BK40+(H40-BN40)*BM40+(H40-BP40)*BO40+(H40-BR40)*BQ40+(H40-BT40)*BS40+(H40-BV40)*BU40+(H40-BX40)*BW40+(H40-BZ40)*BY40+(H40-CB40)*CA40+(H40-CD40)*CC40+(H40-CF40)*CE40+(H40-CH40)*CG40+(H40-CJ40)*CH40+(H40-CL40)*CK40+(H40-CN40)*CM40+(H40-CP40)*CO40+(H40-CR40)*CQ40+(H40-CT40)*CS40+(H40-CV40)*CU40+(H40-CX40)*CW40)*DD40*DE40)</f>
        <v>0</v>
      </c>
      <c r="DK40" s="85" t="n">
        <v>37163</v>
      </c>
      <c r="DL40" s="21" t="n">
        <v>0</v>
      </c>
      <c r="DM40" s="21" t="n">
        <f aca="false">[5]NEPOOL!$L27</f>
        <v>-1189.7</v>
      </c>
      <c r="DN40" s="21" t="n">
        <f aca="false">IF(AND(WEEKDAY(DK40)&gt;1,WEEKDAY(DK40)&lt;7),1,0)</f>
        <v>0</v>
      </c>
    </row>
    <row r="41" customFormat="false" ht="18.75" hidden="false" customHeight="false" outlineLevel="0" collapsed="false">
      <c r="A41" s="58" t="n">
        <f aca="false">'NYISO A'!A41</f>
        <v>37164</v>
      </c>
      <c r="B41" s="59" t="n">
        <f aca="false">+[3]NYZoneJ!$L32/16</f>
        <v>0</v>
      </c>
      <c r="C41" s="101" t="n">
        <f aca="false">CY41</f>
        <v>0</v>
      </c>
      <c r="D41" s="87" t="n">
        <f aca="false">(IF(MONTH(A41)=MONTH(EOMONTH(TradeDate,1)),$AP$70,0)*VLOOKUP(A41,$DK$12:$DN$43,4))</f>
        <v>0</v>
      </c>
      <c r="E41" s="62" t="n">
        <f aca="false">B41+C41+D41</f>
        <v>0</v>
      </c>
      <c r="F41" s="63" t="n">
        <f aca="false">[3]NYZoneJ!$C32</f>
        <v>47</v>
      </c>
      <c r="G41" s="88" t="n">
        <f aca="false">IF($Q$9,Q41,P41)</f>
        <v>0</v>
      </c>
      <c r="H41" s="89" t="n">
        <f aca="false">F41+G41</f>
        <v>47</v>
      </c>
      <c r="I41" s="87" t="n">
        <f aca="false">B41*G41*DD41</f>
        <v>0</v>
      </c>
      <c r="J41" s="66" t="n">
        <f aca="false">DH41+DI41</f>
        <v>0</v>
      </c>
      <c r="K41" s="90" t="n">
        <f aca="false">I41+J41</f>
        <v>0</v>
      </c>
      <c r="L41" s="24"/>
      <c r="M41" s="67" t="n">
        <f aca="false">A41</f>
        <v>37164</v>
      </c>
      <c r="N41" s="92" t="n">
        <v>47</v>
      </c>
      <c r="O41" s="92" t="n">
        <v>47</v>
      </c>
      <c r="P41" s="69" t="n">
        <f aca="false">AVERAGE(N41:O41)-F41</f>
        <v>0</v>
      </c>
      <c r="Q41" s="70"/>
      <c r="R41" s="91" t="n">
        <f aca="false">H41</f>
        <v>47</v>
      </c>
      <c r="S41" s="24"/>
      <c r="T41" s="24"/>
      <c r="U41" s="72"/>
      <c r="V41" s="73" t="n">
        <f aca="false">A41</f>
        <v>37164</v>
      </c>
      <c r="W41" s="74"/>
      <c r="X41" s="293"/>
      <c r="Y41" s="77"/>
      <c r="Z41" s="78"/>
      <c r="AA41" s="77"/>
      <c r="AB41" s="78"/>
      <c r="AC41" s="77"/>
      <c r="AD41" s="78"/>
      <c r="AE41" s="77"/>
      <c r="AF41" s="78"/>
      <c r="AG41" s="77"/>
      <c r="AH41" s="76"/>
      <c r="AI41" s="77"/>
      <c r="AJ41" s="78"/>
      <c r="AK41" s="77"/>
      <c r="AL41" s="78"/>
      <c r="AM41" s="77"/>
      <c r="AN41" s="78"/>
      <c r="AO41" s="77"/>
      <c r="AP41" s="78"/>
      <c r="AQ41" s="77"/>
      <c r="AR41" s="78"/>
      <c r="AS41" s="77"/>
      <c r="AT41" s="160"/>
      <c r="AU41" s="94"/>
      <c r="AV41" s="95"/>
      <c r="AW41" s="96"/>
      <c r="AX41" s="75"/>
      <c r="AY41" s="81"/>
      <c r="AZ41" s="75"/>
      <c r="BA41" s="81"/>
      <c r="BB41" s="75"/>
      <c r="BC41" s="81"/>
      <c r="BD41" s="75"/>
      <c r="BE41" s="81"/>
      <c r="BF41" s="75"/>
      <c r="BG41" s="81"/>
      <c r="BH41" s="75"/>
      <c r="BI41" s="81"/>
      <c r="BJ41" s="75"/>
      <c r="BK41" s="81"/>
      <c r="BL41" s="75"/>
      <c r="BM41" s="81"/>
      <c r="BN41" s="75"/>
      <c r="BO41" s="81"/>
      <c r="BP41" s="75"/>
      <c r="BQ41" s="81"/>
      <c r="BR41" s="75"/>
      <c r="BS41" s="81"/>
      <c r="BT41" s="75"/>
      <c r="BU41" s="81"/>
      <c r="BV41" s="75"/>
      <c r="BW41" s="81"/>
      <c r="BX41" s="75"/>
      <c r="BY41" s="81"/>
      <c r="BZ41" s="75"/>
      <c r="CA41" s="81"/>
      <c r="CB41" s="75"/>
      <c r="CC41" s="81"/>
      <c r="CD41" s="75"/>
      <c r="CE41" s="81"/>
      <c r="CF41" s="75"/>
      <c r="CG41" s="81"/>
      <c r="CH41" s="75"/>
      <c r="CI41" s="81"/>
      <c r="CJ41" s="75"/>
      <c r="CK41" s="81"/>
      <c r="CL41" s="75"/>
      <c r="CM41" s="81"/>
      <c r="CN41" s="75"/>
      <c r="CO41" s="81"/>
      <c r="CP41" s="75"/>
      <c r="CQ41" s="81"/>
      <c r="CR41" s="75"/>
      <c r="CS41" s="81"/>
      <c r="CT41" s="75"/>
      <c r="CU41" s="81"/>
      <c r="CV41" s="75"/>
      <c r="CW41" s="81"/>
      <c r="CX41" s="75"/>
      <c r="CY41" s="82" t="n">
        <f aca="false">W41+Y41+AA41+AC41+AE41+AG41+AI41+AK41+AM41+AO41+AQ41+AS41+AU41+AW41+AY41+BA41+BC41+BE41+BG41+BI41+BK41+BM41+BO41+BQ41+BS41+BU41+BW41+BY41+CA41+CC41+CE41+CG41+CI41+CK41+CM41+CO41+CQ41+CS41+CU41+CW41</f>
        <v>0</v>
      </c>
      <c r="CZ41" s="83" t="n">
        <f aca="false">IF(AND(CY41=0,DC41=0),0,(DF41+DG41)/DC41)</f>
        <v>0</v>
      </c>
      <c r="DA41" s="84" t="n">
        <f aca="false">DC41*DD41</f>
        <v>0</v>
      </c>
      <c r="DB41" s="85" t="n">
        <f aca="false">V41</f>
        <v>37164</v>
      </c>
      <c r="DC41" s="84" t="n">
        <f aca="false">ABS(W41)+ABS(Y41)+ABS(AA41)+ABS(AC41)+ABS(AE41)+ABS(AG41)+ABS(AI41)+ABS(AK41)+ABS(AM41)+ABS(AO41)+ABS(AQ41)+ABS(AS41)+ABS(AU41)+ABS(AW41)+ABS(AY41)+ABS(BA41)+ABS(BC41)+ABS(BE41)+ABS(BG41)+ABS(BI41)+ABS(BK41)+ABS(BM41)+ABS(BO41)+ABS(BQ41)+ABS(BS41)+ABS(BU41)+ABS(BW41)+ABS(BY41)+ABS(CA41)+ABS(CC41)+ABS(CE41)+ABS(CG41)+ABS(CI41)+ABS(CK41)+ABS(CM41)+ABS(CO41)+ABS(CQ41)+ABS(CS41)+ABS(CU41)+ABS(CW41)</f>
        <v>0</v>
      </c>
      <c r="DD41" s="86" t="n">
        <v>16</v>
      </c>
      <c r="DE41" s="84" t="n">
        <v>1</v>
      </c>
      <c r="DF41" s="43" t="n">
        <f aca="false">(ABS(W41)*X41+ABS(Y41)*Z41+ABS(AA41)*AB41+ABS(AC41)*AD41+ABS(AE41)*AF41+ABS(AG41)*AH41+ABS(AI41)*AJ41+ABS(AK41)*AL41+ABS(AM41)*AN41+ABS(AO41)*AP41+ABS(AQ41)*AR41+ABS(AS41)*AT41+ABS(AU41)*AV41+ABS(AW41)*AX41+ABS(AY41)*AZ41+ABS(BA41)*BB41+ABS(BC41)*BD41+ABS(BE41)*BF41+ABS(BG41)*BH41+ABS(BI41)*BJ41)</f>
        <v>0</v>
      </c>
      <c r="DG41" s="43" t="n">
        <f aca="false">ABS(BK41)*BL41+ABS(BM41)*BN41+ABS(BO41)*BP41+ABS(BQ41)*BR41+ABS(BS41)*BT41+ABS(BU41)*BV41+ABS(BW41)*BX41+ABS(BY41)*BZ41+ABS(CA41)*CB41+ABS(CC41)*CD41+ABS(CE41)*CF41+ABS(CG41)*CH41+ABS(CI41)*CJ41+ABS(CK41)*CL41+ABS(CM41)*CN41+ABS(CO41)*CP41+ABS(CQ41)*CR41+ABS(CS41)*CT41+ABS(CU41)*CV41+ABS(CW41)*CX41</f>
        <v>0</v>
      </c>
      <c r="DH41" s="43" t="n">
        <f aca="false">((H41-X41)*W41+(H41-Z41)*Y41+(H41-AB41)*AA41+(H41-AD41)*AC41+(H41-AF41)*AE41+(H41-AH41)*AG41+(H41-AJ41)*AI41+(H41-AL41)*AK41+(H41-AN41)*AM41+(H41-AP41)*AO41+(H41-AR41)*AQ41+(H41-AT41)*AS41+(H41-AV41)*AU41+(H41-AX41)*AW41+(H41-AZ41)*AY41+(H41-BB41)*BA41+(H41-BD41)*BC41+(H41-BF41)*BE41+(H41-BH41)*BG41+(H41-BJ41)*BI41)*DD41*DE41</f>
        <v>0</v>
      </c>
      <c r="DI41" s="43" t="n">
        <f aca="false">(((H41-BL41)*BK41+(H41-BN41)*BM41+(H41-BP41)*BO41+(H41-BR41)*BQ41+(H41-BT41)*BS41+(H41-BV41)*BU41+(H41-BX41)*BW41+(H41-BZ41)*BY41+(H41-CB41)*CA41+(H41-CD41)*CC41+(H41-CF41)*CE41+(H41-CH41)*CG41+(H41-CJ41)*CH41+(H41-CL41)*CK41+(H41-CN41)*CM41+(H41-CP41)*CO41+(H41-CR41)*CQ41+(H41-CT41)*CS41+(H41-CV41)*CU41+(H41-CX41)*CW41)*DD41*DE41)</f>
        <v>0</v>
      </c>
      <c r="DK41" s="85" t="n">
        <v>37164</v>
      </c>
      <c r="DL41" s="21" t="n">
        <v>0</v>
      </c>
      <c r="DM41" s="21" t="n">
        <f aca="false">[5]NEPOOL!$L28</f>
        <v>0</v>
      </c>
      <c r="DN41" s="21" t="n">
        <f aca="false">IF(AND(WEEKDAY(DK41)&gt;1,WEEKDAY(DK41)&lt;7),1,0)</f>
        <v>0</v>
      </c>
    </row>
    <row r="42" customFormat="false" ht="18.75" hidden="false" customHeight="false" outlineLevel="0" collapsed="false">
      <c r="A42" s="58" t="n">
        <f aca="false">'NYISO A'!A42</f>
        <v>37165</v>
      </c>
      <c r="B42" s="59" t="n">
        <f aca="false">+[3]NYZoneJ!$L33/16</f>
        <v>1142.265625</v>
      </c>
      <c r="C42" s="60" t="n">
        <f aca="false">CY42</f>
        <v>0</v>
      </c>
      <c r="D42" s="61" t="n">
        <f aca="false">(IF(MONTH(A42)=MONTH(EOMONTH(TradeDate,1)),$AP$70,0)*VLOOKUP(A42,$DK$12:$DN$43,4))</f>
        <v>0</v>
      </c>
      <c r="E42" s="62" t="n">
        <f aca="false">B42+C42+D42</f>
        <v>1142.265625</v>
      </c>
      <c r="F42" s="63" t="n">
        <f aca="false">[3]NYZoneJ!$C33</f>
        <v>45.75</v>
      </c>
      <c r="G42" s="63" t="n">
        <f aca="false">IF($Q$9,Q42,P42)</f>
        <v>0.75</v>
      </c>
      <c r="H42" s="64" t="n">
        <f aca="false">F42+G42</f>
        <v>46.5</v>
      </c>
      <c r="I42" s="65" t="n">
        <f aca="false">B42*G42*DD42</f>
        <v>13707.1875</v>
      </c>
      <c r="J42" s="66" t="n">
        <f aca="false">DH42+DI42</f>
        <v>0</v>
      </c>
      <c r="K42" s="66" t="n">
        <f aca="false">I42+J42</f>
        <v>13707.1875</v>
      </c>
      <c r="L42" s="24"/>
      <c r="M42" s="67" t="n">
        <f aca="false">A42</f>
        <v>37165</v>
      </c>
      <c r="N42" s="92" t="n">
        <v>46.5</v>
      </c>
      <c r="O42" s="92" t="n">
        <v>46.5</v>
      </c>
      <c r="P42" s="69" t="n">
        <f aca="false">AVERAGE(N42:O42)-F42</f>
        <v>0.75</v>
      </c>
      <c r="Q42" s="70"/>
      <c r="R42" s="91" t="n">
        <f aca="false">H42</f>
        <v>46.5</v>
      </c>
      <c r="S42" s="24"/>
      <c r="T42" s="24"/>
      <c r="U42" s="72"/>
      <c r="V42" s="73" t="n">
        <f aca="false">A42</f>
        <v>37165</v>
      </c>
      <c r="W42" s="74"/>
      <c r="X42" s="293"/>
      <c r="Y42" s="77"/>
      <c r="Z42" s="78"/>
      <c r="AA42" s="77"/>
      <c r="AB42" s="99"/>
      <c r="AC42" s="77"/>
      <c r="AD42" s="99"/>
      <c r="AE42" s="77"/>
      <c r="AF42" s="78"/>
      <c r="AG42" s="77"/>
      <c r="AH42" s="78"/>
      <c r="AI42" s="77"/>
      <c r="AJ42" s="78"/>
      <c r="AK42" s="77"/>
      <c r="AL42" s="78"/>
      <c r="AM42" s="77"/>
      <c r="AN42" s="78"/>
      <c r="AO42" s="77"/>
      <c r="AP42" s="78"/>
      <c r="AQ42" s="77"/>
      <c r="AR42" s="78"/>
      <c r="AS42" s="77"/>
      <c r="AT42" s="160"/>
      <c r="AU42" s="94"/>
      <c r="AV42" s="95"/>
      <c r="AW42" s="96"/>
      <c r="AX42" s="75"/>
      <c r="AY42" s="81"/>
      <c r="AZ42" s="75"/>
      <c r="BA42" s="81"/>
      <c r="BB42" s="75"/>
      <c r="BC42" s="81"/>
      <c r="BD42" s="75"/>
      <c r="BE42" s="81"/>
      <c r="BF42" s="75"/>
      <c r="BG42" s="81"/>
      <c r="BH42" s="75"/>
      <c r="BI42" s="81"/>
      <c r="BJ42" s="75"/>
      <c r="BK42" s="81"/>
      <c r="BL42" s="75"/>
      <c r="BM42" s="81"/>
      <c r="BN42" s="75"/>
      <c r="BO42" s="81"/>
      <c r="BP42" s="75"/>
      <c r="BQ42" s="81"/>
      <c r="BR42" s="75"/>
      <c r="BS42" s="81"/>
      <c r="BT42" s="75"/>
      <c r="BU42" s="81"/>
      <c r="BV42" s="75"/>
      <c r="BW42" s="81"/>
      <c r="BX42" s="75"/>
      <c r="BY42" s="81"/>
      <c r="BZ42" s="75"/>
      <c r="CA42" s="81"/>
      <c r="CB42" s="75"/>
      <c r="CC42" s="81"/>
      <c r="CD42" s="75"/>
      <c r="CE42" s="81"/>
      <c r="CF42" s="75"/>
      <c r="CG42" s="81"/>
      <c r="CH42" s="75"/>
      <c r="CI42" s="81"/>
      <c r="CJ42" s="75"/>
      <c r="CK42" s="81"/>
      <c r="CL42" s="75"/>
      <c r="CM42" s="81"/>
      <c r="CN42" s="75"/>
      <c r="CO42" s="81"/>
      <c r="CP42" s="75"/>
      <c r="CQ42" s="81"/>
      <c r="CR42" s="75"/>
      <c r="CS42" s="81"/>
      <c r="CT42" s="75"/>
      <c r="CU42" s="81"/>
      <c r="CV42" s="75"/>
      <c r="CW42" s="81"/>
      <c r="CX42" s="75"/>
      <c r="CY42" s="82" t="n">
        <f aca="false">W42+Y42+AA42+AC42+AE42+AG42+AI42+AK42+AM42+AO42+AQ42+AS42+AU42+AW42+AY42+BA42+BC42+BE42+BG42+BI42+BK42+BM42+BO42+BQ42+BS42+BU42+BW42+BY42+CA42+CC42+CE42+CG42+CI42+CK42+CM42+CO42+CQ42+CS42+CU42+CW42</f>
        <v>0</v>
      </c>
      <c r="CZ42" s="83" t="n">
        <f aca="false">IF(AND(CY42=0,DC42=0),0,(DF42+DG42)/DC42)</f>
        <v>0</v>
      </c>
      <c r="DA42" s="84" t="n">
        <f aca="false">DC42*DD42</f>
        <v>0</v>
      </c>
      <c r="DB42" s="85" t="n">
        <f aca="false">V42</f>
        <v>37165</v>
      </c>
      <c r="DC42" s="84" t="n">
        <f aca="false">ABS(W42)+ABS(Y42)+ABS(AA42)+ABS(AC42)+ABS(AE42)+ABS(AG42)+ABS(AI42)+ABS(AK42)+ABS(AM42)+ABS(AO42)+ABS(AQ42)+ABS(AS42)+ABS(AU42)+ABS(AW42)+ABS(AY42)+ABS(BA42)+ABS(BC42)+ABS(BE42)+ABS(BG42)+ABS(BI42)+ABS(BK42)+ABS(BM42)+ABS(BO42)+ABS(BQ42)+ABS(BS42)+ABS(BU42)+ABS(BW42)+ABS(BY42)+ABS(CA42)+ABS(CC42)+ABS(CE42)+ABS(CG42)+ABS(CI42)+ABS(CK42)+ABS(CM42)+ABS(CO42)+ABS(CQ42)+ABS(CS42)+ABS(CU42)+ABS(CW42)</f>
        <v>0</v>
      </c>
      <c r="DD42" s="86" t="n">
        <v>16</v>
      </c>
      <c r="DE42" s="84" t="n">
        <v>1</v>
      </c>
      <c r="DF42" s="43" t="n">
        <f aca="false">(ABS(W42)*X42+ABS(Y42)*Z42+ABS(AA42)*AB42+ABS(AC42)*AD42+ABS(AE42)*AF42+ABS(AG42)*AH42+ABS(AI42)*AJ42+ABS(AK42)*AL42+ABS(AM42)*AN42+ABS(AO42)*AP42+ABS(AQ42)*AR42+ABS(AS42)*AT42+ABS(AU42)*AV42+ABS(AW42)*AX42+ABS(AY42)*AZ42+ABS(BA42)*BB42+ABS(BC42)*BD42+ABS(BE42)*BF42+ABS(BG42)*BH42+ABS(BI42)*BJ42)</f>
        <v>0</v>
      </c>
      <c r="DG42" s="43" t="n">
        <f aca="false">ABS(BK42)*BL42+ABS(BM42)*BN42+ABS(BO42)*BP42+ABS(BQ42)*BR42+ABS(BS42)*BT42+ABS(BU42)*BV42+ABS(BW42)*BX42+ABS(BY42)*BZ42+ABS(CA42)*CB42+ABS(CC42)*CD42+ABS(CE42)*CF42+ABS(CG42)*CH42+ABS(CI42)*CJ42+ABS(CK42)*CL42+ABS(CM42)*CN42+ABS(CO42)*CP42+ABS(CQ42)*CR42+ABS(CS42)*CT42+ABS(CU42)*CV42+ABS(CW42)*CX42</f>
        <v>0</v>
      </c>
      <c r="DH42" s="43" t="n">
        <f aca="false">((H42-X42)*W42+(H42-Z42)*Y42+(H42-AB42)*AA42+(H42-AD42)*AC42+(H42-AF42)*AE42+(H42-AH42)*AG42+(H42-AJ42)*AI42+(H42-AL42)*AK42+(H42-AN42)*AM42+(H42-AP42)*AO42+(H42-AR42)*AQ42+(H42-AT42)*AS42+(H42-AV42)*AU42+(H42-AX42)*AW42+(H42-AZ42)*AY42+(H42-BB42)*BA42+(H42-BD42)*BC42+(H42-BF42)*BE42+(H42-BH42)*BG42+(H42-BJ42)*BI42)*DD42*DE42</f>
        <v>0</v>
      </c>
      <c r="DI42" s="43" t="n">
        <f aca="false">(((H42-BL42)*BK42+(H42-BN42)*BM42+(H42-BP42)*BO42+(H42-BR42)*BQ42+(H42-BT42)*BS42+(H42-BV42)*BU42+(H42-BX42)*BW42+(H42-BZ42)*BY42+(H42-CB42)*CA42+(H42-CD42)*CC42+(H42-CF42)*CE42+(H42-CH42)*CG42+(H42-CJ42)*CH42+(H42-CL42)*CK42+(H42-CN42)*CM42+(H42-CP42)*CO42+(H42-CR42)*CQ42+(H42-CT42)*CS42+(H42-CV42)*CU42+(H42-CX42)*CW42)*DD42*DE42)</f>
        <v>0</v>
      </c>
      <c r="DK42" s="85" t="n">
        <v>37165</v>
      </c>
      <c r="DL42" s="21" t="n">
        <v>1142.265625</v>
      </c>
      <c r="DM42" s="21" t="n">
        <f aca="false">[5]NEPOOL!$L29</f>
        <v>-1189.7</v>
      </c>
      <c r="DN42" s="21" t="n">
        <f aca="false">IF(AND(WEEKDAY(DK42)&gt;1,WEEKDAY(DK42)&lt;7),1,0)</f>
        <v>1</v>
      </c>
      <c r="DS42" s="24"/>
      <c r="DT42" s="24"/>
    </row>
    <row r="43" customFormat="false" ht="19.5" hidden="false" customHeight="false" outlineLevel="0" collapsed="false">
      <c r="A43" s="58" t="n">
        <f aca="false">'NYISO A'!A43</f>
        <v>37195</v>
      </c>
      <c r="B43" s="101" t="n">
        <f aca="false">+[3]NYZoneJ!$L34</f>
        <v>0</v>
      </c>
      <c r="C43" s="101" t="n">
        <f aca="false">CY43*16</f>
        <v>0</v>
      </c>
      <c r="D43" s="87" t="n">
        <f aca="false">(IF(MONTH(A43)=MONTH(EOMONTH(TradeDate,1)),$AP$70,0)*VLOOKUP(A43,$DK$12:$DN$43,4))</f>
        <v>0</v>
      </c>
      <c r="E43" s="105" t="n">
        <f aca="false">B43+C43+D43</f>
        <v>0</v>
      </c>
      <c r="F43" s="63" t="n">
        <f aca="false">[3]NYZoneJ!$C34</f>
        <v>45.75</v>
      </c>
      <c r="G43" s="88" t="n">
        <f aca="false">IF($Q$9,Q43,P43)</f>
        <v>1.25</v>
      </c>
      <c r="H43" s="89" t="n">
        <f aca="false">F43+G43</f>
        <v>47</v>
      </c>
      <c r="I43" s="87" t="n">
        <f aca="false">B43*G43</f>
        <v>0</v>
      </c>
      <c r="J43" s="90" t="n">
        <f aca="false">(DH43+DI43)</f>
        <v>0</v>
      </c>
      <c r="K43" s="90" t="n">
        <f aca="false">I43+J43</f>
        <v>0</v>
      </c>
      <c r="L43" s="24"/>
      <c r="M43" s="67" t="n">
        <f aca="false">A43</f>
        <v>37195</v>
      </c>
      <c r="N43" s="92" t="n">
        <v>47</v>
      </c>
      <c r="O43" s="92" t="n">
        <v>47</v>
      </c>
      <c r="P43" s="69" t="n">
        <f aca="false">AVERAGE(N43:O43)-F43</f>
        <v>1.25</v>
      </c>
      <c r="Q43" s="70"/>
      <c r="R43" s="91" t="n">
        <f aca="false">H43</f>
        <v>47</v>
      </c>
      <c r="S43" s="24"/>
      <c r="T43" s="24"/>
      <c r="U43" s="72"/>
      <c r="V43" s="67" t="n">
        <f aca="false">A43</f>
        <v>37195</v>
      </c>
      <c r="W43" s="74"/>
      <c r="X43" s="293"/>
      <c r="Y43" s="108"/>
      <c r="Z43" s="110"/>
      <c r="AA43" s="108"/>
      <c r="AB43" s="110"/>
      <c r="AC43" s="108"/>
      <c r="AD43" s="110"/>
      <c r="AE43" s="108"/>
      <c r="AF43" s="78"/>
      <c r="AG43" s="108"/>
      <c r="AH43" s="78"/>
      <c r="AI43" s="108"/>
      <c r="AJ43" s="110"/>
      <c r="AK43" s="108"/>
      <c r="AL43" s="110"/>
      <c r="AM43" s="108"/>
      <c r="AN43" s="110"/>
      <c r="AO43" s="108"/>
      <c r="AP43" s="110"/>
      <c r="AQ43" s="108"/>
      <c r="AR43" s="110"/>
      <c r="AS43" s="108"/>
      <c r="AT43" s="273"/>
      <c r="AU43" s="111"/>
      <c r="AV43" s="112"/>
      <c r="AW43" s="266"/>
      <c r="AX43" s="114"/>
      <c r="AY43" s="113"/>
      <c r="AZ43" s="114"/>
      <c r="BA43" s="113"/>
      <c r="BB43" s="114"/>
      <c r="BC43" s="113"/>
      <c r="BD43" s="114"/>
      <c r="BE43" s="113"/>
      <c r="BF43" s="114"/>
      <c r="BG43" s="113"/>
      <c r="BH43" s="114"/>
      <c r="BI43" s="113"/>
      <c r="BJ43" s="114"/>
      <c r="BK43" s="113"/>
      <c r="BL43" s="114"/>
      <c r="BM43" s="113"/>
      <c r="BN43" s="114"/>
      <c r="BO43" s="113"/>
      <c r="BP43" s="114"/>
      <c r="BQ43" s="113"/>
      <c r="BR43" s="114"/>
      <c r="BS43" s="113"/>
      <c r="BT43" s="114"/>
      <c r="BU43" s="113"/>
      <c r="BV43" s="114"/>
      <c r="BW43" s="113"/>
      <c r="BX43" s="114"/>
      <c r="BY43" s="113"/>
      <c r="BZ43" s="114"/>
      <c r="CA43" s="113"/>
      <c r="CB43" s="114"/>
      <c r="CC43" s="113"/>
      <c r="CD43" s="114"/>
      <c r="CE43" s="113"/>
      <c r="CF43" s="114"/>
      <c r="CG43" s="113"/>
      <c r="CH43" s="114"/>
      <c r="CI43" s="113"/>
      <c r="CJ43" s="114"/>
      <c r="CK43" s="113"/>
      <c r="CL43" s="114"/>
      <c r="CM43" s="113"/>
      <c r="CN43" s="114"/>
      <c r="CO43" s="113"/>
      <c r="CP43" s="114"/>
      <c r="CQ43" s="113"/>
      <c r="CR43" s="114"/>
      <c r="CS43" s="113"/>
      <c r="CT43" s="114"/>
      <c r="CU43" s="113"/>
      <c r="CV43" s="114"/>
      <c r="CW43" s="113"/>
      <c r="CX43" s="114"/>
      <c r="CY43" s="115" t="n">
        <f aca="false">W43+Y43+AA43+AC43+AE43+AG43+AI43+AK43+AM43+AO43+AQ43+AS43+AU43+AW43+AY43+BA43+BC43+BE43+BG43+BI43+BK43+BM43+BO43+BQ43+BS43+BU43+BW43+BY43+CA43+CC43+CE43+CG43+CI43+CK43+CM43+CO43+CQ43+CS43+CU43+CW43</f>
        <v>0</v>
      </c>
      <c r="CZ43" s="116" t="n">
        <f aca="false">IF(AND(CY43=0,DC43=0),0,(DF43+DG43)/DC43)</f>
        <v>0</v>
      </c>
      <c r="DA43" s="84" t="n">
        <f aca="false">DC43*DD43</f>
        <v>0</v>
      </c>
      <c r="DB43" s="85" t="n">
        <f aca="false">V43</f>
        <v>37195</v>
      </c>
      <c r="DC43" s="84" t="n">
        <f aca="false">ABS(W43)+ABS(Y43)+ABS(AA43)+ABS(AC43)+ABS(AE43)+ABS(AG43)+ABS(AI43)+ABS(AK43)+ABS(AM43)+ABS(AO43)+ABS(AQ43)+ABS(AS43)+ABS(AU43)+ABS(AW43)+ABS(AY43)+ABS(BA43)+ABS(BC43)+ABS(BE43)+ABS(BG43)+ABS(BI43)+ABS(BK43)+ABS(BM43)+ABS(BO43)+ABS(BQ43)+ABS(BS43)+ABS(BU43)+ABS(BW43)+ABS(BY43)+ABS(CA43)+ABS(CC43)+ABS(CE43)+ABS(CG43)+ABS(CI43)+ABS(CK43)+ABS(CM43)+ABS(CO43)+ABS(CQ43)+ABS(CS43)+ABS(CU43)+ABS(CW43)</f>
        <v>0</v>
      </c>
      <c r="DD43" s="86" t="n">
        <v>16</v>
      </c>
      <c r="DE43" s="84" t="n">
        <v>1</v>
      </c>
      <c r="DF43" s="43" t="n">
        <f aca="false">(ABS(W43)*X43+ABS(Y43)*Z43+ABS(AA43)*AB43+ABS(AC43)*AD43+ABS(AE43)*AF43+ABS(AG43)*AH43+ABS(AI43)*AJ43+ABS(AK43)*AL43+ABS(AM43)*AN43+ABS(AO43)*AP43+ABS(AQ43)*AR43+ABS(AS43)*AT43+ABS(AU43)*AV43+ABS(AW43)*AX43+ABS(AY43)*AZ43+ABS(BA43)*BB43+ABS(BC43)*BD43+ABS(BE43)*BF43+ABS(BG43)*BH43+ABS(BI43)*BJ43)</f>
        <v>0</v>
      </c>
      <c r="DG43" s="43" t="n">
        <f aca="false">ABS(BK43)*BL43+ABS(BM43)*BN43+ABS(BO43)*BP43+ABS(BQ43)*BR43+ABS(BS43)*BT43+ABS(BU43)*BV43+ABS(BW43)*BX43+ABS(BY43)*BZ43+ABS(CA43)*CB43+ABS(CC43)*CD43+ABS(CE43)*CF43+ABS(CG43)*CH43+ABS(CI43)*CJ43+ABS(CK43)*CL43+ABS(CM43)*CN43+ABS(CO43)*CP43+ABS(CQ43)*CR43+ABS(CS43)*CT43+ABS(CU43)*CV43+ABS(CW43)*CX43</f>
        <v>0</v>
      </c>
      <c r="DH43" s="43" t="n">
        <f aca="false">((H43-X43)*W43+(H43-Z43)*Y43+(H43-AB43)*AA43+(H43-AD43)*AC43+(H43-AF43)*AE43+(H43-AH43)*AG43+(H43-AJ43)*AI43+(H43-AL43)*AK43+(H43-AN43)*AM43+(H43-AP43)*AO43+(H43-AR43)*AQ43+(H43-AT43)*AS43+(H43-AV43)*AU43+(H43-AX43)*AW43+(H43-AZ43)*AY43+(H43-BB43)*BA43+(H43-BD43)*BC43+(H43-BF43)*BE43+(H43-BH43)*BG43+(H43-BJ43)*BI43)*DD43*DE43</f>
        <v>0</v>
      </c>
      <c r="DI43" s="43" t="n">
        <f aca="false">(((H43-BL43)*BK43+(H43-BN43)*BM43+(H43-BP43)*BO43+(H43-BR43)*BQ43+(H43-BT43)*BS43+(H43-BV43)*BU43+(H43-BX43)*BW43+(H43-BZ43)*BY43+(H43-CB43)*CA43+(H43-CD43)*CC43+(H43-CF43)*CE43+(H43-CH43)*CG43+(H43-CJ43)*CH43+(H43-CL43)*CK43+(H43-CN43)*CM43+(H43-CP43)*CO43+(H43-CR43)*CQ43+(H43-CT43)*CS43+(H43-CV43)*CU43+(H43-CX43)*CW43)*DD43*DE43)</f>
        <v>0</v>
      </c>
      <c r="DK43" s="85" t="n">
        <v>37195</v>
      </c>
      <c r="DL43" s="21" t="n">
        <v>0</v>
      </c>
      <c r="DM43" s="21" t="n">
        <f aca="false">[5]NEPOOL!$L30</f>
        <v>-1189.7</v>
      </c>
      <c r="DN43" s="21" t="n">
        <v>1</v>
      </c>
      <c r="DR43" s="117" t="s">
        <v>79</v>
      </c>
      <c r="DS43" s="24"/>
      <c r="DT43" s="24"/>
    </row>
    <row r="44" customFormat="false" ht="18.75" hidden="false" customHeight="false" outlineLevel="0" collapsed="false">
      <c r="A44" s="118" t="n">
        <f aca="false">'NYISO A'!A44</f>
        <v>37196</v>
      </c>
      <c r="B44" s="267" t="n">
        <f aca="false">+[3]NYZoneJ!$L35/16/DR44</f>
        <v>49.5244896298363</v>
      </c>
      <c r="C44" s="120" t="n">
        <f aca="false">CY44</f>
        <v>0</v>
      </c>
      <c r="D44" s="121" t="n">
        <f aca="false">(IF(MONTH(A44)=MONTH(EOMONTH(TradeDate,1)),$AP$70,0)*VLOOKUP(A44,$DK$12:$DN$43,4))</f>
        <v>0</v>
      </c>
      <c r="E44" s="122" t="n">
        <f aca="false">B44+C44+D44</f>
        <v>49.5244896298363</v>
      </c>
      <c r="F44" s="123" t="n">
        <f aca="false">[3]NYZoneJ!$C35</f>
        <v>45.75</v>
      </c>
      <c r="G44" s="295" t="n">
        <f aca="false">IF($Q$9,Q44,P44)</f>
        <v>0.75</v>
      </c>
      <c r="H44" s="125" t="n">
        <f aca="false">F44+G44</f>
        <v>46.5</v>
      </c>
      <c r="I44" s="296" t="n">
        <f aca="false">B44*G44*DD44*DR44</f>
        <v>12480.1713867188</v>
      </c>
      <c r="J44" s="127" t="n">
        <f aca="false">(DH44+DI44)*$DR44</f>
        <v>0</v>
      </c>
      <c r="K44" s="297" t="n">
        <f aca="false">I44+J44</f>
        <v>12480.1713867188</v>
      </c>
      <c r="L44" s="24"/>
      <c r="M44" s="128" t="n">
        <f aca="false">A44</f>
        <v>37196</v>
      </c>
      <c r="N44" s="269" t="n">
        <v>46.5</v>
      </c>
      <c r="O44" s="269" t="n">
        <v>46.5</v>
      </c>
      <c r="P44" s="129" t="n">
        <f aca="false">AVERAGE(N44:O44)-F44</f>
        <v>0.75</v>
      </c>
      <c r="Q44" s="130"/>
      <c r="R44" s="71" t="n">
        <f aca="false">H44</f>
        <v>46.5</v>
      </c>
      <c r="S44" s="24"/>
      <c r="T44" s="24"/>
      <c r="U44" s="131"/>
      <c r="V44" s="132" t="n">
        <f aca="false">A44</f>
        <v>37196</v>
      </c>
      <c r="W44" s="133"/>
      <c r="X44" s="135"/>
      <c r="Y44" s="133"/>
      <c r="Z44" s="135"/>
      <c r="AA44" s="133"/>
      <c r="AB44" s="135"/>
      <c r="AC44" s="133"/>
      <c r="AD44" s="135"/>
      <c r="AE44" s="137"/>
      <c r="AF44" s="136"/>
      <c r="AG44" s="137"/>
      <c r="AH44" s="136"/>
      <c r="AI44" s="137"/>
      <c r="AJ44" s="136"/>
      <c r="AK44" s="137"/>
      <c r="AL44" s="136"/>
      <c r="AM44" s="137"/>
      <c r="AN44" s="136"/>
      <c r="AO44" s="137"/>
      <c r="AP44" s="136"/>
      <c r="AQ44" s="137"/>
      <c r="AR44" s="136"/>
      <c r="AS44" s="137"/>
      <c r="AT44" s="138"/>
      <c r="AU44" s="139"/>
      <c r="AV44" s="140"/>
      <c r="AW44" s="141"/>
      <c r="AX44" s="142"/>
      <c r="AY44" s="143"/>
      <c r="AZ44" s="142"/>
      <c r="BA44" s="143"/>
      <c r="BB44" s="142"/>
      <c r="BC44" s="143"/>
      <c r="BD44" s="142"/>
      <c r="BE44" s="143"/>
      <c r="BF44" s="142"/>
      <c r="BG44" s="143"/>
      <c r="BH44" s="142"/>
      <c r="BI44" s="143"/>
      <c r="BJ44" s="142"/>
      <c r="BK44" s="143"/>
      <c r="BL44" s="142"/>
      <c r="BM44" s="143"/>
      <c r="BN44" s="142"/>
      <c r="BO44" s="143"/>
      <c r="BP44" s="142"/>
      <c r="BQ44" s="143"/>
      <c r="BR44" s="142"/>
      <c r="BS44" s="143"/>
      <c r="BT44" s="142"/>
      <c r="BU44" s="143"/>
      <c r="BV44" s="142"/>
      <c r="BW44" s="143"/>
      <c r="BX44" s="142"/>
      <c r="BY44" s="143"/>
      <c r="BZ44" s="142"/>
      <c r="CA44" s="143"/>
      <c r="CB44" s="142"/>
      <c r="CC44" s="143"/>
      <c r="CD44" s="142"/>
      <c r="CE44" s="143"/>
      <c r="CF44" s="142"/>
      <c r="CG44" s="143"/>
      <c r="CH44" s="142"/>
      <c r="CI44" s="143"/>
      <c r="CJ44" s="142"/>
      <c r="CK44" s="143"/>
      <c r="CL44" s="142"/>
      <c r="CM44" s="143"/>
      <c r="CN44" s="142"/>
      <c r="CO44" s="143"/>
      <c r="CP44" s="142"/>
      <c r="CQ44" s="143"/>
      <c r="CR44" s="142"/>
      <c r="CS44" s="143"/>
      <c r="CT44" s="142"/>
      <c r="CU44" s="143"/>
      <c r="CV44" s="142"/>
      <c r="CW44" s="143"/>
      <c r="CX44" s="142"/>
      <c r="CY44" s="144" t="n">
        <f aca="false">W44+Y44+AA44+AC44+AE44+AG44+AI44+AK44+AM44+AO44+AQ44+AS44+AU44+AW44+AY44+BA44+BC44+BE44+BG44+BI44+BK44+BM44+BO44+BQ44+BS44+BU44+BW44+BY44+CA44+CC44+CE44+CG44+CI44+CK44+CM44+CO44+CQ44+CS44+CU44+CW44</f>
        <v>0</v>
      </c>
      <c r="CZ44" s="145" t="n">
        <f aca="false">IF(AND(CY44=0,DC44=0),0,(DF44+DG44)/DC44)</f>
        <v>0</v>
      </c>
      <c r="DA44" s="84" t="n">
        <f aca="false">DC44*DD44</f>
        <v>0</v>
      </c>
      <c r="DB44" s="85" t="n">
        <f aca="false">V44</f>
        <v>37196</v>
      </c>
      <c r="DC44" s="84" t="n">
        <f aca="false">ABS(W44)+ABS(Y44)+ABS(AA44)+ABS(AC44)+ABS(AE44)+ABS(AG44)+ABS(AI44)+ABS(AK44)+ABS(AM44)+ABS(AO44)+ABS(AQ44)+ABS(AS44)+ABS(AU44)+ABS(AW44)+ABS(AY44)+ABS(BA44)+ABS(BC44)+ABS(BE44)+ABS(BG44)+ABS(BI44)+ABS(BK44)+ABS(BM44)+ABS(BO44)+ABS(BQ44)+ABS(BS44)+ABS(BU44)+ABS(BW44)+ABS(BY44)+ABS(CA44)+ABS(CC44)+ABS(CE44)+ABS(CG44)+ABS(CI44)+ABS(CK44)+ABS(CM44)+ABS(CO44)+ABS(CQ44)+ABS(CS44)+ABS(CU44)+ABS(CW44)</f>
        <v>0</v>
      </c>
      <c r="DD44" s="86" t="n">
        <v>16</v>
      </c>
      <c r="DE44" s="84" t="n">
        <v>1</v>
      </c>
      <c r="DF44" s="43" t="n">
        <f aca="false">(ABS(W44)*X44+ABS(Y44)*Z44+ABS(AA44)*AB44+ABS(AC44)*AD44+ABS(AE44)*AF44+ABS(AG44)*AH44+ABS(AI44)*AJ44+ABS(AK44)*AL44+ABS(AM44)*AN44+ABS(AO44)*AP44+ABS(AQ44)*AR44+ABS(AS44)*AT44+ABS(AU44)*AV44+ABS(AW44)*AX44+ABS(AY44)*AZ44+ABS(BA44)*BB44+ABS(BC44)*BD44+ABS(BE44)*BF44+ABS(BG44)*BH44+ABS(BI44)*BJ44)</f>
        <v>0</v>
      </c>
      <c r="DG44" s="43" t="n">
        <f aca="false">ABS(BK44)*BL44+ABS(BM44)*BN44+ABS(BO44)*BP44+ABS(BQ44)*BR44+ABS(BS44)*BT44+ABS(BU44)*BV44+ABS(BW44)*BX44+ABS(BY44)*BZ44+ABS(CA44)*CB44+ABS(CC44)*CD44+ABS(CE44)*CF44+ABS(CG44)*CH44+ABS(CI44)*CJ44+ABS(CK44)*CL44+ABS(CM44)*CN44+ABS(CO44)*CP44+ABS(CQ44)*CR44+ABS(CS44)*CT44+ABS(CU44)*CV44+ABS(CW44)*CX44</f>
        <v>0</v>
      </c>
      <c r="DH44" s="43" t="n">
        <f aca="false">((H44-X44)*W44+(H44-Z44)*Y44+(H44-AB44)*AA44+(H44-AD44)*AC44+(H44-AF44)*AE44+(H44-AH44)*AG44+(H44-AJ44)*AI44+(H44-AL44)*AK44+(H44-AN44)*AM44+(H44-AP44)*AO44+(H44-AR44)*AQ44+(H44-AT44)*AS44+(H44-AV44)*AU44+(H44-AX44)*AW44+(H44-AZ44)*AY44+(H44-BB44)*BA44+(H44-BD44)*BC44+(H44-BF44)*BE44+(H44-BH44)*BG44+(H44-BJ44)*BI44)*DD44*DE44</f>
        <v>0</v>
      </c>
      <c r="DI44" s="43" t="n">
        <f aca="false">(((H44-BL44)*BK44+(H44-BN44)*BM44+(H44-BP44)*BO44+(H44-BR44)*BQ44+(H44-BT44)*BS44+(H44-BV44)*BU44+(H44-BX44)*BW44+(H44-BZ44)*BY44+(H44-CB44)*CA44+(H44-CD44)*CC44+(H44-CF44)*CE44+(H44-CH44)*CG44+(H44-CJ44)*CH44+(H44-CL44)*CK44+(H44-CN44)*CM44+(H44-CP44)*CO44+(H44-CR44)*CQ44+(H44-CT44)*CS44+(H44-CV44)*CU44+(H44-CX44)*CW44)*DD44*DE44)</f>
        <v>0</v>
      </c>
      <c r="DK44" s="85" t="n">
        <v>37196</v>
      </c>
      <c r="DL44" s="21" t="n">
        <v>49.5244896298363</v>
      </c>
      <c r="DN44" s="21" t="n">
        <v>1</v>
      </c>
      <c r="DR44" s="146" t="n">
        <f aca="false">+'NYISO G'!DR44</f>
        <v>21</v>
      </c>
      <c r="DS44" s="24"/>
      <c r="DT44" s="24"/>
    </row>
    <row r="45" customFormat="false" ht="18.75" hidden="false" customHeight="false" outlineLevel="0" collapsed="false">
      <c r="A45" s="147" t="n">
        <f aca="false">'NYISO A'!A45</f>
        <v>37226</v>
      </c>
      <c r="B45" s="119" t="n">
        <f aca="false">+[3]NYZoneJ!$L36/16/DR45</f>
        <v>49.3800109863281</v>
      </c>
      <c r="C45" s="148" t="n">
        <f aca="false">CY45</f>
        <v>0</v>
      </c>
      <c r="D45" s="149" t="n">
        <f aca="false">(IF(MONTH(A45)=MONTH(EOMONTH(TradeDate,1)),$AP$70,0)*VLOOKUP(A45,$DK$12:$DN$43,4))</f>
        <v>0</v>
      </c>
      <c r="E45" s="150" t="n">
        <f aca="false">B45+C45+D45</f>
        <v>49.3800109863281</v>
      </c>
      <c r="F45" s="151" t="n">
        <f aca="false">[3]NYZoneJ!$C36</f>
        <v>45.75</v>
      </c>
      <c r="G45" s="152" t="n">
        <f aca="false">IF($Q$9,Q45,P45)</f>
        <v>0.75</v>
      </c>
      <c r="H45" s="153" t="n">
        <f aca="false">F45+G45</f>
        <v>46.5</v>
      </c>
      <c r="I45" s="298" t="n">
        <f aca="false">B45*G45*DD45*DR45</f>
        <v>11851.2026367188</v>
      </c>
      <c r="J45" s="155" t="n">
        <f aca="false">(DH45+DI45)*$DR45</f>
        <v>0</v>
      </c>
      <c r="K45" s="299" t="n">
        <f aca="false">I45+J45</f>
        <v>11851.2026367188</v>
      </c>
      <c r="L45" s="24"/>
      <c r="M45" s="157" t="n">
        <f aca="false">A45</f>
        <v>37226</v>
      </c>
      <c r="N45" s="92" t="n">
        <v>46.5</v>
      </c>
      <c r="O45" s="92" t="n">
        <v>46.5</v>
      </c>
      <c r="P45" s="69" t="n">
        <f aca="false">AVERAGE(N45:O45)-F45</f>
        <v>0.75</v>
      </c>
      <c r="Q45" s="70"/>
      <c r="R45" s="91" t="n">
        <f aca="false">H45</f>
        <v>46.5</v>
      </c>
      <c r="S45" s="24"/>
      <c r="T45" s="24"/>
      <c r="U45" s="131"/>
      <c r="V45" s="158" t="n">
        <f aca="false">A45</f>
        <v>37226</v>
      </c>
      <c r="W45" s="159"/>
      <c r="X45" s="134"/>
      <c r="Y45" s="159"/>
      <c r="Z45" s="134"/>
      <c r="AA45" s="159"/>
      <c r="AB45" s="134"/>
      <c r="AC45" s="77"/>
      <c r="AD45" s="78"/>
      <c r="AE45" s="77"/>
      <c r="AF45" s="78"/>
      <c r="AG45" s="77"/>
      <c r="AH45" s="78"/>
      <c r="AI45" s="77"/>
      <c r="AJ45" s="78"/>
      <c r="AK45" s="77"/>
      <c r="AL45" s="78"/>
      <c r="AM45" s="77"/>
      <c r="AN45" s="78"/>
      <c r="AO45" s="77"/>
      <c r="AP45" s="78"/>
      <c r="AQ45" s="77"/>
      <c r="AR45" s="78"/>
      <c r="AS45" s="77"/>
      <c r="AT45" s="160"/>
      <c r="AU45" s="94"/>
      <c r="AV45" s="95"/>
      <c r="AW45" s="96"/>
      <c r="AX45" s="75"/>
      <c r="AY45" s="81"/>
      <c r="AZ45" s="75"/>
      <c r="BA45" s="81"/>
      <c r="BB45" s="75"/>
      <c r="BC45" s="81"/>
      <c r="BD45" s="75"/>
      <c r="BE45" s="81"/>
      <c r="BF45" s="75"/>
      <c r="BG45" s="81"/>
      <c r="BH45" s="75"/>
      <c r="BI45" s="81"/>
      <c r="BJ45" s="75"/>
      <c r="BK45" s="81"/>
      <c r="BL45" s="75"/>
      <c r="BM45" s="81"/>
      <c r="BN45" s="75"/>
      <c r="BO45" s="81"/>
      <c r="BP45" s="75"/>
      <c r="BQ45" s="81"/>
      <c r="BR45" s="75"/>
      <c r="BS45" s="81"/>
      <c r="BT45" s="75"/>
      <c r="BU45" s="81"/>
      <c r="BV45" s="75"/>
      <c r="BW45" s="81"/>
      <c r="BX45" s="75"/>
      <c r="BY45" s="81"/>
      <c r="BZ45" s="75"/>
      <c r="CA45" s="81"/>
      <c r="CB45" s="75"/>
      <c r="CC45" s="81"/>
      <c r="CD45" s="75"/>
      <c r="CE45" s="81"/>
      <c r="CF45" s="75"/>
      <c r="CG45" s="81"/>
      <c r="CH45" s="75"/>
      <c r="CI45" s="81"/>
      <c r="CJ45" s="75"/>
      <c r="CK45" s="81"/>
      <c r="CL45" s="75"/>
      <c r="CM45" s="81"/>
      <c r="CN45" s="75"/>
      <c r="CO45" s="81"/>
      <c r="CP45" s="75"/>
      <c r="CQ45" s="81"/>
      <c r="CR45" s="75"/>
      <c r="CS45" s="81"/>
      <c r="CT45" s="75"/>
      <c r="CU45" s="81"/>
      <c r="CV45" s="75"/>
      <c r="CW45" s="81"/>
      <c r="CX45" s="75"/>
      <c r="CY45" s="82" t="n">
        <f aca="false">W45+Y45+AA45+AC45+AE45+AG45+AI45+AK45+AM45+AO45+AQ45+AS45+AU45+AW45+AY45+BA45+BC45+BE45+BG45+BI45+BK45+BM45+BO45+BQ45+BS45+BU45+BW45+BY45+CA45+CC45+CE45+CG45+CI45+CK45+CM45+CO45+CQ45+CS45+CU45+CW45</f>
        <v>0</v>
      </c>
      <c r="CZ45" s="83" t="n">
        <f aca="false">IF(AND(CY45=0,DC45=0),0,(DF45+DG45)/DC45)</f>
        <v>0</v>
      </c>
      <c r="DB45" s="85" t="n">
        <f aca="false">V45</f>
        <v>37226</v>
      </c>
      <c r="DC45" s="84" t="n">
        <f aca="false">ABS(W45)+ABS(Y45)+ABS(AA45)+ABS(AC45)+ABS(AE45)+ABS(AG45)+ABS(AI45)+ABS(AK45)+ABS(AM45)+ABS(AO45)+ABS(AQ45)+ABS(AS45)+ABS(AU45)+ABS(AW45)+ABS(AY45)+ABS(BA45)+ABS(BC45)+ABS(BE45)+ABS(BG45)+ABS(BI45)+ABS(BK45)+ABS(BM45)+ABS(BO45)+ABS(BQ45)+ABS(BS45)+ABS(BU45)+ABS(BW45)+ABS(BY45)+ABS(CA45)+ABS(CC45)+ABS(CE45)+ABS(CG45)+ABS(CI45)+ABS(CK45)+ABS(CM45)+ABS(CO45)+ABS(CQ45)+ABS(CS45)+ABS(CU45)+ABS(CW45)</f>
        <v>0</v>
      </c>
      <c r="DD45" s="86" t="n">
        <v>16</v>
      </c>
      <c r="DE45" s="84" t="n">
        <v>1</v>
      </c>
      <c r="DF45" s="43" t="n">
        <f aca="false">(ABS(W45)*X45+ABS(Y45)*Z45+ABS(AA45)*AB45+ABS(AC45)*AD45+ABS(AE45)*AF45+ABS(AG45)*AH45+ABS(AI45)*AJ45+ABS(AK45)*AL45+ABS(AM45)*AN45+ABS(AO45)*AP45+ABS(AQ45)*AR45+ABS(AS45)*AT45+ABS(AU45)*AV45+ABS(AW45)*AX45+ABS(AY45)*AZ45+ABS(BA45)*BB45+ABS(BC45)*BD45+ABS(BE45)*BF45+ABS(BG45)*BH45+ABS(BI45)*BJ45)</f>
        <v>0</v>
      </c>
      <c r="DG45" s="43" t="n">
        <f aca="false">ABS(BK45)*BL45+ABS(BM45)*BN45+ABS(BO45)*BP45+ABS(BQ45)*BR45+ABS(BS45)*BT45+ABS(BU45)*BV45+ABS(BW45)*BX45+ABS(BY45)*BZ45+ABS(CA45)*CB45+ABS(CC45)*CD45+ABS(CE45)*CF45+ABS(CG45)*CH45+ABS(CI45)*CJ45+ABS(CK45)*CL45+ABS(CM45)*CN45+ABS(CO45)*CP45+ABS(CQ45)*CR45+ABS(CS45)*CT45+ABS(CU45)*CV45+ABS(CW45)*CX45</f>
        <v>0</v>
      </c>
      <c r="DH45" s="43" t="n">
        <f aca="false">((H45-X45)*W45+(H45-Z45)*Y45+(H45-AB45)*AA45+(H45-AD45)*AC45+(H45-AF45)*AE45+(H45-AH45)*AG45+(H45-AJ45)*AI45+(H45-AL45)*AK45+(H45-AN45)*AM45+(H45-AP45)*AO45+(H45-AR45)*AQ45+(H45-AT45)*AS45+(H45-AV45)*AU45+(H45-AX45)*AW45+(H45-AZ45)*AY45+(H45-BB45)*BA45+(H45-BD45)*BC45+(H45-BF45)*BE45+(H45-BH45)*BG45+(H45-BJ45)*BI45)*DD45*DE45</f>
        <v>0</v>
      </c>
      <c r="DI45" s="43" t="n">
        <f aca="false">(((H45-BL45)*BK45+(H45-BN45)*BM45+(H45-BP45)*BO45+(H45-BR45)*BQ45+(H45-BT45)*BS45+(H45-BV45)*BU45+(H45-BX45)*BW45+(H45-BZ45)*BY45+(H45-CB45)*CA45+(H45-CD45)*CC45+(H45-CF45)*CE45+(H45-CH45)*CG45+(H45-CJ45)*CH45+(H45-CL45)*CK45+(H45-CN45)*CM45+(H45-CP45)*CO45+(H45-CR45)*CQ45+(H45-CT45)*CS45+(H45-CV45)*CU45+(H45-CX45)*CW45)*DD45*DE45)</f>
        <v>0</v>
      </c>
      <c r="DK45" s="85" t="n">
        <v>36861</v>
      </c>
      <c r="DL45" s="21" t="n">
        <v>0</v>
      </c>
      <c r="DN45" s="21" t="n">
        <v>1</v>
      </c>
      <c r="DR45" s="146" t="n">
        <f aca="false">+'NYISO G'!DR45</f>
        <v>20</v>
      </c>
      <c r="DS45" s="24"/>
      <c r="DT45" s="24"/>
    </row>
    <row r="46" customFormat="false" ht="18.75" hidden="false" customHeight="false" outlineLevel="0" collapsed="false">
      <c r="A46" s="147" t="n">
        <f aca="false">'NYISO A'!A46</f>
        <v>37257</v>
      </c>
      <c r="B46" s="119" t="n">
        <f aca="false">+[3]NYZoneJ!$L37/16/DR46</f>
        <v>0</v>
      </c>
      <c r="C46" s="148" t="n">
        <f aca="false">CY46</f>
        <v>0</v>
      </c>
      <c r="D46" s="149" t="n">
        <f aca="false">(IF(MONTH(A46)=MONTH(EOMONTH(TradeDate,1)),$AP$70,0)*VLOOKUP(A46,$DK$12:$DN$43,4))</f>
        <v>0</v>
      </c>
      <c r="E46" s="150" t="n">
        <f aca="false">B46+C46+D46</f>
        <v>0</v>
      </c>
      <c r="F46" s="151" t="n">
        <f aca="false">[3]NYZoneJ!$C37</f>
        <v>56</v>
      </c>
      <c r="G46" s="152" t="n">
        <f aca="false">IF($Q$9,Q46,P46)</f>
        <v>-10.25</v>
      </c>
      <c r="H46" s="153" t="n">
        <f aca="false">F46+G46</f>
        <v>45.75</v>
      </c>
      <c r="I46" s="298" t="n">
        <f aca="false">B46*G46*DD46*DR46</f>
        <v>-0</v>
      </c>
      <c r="J46" s="155" t="n">
        <f aca="false">(DH46+DI46)*$DR46</f>
        <v>0</v>
      </c>
      <c r="K46" s="299" t="n">
        <f aca="false">I46+J46</f>
        <v>0</v>
      </c>
      <c r="L46" s="24"/>
      <c r="M46" s="157" t="n">
        <f aca="false">A46</f>
        <v>37257</v>
      </c>
      <c r="N46" s="92" t="n">
        <v>45.75</v>
      </c>
      <c r="O46" s="92" t="n">
        <v>45.75</v>
      </c>
      <c r="P46" s="69" t="n">
        <f aca="false">AVERAGE(N46:O46)-F46</f>
        <v>-10.25</v>
      </c>
      <c r="Q46" s="70"/>
      <c r="R46" s="91" t="n">
        <f aca="false">H46</f>
        <v>45.75</v>
      </c>
      <c r="S46" s="24"/>
      <c r="T46" s="24"/>
      <c r="U46" s="131"/>
      <c r="V46" s="158" t="n">
        <f aca="false">A46</f>
        <v>37257</v>
      </c>
      <c r="W46" s="159"/>
      <c r="X46" s="134"/>
      <c r="Y46" s="159"/>
      <c r="Z46" s="134"/>
      <c r="AA46" s="159"/>
      <c r="AB46" s="134"/>
      <c r="AC46" s="77"/>
      <c r="AD46" s="78"/>
      <c r="AE46" s="77"/>
      <c r="AF46" s="78"/>
      <c r="AG46" s="77"/>
      <c r="AH46" s="78"/>
      <c r="AI46" s="77"/>
      <c r="AJ46" s="78"/>
      <c r="AK46" s="77"/>
      <c r="AL46" s="78"/>
      <c r="AM46" s="77"/>
      <c r="AN46" s="78"/>
      <c r="AO46" s="77"/>
      <c r="AP46" s="78"/>
      <c r="AQ46" s="77"/>
      <c r="AR46" s="78"/>
      <c r="AS46" s="77"/>
      <c r="AT46" s="160"/>
      <c r="AU46" s="94"/>
      <c r="AV46" s="95"/>
      <c r="AW46" s="96"/>
      <c r="AX46" s="75"/>
      <c r="AY46" s="81"/>
      <c r="AZ46" s="75"/>
      <c r="BA46" s="81"/>
      <c r="BB46" s="75"/>
      <c r="BC46" s="81"/>
      <c r="BD46" s="75"/>
      <c r="BE46" s="81"/>
      <c r="BF46" s="75"/>
      <c r="BG46" s="81"/>
      <c r="BH46" s="75"/>
      <c r="BI46" s="81"/>
      <c r="BJ46" s="75"/>
      <c r="BK46" s="81"/>
      <c r="BL46" s="75"/>
      <c r="BM46" s="81"/>
      <c r="BN46" s="75"/>
      <c r="BO46" s="81"/>
      <c r="BP46" s="75"/>
      <c r="BQ46" s="81"/>
      <c r="BR46" s="75"/>
      <c r="BS46" s="81"/>
      <c r="BT46" s="75"/>
      <c r="BU46" s="81"/>
      <c r="BV46" s="75"/>
      <c r="BW46" s="81"/>
      <c r="BX46" s="75"/>
      <c r="BY46" s="81"/>
      <c r="BZ46" s="75"/>
      <c r="CA46" s="81"/>
      <c r="CB46" s="75"/>
      <c r="CC46" s="81"/>
      <c r="CD46" s="75"/>
      <c r="CE46" s="81"/>
      <c r="CF46" s="75"/>
      <c r="CG46" s="81"/>
      <c r="CH46" s="75"/>
      <c r="CI46" s="81"/>
      <c r="CJ46" s="75"/>
      <c r="CK46" s="81"/>
      <c r="CL46" s="75"/>
      <c r="CM46" s="81"/>
      <c r="CN46" s="75"/>
      <c r="CO46" s="81"/>
      <c r="CP46" s="75"/>
      <c r="CQ46" s="81"/>
      <c r="CR46" s="75"/>
      <c r="CS46" s="81"/>
      <c r="CT46" s="75"/>
      <c r="CU46" s="81"/>
      <c r="CV46" s="75"/>
      <c r="CW46" s="81"/>
      <c r="CX46" s="75"/>
      <c r="CY46" s="82" t="n">
        <f aca="false">W46+Y46+AA46+AC46+AE46+AG46+AI46+AK46+AM46+AO46+AQ46+AS46+AU46+AW46+AY46+BA46+BC46+BE46+BG46+BI46+BK46+BM46+BO46+BQ46+BS46+BU46+BW46+BY46+CA46+CC46+CE46+CG46+CI46+CK46+CM46+CO46+CQ46+CS46+CU46+CW46</f>
        <v>0</v>
      </c>
      <c r="CZ46" s="83" t="n">
        <f aca="false">IF(AND(CY46=0,DC46=0),0,(DF46+DG46)/DC46)</f>
        <v>0</v>
      </c>
      <c r="DB46" s="85" t="n">
        <f aca="false">V46</f>
        <v>37257</v>
      </c>
      <c r="DC46" s="84" t="n">
        <f aca="false">ABS(W46)+ABS(Y46)+ABS(AA46)+ABS(AC46)+ABS(AE46)+ABS(AG46)+ABS(AI46)+ABS(AK46)+ABS(AM46)+ABS(AO46)+ABS(AQ46)+ABS(AS46)+ABS(AU46)+ABS(AW46)+ABS(AY46)+ABS(BA46)+ABS(BC46)+ABS(BE46)+ABS(BG46)+ABS(BI46)+ABS(BK46)+ABS(BM46)+ABS(BO46)+ABS(BQ46)+ABS(BS46)+ABS(BU46)+ABS(BW46)+ABS(BY46)+ABS(CA46)+ABS(CC46)+ABS(CE46)+ABS(CG46)+ABS(CI46)+ABS(CK46)+ABS(CM46)+ABS(CO46)+ABS(CQ46)+ABS(CS46)+ABS(CU46)+ABS(CW46)</f>
        <v>0</v>
      </c>
      <c r="DD46" s="86" t="n">
        <v>16</v>
      </c>
      <c r="DE46" s="84" t="n">
        <v>1</v>
      </c>
      <c r="DF46" s="43" t="n">
        <f aca="false">(ABS(W46)*X46+ABS(Y46)*Z46+ABS(AA46)*AB46+ABS(AC46)*AD46+ABS(AE46)*AF46+ABS(AG46)*AH46+ABS(AI46)*AJ46+ABS(AK46)*AL46+ABS(AM46)*AN46+ABS(AO46)*AP46+ABS(AQ46)*AR46+ABS(AS46)*AT46+ABS(AU46)*AV46+ABS(AW46)*AX46+ABS(AY46)*AZ46+ABS(BA46)*BB46+ABS(BC46)*BD46+ABS(BE46)*BF46+ABS(BG46)*BH46+ABS(BI46)*BJ46)</f>
        <v>0</v>
      </c>
      <c r="DG46" s="43" t="n">
        <f aca="false">ABS(BK46)*BL46+ABS(BM46)*BN46+ABS(BO46)*BP46+ABS(BQ46)*BR46+ABS(BS46)*BT46+ABS(BU46)*BV46+ABS(BW46)*BX46+ABS(BY46)*BZ46+ABS(CA46)*CB46+ABS(CC46)*CD46+ABS(CE46)*CF46+ABS(CG46)*CH46+ABS(CI46)*CJ46+ABS(CK46)*CL46+ABS(CM46)*CN46+ABS(CO46)*CP46+ABS(CQ46)*CR46+ABS(CS46)*CT46+ABS(CU46)*CV46+ABS(CW46)*CX46</f>
        <v>0</v>
      </c>
      <c r="DH46" s="43" t="n">
        <f aca="false">((H46-X46)*W46+(H46-Z46)*Y46+(H46-AB46)*AA46+(H46-AD46)*AC46+(H46-AF46)*AE46+(H46-AH46)*AG46+(H46-AJ46)*AI46+(H46-AL46)*AK46+(H46-AN46)*AM46+(H46-AP46)*AO46+(H46-AR46)*AQ46+(H46-AT46)*AS46+(H46-AV46)*AU46+(H46-AX46)*AW46+(H46-AZ46)*AY46+(H46-BB46)*BA46+(H46-BD46)*BC46+(H46-BF46)*BE46+(H46-BH46)*BG46+(H46-BJ46)*BI46)*DD46*DE46</f>
        <v>0</v>
      </c>
      <c r="DI46" s="43" t="n">
        <f aca="false">(((H46-BL46)*BK46+(H46-BN46)*BM46+(H46-BP46)*BO46+(H46-BR46)*BQ46+(H46-BT46)*BS46+(H46-BV46)*BU46+(H46-BX46)*BW46+(H46-BZ46)*BY46+(H46-CB46)*CA46+(H46-CD46)*CC46+(H46-CF46)*CE46+(H46-CH46)*CG46+(H46-CJ46)*CH46+(H46-CL46)*CK46+(H46-CN46)*CM46+(H46-CP46)*CO46+(H46-CR46)*CQ46+(H46-CT46)*CS46+(H46-CV46)*CU46+(H46-CX46)*CW46)*DD46*DE46)</f>
        <v>0</v>
      </c>
      <c r="DK46" s="85" t="n">
        <v>36861</v>
      </c>
      <c r="DL46" s="21" t="n">
        <v>0</v>
      </c>
      <c r="DN46" s="21" t="n">
        <v>1</v>
      </c>
      <c r="DR46" s="146" t="n">
        <f aca="false">+'NYISO G'!DR46</f>
        <v>22</v>
      </c>
    </row>
    <row r="47" customFormat="false" ht="18.75" hidden="false" customHeight="false" outlineLevel="0" collapsed="false">
      <c r="A47" s="147" t="n">
        <f aca="false">'NYISO A'!A47</f>
        <v>37288</v>
      </c>
      <c r="B47" s="119" t="n">
        <f aca="false">+[3]NYZoneJ!$L38/16/DR47</f>
        <v>0</v>
      </c>
      <c r="C47" s="148" t="n">
        <f aca="false">CY47</f>
        <v>0</v>
      </c>
      <c r="D47" s="149" t="n">
        <f aca="false">(IF(MONTH(A47)=MONTH(EOMONTH(TradeDate,1)),$AP$70,0)*VLOOKUP(A47,$DK$12:$DN$43,4))</f>
        <v>0</v>
      </c>
      <c r="E47" s="150" t="n">
        <f aca="false">B47+C47+D47</f>
        <v>0</v>
      </c>
      <c r="F47" s="151" t="n">
        <f aca="false">[3]NYZoneJ!$C38</f>
        <v>56</v>
      </c>
      <c r="G47" s="152" t="n">
        <f aca="false">IF($Q$9,Q47,P47)</f>
        <v>14</v>
      </c>
      <c r="H47" s="153" t="n">
        <f aca="false">F47+G47</f>
        <v>70</v>
      </c>
      <c r="I47" s="298" t="n">
        <f aca="false">B47*G47*DD47*DR47</f>
        <v>0</v>
      </c>
      <c r="J47" s="155" t="n">
        <f aca="false">(DH47+DI47)*$DR47</f>
        <v>0</v>
      </c>
      <c r="K47" s="299" t="n">
        <f aca="false">I47+J47</f>
        <v>0</v>
      </c>
      <c r="L47" s="24"/>
      <c r="M47" s="157" t="n">
        <f aca="false">A47</f>
        <v>37288</v>
      </c>
      <c r="N47" s="92" t="n">
        <v>70</v>
      </c>
      <c r="O47" s="92" t="n">
        <v>70</v>
      </c>
      <c r="P47" s="69" t="n">
        <f aca="false">AVERAGE(N47:O47)-F47</f>
        <v>14</v>
      </c>
      <c r="Q47" s="70"/>
      <c r="R47" s="91" t="n">
        <f aca="false">H47</f>
        <v>70</v>
      </c>
      <c r="S47" s="24"/>
      <c r="T47" s="24"/>
      <c r="U47" s="131"/>
      <c r="V47" s="158" t="n">
        <f aca="false">A47</f>
        <v>37288</v>
      </c>
      <c r="W47" s="159"/>
      <c r="X47" s="134"/>
      <c r="Y47" s="159"/>
      <c r="Z47" s="134"/>
      <c r="AA47" s="159"/>
      <c r="AB47" s="134"/>
      <c r="AC47" s="77"/>
      <c r="AD47" s="78"/>
      <c r="AE47" s="77"/>
      <c r="AF47" s="78"/>
      <c r="AG47" s="77"/>
      <c r="AH47" s="78"/>
      <c r="AI47" s="77"/>
      <c r="AJ47" s="78"/>
      <c r="AK47" s="77"/>
      <c r="AL47" s="78"/>
      <c r="AM47" s="77"/>
      <c r="AN47" s="78"/>
      <c r="AO47" s="77"/>
      <c r="AP47" s="78"/>
      <c r="AQ47" s="77"/>
      <c r="AR47" s="78"/>
      <c r="AS47" s="77"/>
      <c r="AT47" s="160"/>
      <c r="AU47" s="94"/>
      <c r="AV47" s="95"/>
      <c r="AW47" s="96"/>
      <c r="AX47" s="75"/>
      <c r="AY47" s="81"/>
      <c r="AZ47" s="75"/>
      <c r="BA47" s="81"/>
      <c r="BB47" s="75"/>
      <c r="BC47" s="81"/>
      <c r="BD47" s="75"/>
      <c r="BE47" s="81"/>
      <c r="BF47" s="75"/>
      <c r="BG47" s="81"/>
      <c r="BH47" s="75"/>
      <c r="BI47" s="81"/>
      <c r="BJ47" s="75"/>
      <c r="BK47" s="81"/>
      <c r="BL47" s="75"/>
      <c r="BM47" s="81"/>
      <c r="BN47" s="75"/>
      <c r="BO47" s="81"/>
      <c r="BP47" s="75"/>
      <c r="BQ47" s="81"/>
      <c r="BR47" s="75"/>
      <c r="BS47" s="81"/>
      <c r="BT47" s="75"/>
      <c r="BU47" s="81"/>
      <c r="BV47" s="75"/>
      <c r="BW47" s="81"/>
      <c r="BX47" s="75"/>
      <c r="BY47" s="81"/>
      <c r="BZ47" s="75"/>
      <c r="CA47" s="81"/>
      <c r="CB47" s="75"/>
      <c r="CC47" s="81"/>
      <c r="CD47" s="75"/>
      <c r="CE47" s="81"/>
      <c r="CF47" s="75"/>
      <c r="CG47" s="81"/>
      <c r="CH47" s="75"/>
      <c r="CI47" s="81"/>
      <c r="CJ47" s="75"/>
      <c r="CK47" s="81"/>
      <c r="CL47" s="75"/>
      <c r="CM47" s="81"/>
      <c r="CN47" s="75"/>
      <c r="CO47" s="81"/>
      <c r="CP47" s="75"/>
      <c r="CQ47" s="81"/>
      <c r="CR47" s="75"/>
      <c r="CS47" s="81"/>
      <c r="CT47" s="75"/>
      <c r="CU47" s="81"/>
      <c r="CV47" s="75"/>
      <c r="CW47" s="81"/>
      <c r="CX47" s="75"/>
      <c r="CY47" s="82" t="n">
        <f aca="false">W47+Y47+AA47+AC47+AE47+AG47+AI47+AK47+AM47+AO47+AQ47+AS47+AU47+AW47+AY47+BA47+BC47+BE47+BG47+BI47+BK47+BM47+BO47+BQ47+BS47+BU47+BW47+BY47+CA47+CC47+CE47+CG47+CI47+CK47+CM47+CO47+CQ47+CS47+CU47+CW47</f>
        <v>0</v>
      </c>
      <c r="CZ47" s="83" t="n">
        <f aca="false">IF(AND(CY47=0,DC47=0),0,(DF47+DG47)/DC47)</f>
        <v>0</v>
      </c>
      <c r="DB47" s="85" t="n">
        <f aca="false">V47</f>
        <v>37288</v>
      </c>
      <c r="DC47" s="84" t="n">
        <f aca="false">ABS(W47)+ABS(Y47)+ABS(AA47)+ABS(AC47)+ABS(AE47)+ABS(AG47)+ABS(AI47)+ABS(AK47)+ABS(AM47)+ABS(AO47)+ABS(AQ47)+ABS(AS47)+ABS(AU47)+ABS(AW47)+ABS(AY47)+ABS(BA47)+ABS(BC47)+ABS(BE47)+ABS(BG47)+ABS(BI47)+ABS(BK47)+ABS(BM47)+ABS(BO47)+ABS(BQ47)+ABS(BS47)+ABS(BU47)+ABS(BW47)+ABS(BY47)+ABS(CA47)+ABS(CC47)+ABS(CE47)+ABS(CG47)+ABS(CI47)+ABS(CK47)+ABS(CM47)+ABS(CO47)+ABS(CQ47)+ABS(CS47)+ABS(CU47)+ABS(CW47)</f>
        <v>0</v>
      </c>
      <c r="DD47" s="86" t="n">
        <v>16</v>
      </c>
      <c r="DE47" s="84" t="n">
        <v>1</v>
      </c>
      <c r="DF47" s="43" t="n">
        <f aca="false">(ABS(W47)*X47+ABS(Y47)*Z47+ABS(AA47)*AB47+ABS(AC47)*AD47+ABS(AE47)*AF47+ABS(AG47)*AH47+ABS(AI47)*AJ47+ABS(AK47)*AL47+ABS(AM47)*AN47+ABS(AO47)*AP47+ABS(AQ47)*AR47+ABS(AS47)*AT47+ABS(AU47)*AV47+ABS(AW47)*AX47+ABS(AY47)*AZ47+ABS(BA47)*BB47+ABS(BC47)*BD47+ABS(BE47)*BF47+ABS(BG47)*BH47+ABS(BI47)*BJ47)</f>
        <v>0</v>
      </c>
      <c r="DG47" s="43" t="n">
        <f aca="false">ABS(BK47)*BL47+ABS(BM47)*BN47+ABS(BO47)*BP47+ABS(BQ47)*BR47+ABS(BS47)*BT47+ABS(BU47)*BV47+ABS(BW47)*BX47+ABS(BY47)*BZ47+ABS(CA47)*CB47+ABS(CC47)*CD47+ABS(CE47)*CF47+ABS(CG47)*CH47+ABS(CI47)*CJ47+ABS(CK47)*CL47+ABS(CM47)*CN47+ABS(CO47)*CP47+ABS(CQ47)*CR47+ABS(CS47)*CT47+ABS(CU47)*CV47+ABS(CW47)*CX47</f>
        <v>0</v>
      </c>
      <c r="DH47" s="43" t="n">
        <f aca="false">((H47-X47)*W47+(H47-Z47)*Y47+(H47-AB47)*AA47+(H47-AD47)*AC47+(H47-AF47)*AE47+(H47-AH47)*AG47+(H47-AJ47)*AI47+(H47-AL47)*AK47+(H47-AN47)*AM47+(H47-AP47)*AO47+(H47-AR47)*AQ47+(H47-AT47)*AS47+(H47-AV47)*AU47+(H47-AX47)*AW47+(H47-AZ47)*AY47+(H47-BB47)*BA47+(H47-BD47)*BC47+(H47-BF47)*BE47+(H47-BH47)*BG47+(H47-BJ47)*BI47)*DD47*DE47</f>
        <v>0</v>
      </c>
      <c r="DI47" s="43" t="n">
        <f aca="false">(((H47-BL47)*BK47+(H47-BN47)*BM47+(H47-BP47)*BO47+(H47-BR47)*BQ47+(H47-BT47)*BS47+(H47-BV47)*BU47+(H47-BX47)*BW47+(H47-BZ47)*BY47+(H47-CB47)*CA47+(H47-CD47)*CC47+(H47-CF47)*CE47+(H47-CH47)*CG47+(H47-CJ47)*CH47+(H47-CL47)*CK47+(H47-CN47)*CM47+(H47-CP47)*CO47+(H47-CR47)*CQ47+(H47-CT47)*CS47+(H47-CV47)*CU47+(H47-CX47)*CW47)*DD47*DE47)</f>
        <v>0</v>
      </c>
      <c r="DK47" s="85" t="n">
        <v>36861</v>
      </c>
      <c r="DL47" s="21" t="n">
        <v>0</v>
      </c>
      <c r="DN47" s="21" t="n">
        <v>1</v>
      </c>
      <c r="DR47" s="146" t="n">
        <f aca="false">+'NYISO G'!DR47</f>
        <v>20</v>
      </c>
    </row>
    <row r="48" customFormat="false" ht="18.75" hidden="false" customHeight="false" outlineLevel="0" collapsed="false">
      <c r="A48" s="147" t="n">
        <f aca="false">'NYISO A'!A48</f>
        <v>37316</v>
      </c>
      <c r="B48" s="119" t="n">
        <f aca="false">+[3]NYZoneJ!$L39/16/DR48</f>
        <v>0</v>
      </c>
      <c r="C48" s="148" t="n">
        <f aca="false">CY48</f>
        <v>0</v>
      </c>
      <c r="D48" s="149" t="n">
        <f aca="false">(IF(MONTH(A48)=MONTH(EOMONTH(TradeDate,1)),$AP$70,0)*VLOOKUP(A48,$DK$12:$DN$43,4))</f>
        <v>0</v>
      </c>
      <c r="E48" s="150" t="n">
        <f aca="false">B48+C48+D48</f>
        <v>0</v>
      </c>
      <c r="F48" s="151" t="n">
        <f aca="false">[3]NYZoneJ!$C39</f>
        <v>44</v>
      </c>
      <c r="G48" s="152" t="n">
        <f aca="false">IF($Q$9,Q48,P48)</f>
        <v>43.5</v>
      </c>
      <c r="H48" s="153" t="n">
        <f aca="false">F48+G48</f>
        <v>87.5</v>
      </c>
      <c r="I48" s="298" t="n">
        <f aca="false">B48*G48*DD48*DR48</f>
        <v>0</v>
      </c>
      <c r="J48" s="155" t="n">
        <f aca="false">(DH48+DI48)*$DR48</f>
        <v>0</v>
      </c>
      <c r="K48" s="299" t="n">
        <f aca="false">I48+J48</f>
        <v>0</v>
      </c>
      <c r="L48" s="24"/>
      <c r="M48" s="157" t="n">
        <f aca="false">A48</f>
        <v>37316</v>
      </c>
      <c r="N48" s="92" t="n">
        <v>87.5</v>
      </c>
      <c r="O48" s="92" t="n">
        <v>87.5</v>
      </c>
      <c r="P48" s="69" t="n">
        <f aca="false">AVERAGE(N48:O48)-F48</f>
        <v>43.5</v>
      </c>
      <c r="Q48" s="70"/>
      <c r="R48" s="91" t="n">
        <f aca="false">H48</f>
        <v>87.5</v>
      </c>
      <c r="S48" s="24"/>
      <c r="T48" s="24"/>
      <c r="U48" s="131"/>
      <c r="V48" s="158" t="n">
        <f aca="false">A48</f>
        <v>37316</v>
      </c>
      <c r="W48" s="159"/>
      <c r="X48" s="134"/>
      <c r="Y48" s="159"/>
      <c r="Z48" s="134"/>
      <c r="AA48" s="159"/>
      <c r="AB48" s="134"/>
      <c r="AC48" s="77"/>
      <c r="AD48" s="78"/>
      <c r="AE48" s="77"/>
      <c r="AF48" s="78"/>
      <c r="AG48" s="77"/>
      <c r="AH48" s="78"/>
      <c r="AI48" s="77"/>
      <c r="AJ48" s="78"/>
      <c r="AK48" s="77"/>
      <c r="AL48" s="78"/>
      <c r="AM48" s="77"/>
      <c r="AN48" s="78"/>
      <c r="AO48" s="77"/>
      <c r="AP48" s="78"/>
      <c r="AQ48" s="77"/>
      <c r="AR48" s="78"/>
      <c r="AS48" s="77"/>
      <c r="AT48" s="160"/>
      <c r="AU48" s="94"/>
      <c r="AV48" s="95"/>
      <c r="AW48" s="96"/>
      <c r="AX48" s="75"/>
      <c r="AY48" s="81"/>
      <c r="AZ48" s="75"/>
      <c r="BA48" s="81"/>
      <c r="BB48" s="75"/>
      <c r="BC48" s="81"/>
      <c r="BD48" s="75"/>
      <c r="BE48" s="81"/>
      <c r="BF48" s="75"/>
      <c r="BG48" s="81"/>
      <c r="BH48" s="75"/>
      <c r="BI48" s="81"/>
      <c r="BJ48" s="75"/>
      <c r="BK48" s="81"/>
      <c r="BL48" s="75"/>
      <c r="BM48" s="81"/>
      <c r="BN48" s="75"/>
      <c r="BO48" s="81"/>
      <c r="BP48" s="75"/>
      <c r="BQ48" s="81"/>
      <c r="BR48" s="75"/>
      <c r="BS48" s="81"/>
      <c r="BT48" s="75"/>
      <c r="BU48" s="81"/>
      <c r="BV48" s="75"/>
      <c r="BW48" s="81"/>
      <c r="BX48" s="75"/>
      <c r="BY48" s="81"/>
      <c r="BZ48" s="75"/>
      <c r="CA48" s="81"/>
      <c r="CB48" s="75"/>
      <c r="CC48" s="81"/>
      <c r="CD48" s="75"/>
      <c r="CE48" s="81"/>
      <c r="CF48" s="75"/>
      <c r="CG48" s="81"/>
      <c r="CH48" s="75"/>
      <c r="CI48" s="81"/>
      <c r="CJ48" s="75"/>
      <c r="CK48" s="81"/>
      <c r="CL48" s="75"/>
      <c r="CM48" s="81"/>
      <c r="CN48" s="75"/>
      <c r="CO48" s="81"/>
      <c r="CP48" s="75"/>
      <c r="CQ48" s="81"/>
      <c r="CR48" s="75"/>
      <c r="CS48" s="81"/>
      <c r="CT48" s="75"/>
      <c r="CU48" s="81"/>
      <c r="CV48" s="75"/>
      <c r="CW48" s="81"/>
      <c r="CX48" s="75"/>
      <c r="CY48" s="82" t="n">
        <f aca="false">W48+Y48+AA48+AC48+AE48+AG48+AI48+AK48+AM48+AO48+AQ48+AS48+AU48+AW48+AY48+BA48+BC48+BE48+BG48+BI48+BK48+BM48+BO48+BQ48+BS48+BU48+BW48+BY48+CA48+CC48+CE48+CG48+CI48+CK48+CM48+CO48+CQ48+CS48+CU48+CW48</f>
        <v>0</v>
      </c>
      <c r="CZ48" s="83" t="n">
        <f aca="false">IF(AND(CY48=0,DC48=0),0,(DF48+DG48)/DC48)</f>
        <v>0</v>
      </c>
      <c r="DB48" s="85" t="n">
        <f aca="false">V48</f>
        <v>37316</v>
      </c>
      <c r="DC48" s="84" t="n">
        <f aca="false">ABS(W48)+ABS(Y48)+ABS(AA48)+ABS(AC48)+ABS(AE48)+ABS(AG48)+ABS(AI48)+ABS(AK48)+ABS(AM48)+ABS(AO48)+ABS(AQ48)+ABS(AS48)+ABS(AU48)+ABS(AW48)+ABS(AY48)+ABS(BA48)+ABS(BC48)+ABS(BE48)+ABS(BG48)+ABS(BI48)+ABS(BK48)+ABS(BM48)+ABS(BO48)+ABS(BQ48)+ABS(BS48)+ABS(BU48)+ABS(BW48)+ABS(BY48)+ABS(CA48)+ABS(CC48)+ABS(CE48)+ABS(CG48)+ABS(CI48)+ABS(CK48)+ABS(CM48)+ABS(CO48)+ABS(CQ48)+ABS(CS48)+ABS(CU48)+ABS(CW48)</f>
        <v>0</v>
      </c>
      <c r="DD48" s="86" t="n">
        <v>16</v>
      </c>
      <c r="DE48" s="84" t="n">
        <v>1</v>
      </c>
      <c r="DF48" s="43" t="n">
        <f aca="false">(ABS(W48)*X48+ABS(Y48)*Z48+ABS(AA48)*AB48+ABS(AC48)*AD48+ABS(AE48)*AF48+ABS(AG48)*AH48+ABS(AI48)*AJ48+ABS(AK48)*AL48+ABS(AM48)*AN48+ABS(AO48)*AP48+ABS(AQ48)*AR48+ABS(AS48)*AT48+ABS(AU48)*AV48+ABS(AW48)*AX48+ABS(AY48)*AZ48+ABS(BA48)*BB48+ABS(BC48)*BD48+ABS(BE48)*BF48+ABS(BG48)*BH48+ABS(BI48)*BJ48)</f>
        <v>0</v>
      </c>
      <c r="DG48" s="43" t="n">
        <f aca="false">ABS(BK48)*BL48+ABS(BM48)*BN48+ABS(BO48)*BP48+ABS(BQ48)*BR48+ABS(BS48)*BT48+ABS(BU48)*BV48+ABS(BW48)*BX48+ABS(BY48)*BZ48+ABS(CA48)*CB48+ABS(CC48)*CD48+ABS(CE48)*CF48+ABS(CG48)*CH48+ABS(CI48)*CJ48+ABS(CK48)*CL48+ABS(CM48)*CN48+ABS(CO48)*CP48+ABS(CQ48)*CR48+ABS(CS48)*CT48+ABS(CU48)*CV48+ABS(CW48)*CX48</f>
        <v>0</v>
      </c>
      <c r="DH48" s="43" t="n">
        <f aca="false">((H48-X48)*W48+(H48-Z48)*Y48+(H48-AB48)*AA48+(H48-AD48)*AC48+(H48-AF48)*AE48+(H48-AH48)*AG48+(H48-AJ48)*AI48+(H48-AL48)*AK48+(H48-AN48)*AM48+(H48-AP48)*AO48+(H48-AR48)*AQ48+(H48-AT48)*AS48+(H48-AV48)*AU48+(H48-AX48)*AW48+(H48-AZ48)*AY48+(H48-BB48)*BA48+(H48-BD48)*BC48+(H48-BF48)*BE48+(H48-BH48)*BG48+(H48-BJ48)*BI48)*DD48*DE48</f>
        <v>0</v>
      </c>
      <c r="DI48" s="43" t="n">
        <f aca="false">(((H48-BL48)*BK48+(H48-BN48)*BM48+(H48-BP48)*BO48+(H48-BR48)*BQ48+(H48-BT48)*BS48+(H48-BV48)*BU48+(H48-BX48)*BW48+(H48-BZ48)*BY48+(H48-CB48)*CA48+(H48-CD48)*CC48+(H48-CF48)*CE48+(H48-CH48)*CG48+(H48-CJ48)*CH48+(H48-CL48)*CK48+(H48-CN48)*CM48+(H48-CP48)*CO48+(H48-CR48)*CQ48+(H48-CT48)*CS48+(H48-CV48)*CU48+(H48-CX48)*CW48)*DD48*DE48)</f>
        <v>0</v>
      </c>
      <c r="DK48" s="85" t="n">
        <v>36861</v>
      </c>
      <c r="DL48" s="21" t="n">
        <v>0</v>
      </c>
      <c r="DN48" s="21" t="n">
        <v>1</v>
      </c>
      <c r="DR48" s="146" t="n">
        <f aca="false">+'NYISO G'!DR48</f>
        <v>21</v>
      </c>
    </row>
    <row r="49" customFormat="false" ht="18.75" hidden="false" customHeight="false" outlineLevel="0" collapsed="false">
      <c r="A49" s="147" t="n">
        <f aca="false">'NYISO A'!A49</f>
        <v>37347</v>
      </c>
      <c r="B49" s="119" t="n">
        <f aca="false">+[3]NYZoneJ!$L40/16/DR49</f>
        <v>0</v>
      </c>
      <c r="C49" s="148" t="n">
        <f aca="false">CY49</f>
        <v>0</v>
      </c>
      <c r="D49" s="149" t="n">
        <f aca="false">(IF(MONTH(A49)=MONTH(EOMONTH(TradeDate,1)),$AP$70,0)*VLOOKUP(A49,$DK$12:$DN$43,4))</f>
        <v>0</v>
      </c>
      <c r="E49" s="150" t="n">
        <f aca="false">B49+C49+D49</f>
        <v>0</v>
      </c>
      <c r="F49" s="151" t="n">
        <f aca="false">[3]NYZoneJ!$C40</f>
        <v>44</v>
      </c>
      <c r="G49" s="152" t="n">
        <f aca="false">IF($Q$9,Q49,P49)</f>
        <v>89.5</v>
      </c>
      <c r="H49" s="153" t="n">
        <f aca="false">F49+G49</f>
        <v>133.5</v>
      </c>
      <c r="I49" s="298" t="n">
        <f aca="false">B49*G49*DD49*DR49</f>
        <v>0</v>
      </c>
      <c r="J49" s="155" t="n">
        <f aca="false">(DH49+DI49)*$DR49</f>
        <v>0</v>
      </c>
      <c r="K49" s="299" t="n">
        <f aca="false">I49+J49</f>
        <v>0</v>
      </c>
      <c r="L49" s="24"/>
      <c r="M49" s="157" t="n">
        <f aca="false">A49</f>
        <v>37347</v>
      </c>
      <c r="N49" s="92" t="n">
        <v>133.5</v>
      </c>
      <c r="O49" s="92" t="n">
        <v>133.5</v>
      </c>
      <c r="P49" s="69" t="n">
        <f aca="false">AVERAGE(N49:O49)-F49</f>
        <v>89.5</v>
      </c>
      <c r="Q49" s="70"/>
      <c r="R49" s="91" t="n">
        <f aca="false">H49</f>
        <v>133.5</v>
      </c>
      <c r="S49" s="24"/>
      <c r="T49" s="24"/>
      <c r="U49" s="131"/>
      <c r="V49" s="158" t="n">
        <f aca="false">A49</f>
        <v>37347</v>
      </c>
      <c r="W49" s="159"/>
      <c r="X49" s="134"/>
      <c r="Y49" s="159"/>
      <c r="Z49" s="134"/>
      <c r="AA49" s="159"/>
      <c r="AB49" s="134"/>
      <c r="AC49" s="77"/>
      <c r="AD49" s="78"/>
      <c r="AE49" s="77"/>
      <c r="AF49" s="78"/>
      <c r="AG49" s="77"/>
      <c r="AH49" s="78"/>
      <c r="AI49" s="77"/>
      <c r="AJ49" s="78"/>
      <c r="AK49" s="77"/>
      <c r="AL49" s="78"/>
      <c r="AM49" s="77"/>
      <c r="AN49" s="78"/>
      <c r="AO49" s="77"/>
      <c r="AP49" s="78"/>
      <c r="AQ49" s="77"/>
      <c r="AR49" s="78"/>
      <c r="AS49" s="77"/>
      <c r="AT49" s="160"/>
      <c r="AU49" s="94"/>
      <c r="AV49" s="95"/>
      <c r="AW49" s="96"/>
      <c r="AX49" s="75"/>
      <c r="AY49" s="81"/>
      <c r="AZ49" s="75"/>
      <c r="BA49" s="81"/>
      <c r="BB49" s="75"/>
      <c r="BC49" s="81"/>
      <c r="BD49" s="75"/>
      <c r="BE49" s="81"/>
      <c r="BF49" s="75"/>
      <c r="BG49" s="81"/>
      <c r="BH49" s="75"/>
      <c r="BI49" s="81"/>
      <c r="BJ49" s="75"/>
      <c r="BK49" s="81"/>
      <c r="BL49" s="75"/>
      <c r="BM49" s="81"/>
      <c r="BN49" s="75"/>
      <c r="BO49" s="81"/>
      <c r="BP49" s="75"/>
      <c r="BQ49" s="81"/>
      <c r="BR49" s="75"/>
      <c r="BS49" s="81"/>
      <c r="BT49" s="75"/>
      <c r="BU49" s="81"/>
      <c r="BV49" s="75"/>
      <c r="BW49" s="81"/>
      <c r="BX49" s="75"/>
      <c r="BY49" s="81"/>
      <c r="BZ49" s="75"/>
      <c r="CA49" s="81"/>
      <c r="CB49" s="75"/>
      <c r="CC49" s="81"/>
      <c r="CD49" s="75"/>
      <c r="CE49" s="81"/>
      <c r="CF49" s="75"/>
      <c r="CG49" s="81"/>
      <c r="CH49" s="75"/>
      <c r="CI49" s="81"/>
      <c r="CJ49" s="75"/>
      <c r="CK49" s="81"/>
      <c r="CL49" s="75"/>
      <c r="CM49" s="81"/>
      <c r="CN49" s="75"/>
      <c r="CO49" s="81"/>
      <c r="CP49" s="75"/>
      <c r="CQ49" s="81"/>
      <c r="CR49" s="75"/>
      <c r="CS49" s="81"/>
      <c r="CT49" s="75"/>
      <c r="CU49" s="81"/>
      <c r="CV49" s="75"/>
      <c r="CW49" s="81"/>
      <c r="CX49" s="75"/>
      <c r="CY49" s="82" t="n">
        <f aca="false">W49+Y49+AA49+AC49+AE49+AG49+AI49+AK49+AM49+AO49+AQ49+AS49+AU49+AW49+AY49+BA49+BC49+BE49+BG49+BI49+BK49+BM49+BO49+BQ49+BS49+BU49+BW49+BY49+CA49+CC49+CE49+CG49+CI49+CK49+CM49+CO49+CQ49+CS49+CU49+CW49</f>
        <v>0</v>
      </c>
      <c r="CZ49" s="83" t="n">
        <f aca="false">IF(AND(CY49=0,DC49=0),0,(DF49+DG49)/DC49)</f>
        <v>0</v>
      </c>
      <c r="DB49" s="85" t="n">
        <f aca="false">V49</f>
        <v>37347</v>
      </c>
      <c r="DC49" s="84" t="n">
        <f aca="false">ABS(W49)+ABS(Y49)+ABS(AA49)+ABS(AC49)+ABS(AE49)+ABS(AG49)+ABS(AI49)+ABS(AK49)+ABS(AM49)+ABS(AO49)+ABS(AQ49)+ABS(AS49)+ABS(AU49)+ABS(AW49)+ABS(AY49)+ABS(BA49)+ABS(BC49)+ABS(BE49)+ABS(BG49)+ABS(BI49)+ABS(BK49)+ABS(BM49)+ABS(BO49)+ABS(BQ49)+ABS(BS49)+ABS(BU49)+ABS(BW49)+ABS(BY49)+ABS(CA49)+ABS(CC49)+ABS(CE49)+ABS(CG49)+ABS(CI49)+ABS(CK49)+ABS(CM49)+ABS(CO49)+ABS(CQ49)+ABS(CS49)+ABS(CU49)+ABS(CW49)</f>
        <v>0</v>
      </c>
      <c r="DD49" s="86" t="n">
        <v>16</v>
      </c>
      <c r="DE49" s="84" t="n">
        <v>1</v>
      </c>
      <c r="DF49" s="43" t="n">
        <f aca="false">(ABS(W49)*X49+ABS(Y49)*Z49+ABS(AA49)*AB49+ABS(AC49)*AD49+ABS(AE49)*AF49+ABS(AG49)*AH49+ABS(AI49)*AJ49+ABS(AK49)*AL49+ABS(AM49)*AN49+ABS(AO49)*AP49+ABS(AQ49)*AR49+ABS(AS49)*AT49+ABS(AU49)*AV49+ABS(AW49)*AX49+ABS(AY49)*AZ49+ABS(BA49)*BB49+ABS(BC49)*BD49+ABS(BE49)*BF49+ABS(BG49)*BH49+ABS(BI49)*BJ49)</f>
        <v>0</v>
      </c>
      <c r="DG49" s="43" t="n">
        <f aca="false">ABS(BK49)*BL49+ABS(BM49)*BN49+ABS(BO49)*BP49+ABS(BQ49)*BR49+ABS(BS49)*BT49+ABS(BU49)*BV49+ABS(BW49)*BX49+ABS(BY49)*BZ49+ABS(CA49)*CB49+ABS(CC49)*CD49+ABS(CE49)*CF49+ABS(CG49)*CH49+ABS(CI49)*CJ49+ABS(CK49)*CL49+ABS(CM49)*CN49+ABS(CO49)*CP49+ABS(CQ49)*CR49+ABS(CS49)*CT49+ABS(CU49)*CV49+ABS(CW49)*CX49</f>
        <v>0</v>
      </c>
      <c r="DH49" s="43" t="n">
        <f aca="false">((H49-X49)*W49+(H49-Z49)*Y49+(H49-AB49)*AA49+(H49-AD49)*AC49+(H49-AF49)*AE49+(H49-AH49)*AG49+(H49-AJ49)*AI49+(H49-AL49)*AK49+(H49-AN49)*AM49+(H49-AP49)*AO49+(H49-AR49)*AQ49+(H49-AT49)*AS49+(H49-AV49)*AU49+(H49-AX49)*AW49+(H49-AZ49)*AY49+(H49-BB49)*BA49+(H49-BD49)*BC49+(H49-BF49)*BE49+(H49-BH49)*BG49+(H49-BJ49)*BI49)*DD49*DE49</f>
        <v>0</v>
      </c>
      <c r="DI49" s="43" t="n">
        <f aca="false">(((H49-BL49)*BK49+(H49-BN49)*BM49+(H49-BP49)*BO49+(H49-BR49)*BQ49+(H49-BT49)*BS49+(H49-BV49)*BU49+(H49-BX49)*BW49+(H49-BZ49)*BY49+(H49-CB49)*CA49+(H49-CD49)*CC49+(H49-CF49)*CE49+(H49-CH49)*CG49+(H49-CJ49)*CH49+(H49-CL49)*CK49+(H49-CN49)*CM49+(H49-CP49)*CO49+(H49-CR49)*CQ49+(H49-CT49)*CS49+(H49-CV49)*CU49+(H49-CX49)*CW49)*DD49*DE49)</f>
        <v>0</v>
      </c>
      <c r="DK49" s="85" t="n">
        <v>36861</v>
      </c>
      <c r="DL49" s="21" t="n">
        <v>0</v>
      </c>
      <c r="DN49" s="21" t="n">
        <v>1</v>
      </c>
      <c r="DR49" s="146" t="n">
        <f aca="false">+'NYISO G'!DR49</f>
        <v>22</v>
      </c>
    </row>
    <row r="50" customFormat="false" ht="18.75" hidden="false" customHeight="false" outlineLevel="0" collapsed="false">
      <c r="A50" s="147" t="n">
        <f aca="false">'NYISO A'!A50</f>
        <v>37377</v>
      </c>
      <c r="B50" s="119" t="n">
        <f aca="false">+[3]NYZoneJ!$L41/16/DR50</f>
        <v>0</v>
      </c>
      <c r="C50" s="148" t="n">
        <f aca="false">CY50</f>
        <v>0</v>
      </c>
      <c r="D50" s="149" t="n">
        <f aca="false">(IF(MONTH(A50)=MONTH(EOMONTH(TradeDate,1)),$AP$70,0)*VLOOKUP(A50,$DK$12:$DN$43,4))</f>
        <v>0</v>
      </c>
      <c r="E50" s="150" t="n">
        <f aca="false">B50+C50+D50</f>
        <v>0</v>
      </c>
      <c r="F50" s="151" t="n">
        <f aca="false">[3]NYZoneJ!$C41</f>
        <v>49</v>
      </c>
      <c r="G50" s="152" t="n">
        <f aca="false">IF($Q$9,Q50,P50)</f>
        <v>84</v>
      </c>
      <c r="H50" s="153" t="n">
        <f aca="false">F50+G50</f>
        <v>133</v>
      </c>
      <c r="I50" s="298" t="n">
        <f aca="false">B50*G50*DD50*DR50</f>
        <v>0</v>
      </c>
      <c r="J50" s="155" t="n">
        <f aca="false">(DH50+DI50)*$DR50</f>
        <v>0</v>
      </c>
      <c r="K50" s="299" t="n">
        <f aca="false">I50+J50</f>
        <v>0</v>
      </c>
      <c r="L50" s="24"/>
      <c r="M50" s="157" t="n">
        <f aca="false">A50</f>
        <v>37377</v>
      </c>
      <c r="N50" s="92" t="n">
        <v>133</v>
      </c>
      <c r="O50" s="92" t="n">
        <v>133</v>
      </c>
      <c r="P50" s="69" t="n">
        <f aca="false">AVERAGE(N50:O50)-F50</f>
        <v>84</v>
      </c>
      <c r="Q50" s="70"/>
      <c r="R50" s="91" t="n">
        <f aca="false">H50</f>
        <v>133</v>
      </c>
      <c r="S50" s="24"/>
      <c r="T50" s="24"/>
      <c r="U50" s="131"/>
      <c r="V50" s="158" t="n">
        <f aca="false">A50</f>
        <v>37377</v>
      </c>
      <c r="W50" s="159"/>
      <c r="X50" s="134"/>
      <c r="Y50" s="159"/>
      <c r="Z50" s="134"/>
      <c r="AA50" s="159"/>
      <c r="AB50" s="134"/>
      <c r="AC50" s="77"/>
      <c r="AD50" s="78"/>
      <c r="AE50" s="77"/>
      <c r="AF50" s="78"/>
      <c r="AG50" s="77"/>
      <c r="AH50" s="78"/>
      <c r="AI50" s="77"/>
      <c r="AJ50" s="78"/>
      <c r="AK50" s="77"/>
      <c r="AL50" s="78"/>
      <c r="AM50" s="77"/>
      <c r="AN50" s="78"/>
      <c r="AO50" s="77"/>
      <c r="AP50" s="78"/>
      <c r="AQ50" s="77"/>
      <c r="AR50" s="78"/>
      <c r="AS50" s="77"/>
      <c r="AT50" s="160"/>
      <c r="AU50" s="94"/>
      <c r="AV50" s="95"/>
      <c r="AW50" s="96"/>
      <c r="AX50" s="75"/>
      <c r="AY50" s="81"/>
      <c r="AZ50" s="75"/>
      <c r="BA50" s="81"/>
      <c r="BB50" s="75"/>
      <c r="BC50" s="81"/>
      <c r="BD50" s="75"/>
      <c r="BE50" s="81"/>
      <c r="BF50" s="75"/>
      <c r="BG50" s="81"/>
      <c r="BH50" s="75"/>
      <c r="BI50" s="81"/>
      <c r="BJ50" s="75"/>
      <c r="BK50" s="81"/>
      <c r="BL50" s="75"/>
      <c r="BM50" s="81"/>
      <c r="BN50" s="75"/>
      <c r="BO50" s="81"/>
      <c r="BP50" s="75"/>
      <c r="BQ50" s="81"/>
      <c r="BR50" s="75"/>
      <c r="BS50" s="81"/>
      <c r="BT50" s="75"/>
      <c r="BU50" s="81"/>
      <c r="BV50" s="75"/>
      <c r="BW50" s="81"/>
      <c r="BX50" s="75"/>
      <c r="BY50" s="81"/>
      <c r="BZ50" s="75"/>
      <c r="CA50" s="81"/>
      <c r="CB50" s="75"/>
      <c r="CC50" s="81"/>
      <c r="CD50" s="75"/>
      <c r="CE50" s="81"/>
      <c r="CF50" s="75"/>
      <c r="CG50" s="81"/>
      <c r="CH50" s="75"/>
      <c r="CI50" s="81"/>
      <c r="CJ50" s="75"/>
      <c r="CK50" s="81"/>
      <c r="CL50" s="75"/>
      <c r="CM50" s="81"/>
      <c r="CN50" s="75"/>
      <c r="CO50" s="81"/>
      <c r="CP50" s="75"/>
      <c r="CQ50" s="81"/>
      <c r="CR50" s="75"/>
      <c r="CS50" s="81"/>
      <c r="CT50" s="75"/>
      <c r="CU50" s="81"/>
      <c r="CV50" s="75"/>
      <c r="CW50" s="81"/>
      <c r="CX50" s="75"/>
      <c r="CY50" s="82" t="n">
        <f aca="false">W50+Y50+AA50+AC50+AE50+AG50+AI50+AK50+AM50+AO50+AQ50+AS50+AU50+AW50+AY50+BA50+BC50+BE50+BG50+BI50+BK50+BM50+BO50+BQ50+BS50+BU50+BW50+BY50+CA50+CC50+CE50+CG50+CI50+CK50+CM50+CO50+CQ50+CS50+CU50+CW50</f>
        <v>0</v>
      </c>
      <c r="CZ50" s="83" t="n">
        <f aca="false">IF(AND(CY50=0,DC50=0),0,(DF50+DG50)/DC50)</f>
        <v>0</v>
      </c>
      <c r="DB50" s="85" t="n">
        <f aca="false">V50</f>
        <v>37377</v>
      </c>
      <c r="DC50" s="84" t="n">
        <f aca="false">ABS(W50)+ABS(Y50)+ABS(AA50)+ABS(AC50)+ABS(AE50)+ABS(AG50)+ABS(AI50)+ABS(AK50)+ABS(AM50)+ABS(AO50)+ABS(AQ50)+ABS(AS50)+ABS(AU50)+ABS(AW50)+ABS(AY50)+ABS(BA50)+ABS(BC50)+ABS(BE50)+ABS(BG50)+ABS(BI50)+ABS(BK50)+ABS(BM50)+ABS(BO50)+ABS(BQ50)+ABS(BS50)+ABS(BU50)+ABS(BW50)+ABS(BY50)+ABS(CA50)+ABS(CC50)+ABS(CE50)+ABS(CG50)+ABS(CI50)+ABS(CK50)+ABS(CM50)+ABS(CO50)+ABS(CQ50)+ABS(CS50)+ABS(CU50)+ABS(CW50)</f>
        <v>0</v>
      </c>
      <c r="DD50" s="86" t="n">
        <v>16</v>
      </c>
      <c r="DE50" s="84" t="n">
        <v>1</v>
      </c>
      <c r="DF50" s="43" t="n">
        <f aca="false">(ABS(W50)*X50+ABS(Y50)*Z50+ABS(AA50)*AB50+ABS(AC50)*AD50+ABS(AE50)*AF50+ABS(AG50)*AH50+ABS(AI50)*AJ50+ABS(AK50)*AL50+ABS(AM50)*AN50+ABS(AO50)*AP50+ABS(AQ50)*AR50+ABS(AS50)*AT50+ABS(AU50)*AV50+ABS(AW50)*AX50+ABS(AY50)*AZ50+ABS(BA50)*BB50+ABS(BC50)*BD50+ABS(BE50)*BF50+ABS(BG50)*BH50+ABS(BI50)*BJ50)</f>
        <v>0</v>
      </c>
      <c r="DG50" s="43" t="n">
        <f aca="false">ABS(BK50)*BL50+ABS(BM50)*BN50+ABS(BO50)*BP50+ABS(BQ50)*BR50+ABS(BS50)*BT50+ABS(BU50)*BV50+ABS(BW50)*BX50+ABS(BY50)*BZ50+ABS(CA50)*CB50+ABS(CC50)*CD50+ABS(CE50)*CF50+ABS(CG50)*CH50+ABS(CI50)*CJ50+ABS(CK50)*CL50+ABS(CM50)*CN50+ABS(CO50)*CP50+ABS(CQ50)*CR50+ABS(CS50)*CT50+ABS(CU50)*CV50+ABS(CW50)*CX50</f>
        <v>0</v>
      </c>
      <c r="DH50" s="43" t="n">
        <f aca="false">((H50-X50)*W50+(H50-Z50)*Y50+(H50-AB50)*AA50+(H50-AD50)*AC50+(H50-AF50)*AE50+(H50-AH50)*AG50+(H50-AJ50)*AI50+(H50-AL50)*AK50+(H50-AN50)*AM50+(H50-AP50)*AO50+(H50-AR50)*AQ50+(H50-AT50)*AS50+(H50-AV50)*AU50+(H50-AX50)*AW50+(H50-AZ50)*AY50+(H50-BB50)*BA50+(H50-BD50)*BC50+(H50-BF50)*BE50+(H50-BH50)*BG50+(H50-BJ50)*BI50)*DD50*DE50</f>
        <v>0</v>
      </c>
      <c r="DI50" s="43" t="n">
        <f aca="false">(((H50-BL50)*BK50+(H50-BN50)*BM50+(H50-BP50)*BO50+(H50-BR50)*BQ50+(H50-BT50)*BS50+(H50-BV50)*BU50+(H50-BX50)*BW50+(H50-BZ50)*BY50+(H50-CB50)*CA50+(H50-CD50)*CC50+(H50-CF50)*CE50+(H50-CH50)*CG50+(H50-CJ50)*CH50+(H50-CL50)*CK50+(H50-CN50)*CM50+(H50-CP50)*CO50+(H50-CR50)*CQ50+(H50-CT50)*CS50+(H50-CV50)*CU50+(H50-CX50)*CW50)*DD50*DE50)</f>
        <v>0</v>
      </c>
      <c r="DK50" s="85" t="n">
        <v>36861</v>
      </c>
      <c r="DL50" s="21" t="n">
        <v>0</v>
      </c>
      <c r="DN50" s="21" t="n">
        <v>1</v>
      </c>
      <c r="DR50" s="146" t="n">
        <f aca="false">+'NYISO G'!DR50</f>
        <v>22</v>
      </c>
    </row>
    <row r="51" customFormat="false" ht="18.75" hidden="false" customHeight="false" outlineLevel="0" collapsed="false">
      <c r="A51" s="147" t="n">
        <f aca="false">'NYISO A'!A51</f>
        <v>37408</v>
      </c>
      <c r="B51" s="119" t="n">
        <f aca="false">+[3]NYZoneJ!$L42/16/DR51</f>
        <v>0</v>
      </c>
      <c r="C51" s="148" t="n">
        <f aca="false">CY51</f>
        <v>0</v>
      </c>
      <c r="D51" s="149" t="n">
        <f aca="false">(IF(MONTH(A51)=MONTH(EOMONTH(TradeDate,1)),$AP$70,0)*VLOOKUP(A51,$DK$12:$DN$43,4))</f>
        <v>0</v>
      </c>
      <c r="E51" s="150" t="n">
        <f aca="false">B51+C51+D51</f>
        <v>0</v>
      </c>
      <c r="F51" s="151" t="n">
        <f aca="false">[3]NYZoneJ!$C42</f>
        <v>58</v>
      </c>
      <c r="G51" s="152" t="n">
        <f aca="false">IF($Q$9,Q51,P51)</f>
        <v>0.5</v>
      </c>
      <c r="H51" s="153" t="n">
        <f aca="false">F51+G51</f>
        <v>58.5</v>
      </c>
      <c r="I51" s="298" t="n">
        <f aca="false">B51*G51*DD51*DR51</f>
        <v>0</v>
      </c>
      <c r="J51" s="155" t="n">
        <f aca="false">(DH51+DI51)*$DR51</f>
        <v>0</v>
      </c>
      <c r="K51" s="299" t="n">
        <f aca="false">I51+J51</f>
        <v>0</v>
      </c>
      <c r="L51" s="24"/>
      <c r="M51" s="157" t="n">
        <f aca="false">A51</f>
        <v>37408</v>
      </c>
      <c r="N51" s="92" t="n">
        <v>58.5</v>
      </c>
      <c r="O51" s="92" t="n">
        <v>58.5</v>
      </c>
      <c r="P51" s="69" t="n">
        <f aca="false">AVERAGE(N51:O51)-F51</f>
        <v>0.5</v>
      </c>
      <c r="Q51" s="70"/>
      <c r="R51" s="91" t="n">
        <f aca="false">H51</f>
        <v>58.5</v>
      </c>
      <c r="S51" s="24"/>
      <c r="T51" s="24"/>
      <c r="U51" s="131"/>
      <c r="V51" s="158" t="n">
        <f aca="false">A51</f>
        <v>37408</v>
      </c>
      <c r="W51" s="159"/>
      <c r="X51" s="134"/>
      <c r="Y51" s="159"/>
      <c r="Z51" s="134"/>
      <c r="AA51" s="159"/>
      <c r="AB51" s="134"/>
      <c r="AC51" s="77"/>
      <c r="AD51" s="78"/>
      <c r="AE51" s="77"/>
      <c r="AF51" s="78"/>
      <c r="AG51" s="77"/>
      <c r="AH51" s="78"/>
      <c r="AI51" s="77"/>
      <c r="AJ51" s="78"/>
      <c r="AK51" s="77"/>
      <c r="AL51" s="78"/>
      <c r="AM51" s="77"/>
      <c r="AN51" s="78"/>
      <c r="AO51" s="77"/>
      <c r="AP51" s="78"/>
      <c r="AQ51" s="77"/>
      <c r="AR51" s="78"/>
      <c r="AS51" s="77"/>
      <c r="AT51" s="160"/>
      <c r="AU51" s="94"/>
      <c r="AV51" s="95"/>
      <c r="AW51" s="96"/>
      <c r="AX51" s="75"/>
      <c r="AY51" s="81"/>
      <c r="AZ51" s="75"/>
      <c r="BA51" s="81"/>
      <c r="BB51" s="75"/>
      <c r="BC51" s="81"/>
      <c r="BD51" s="75"/>
      <c r="BE51" s="81"/>
      <c r="BF51" s="75"/>
      <c r="BG51" s="81"/>
      <c r="BH51" s="75"/>
      <c r="BI51" s="81"/>
      <c r="BJ51" s="75"/>
      <c r="BK51" s="81"/>
      <c r="BL51" s="75"/>
      <c r="BM51" s="81"/>
      <c r="BN51" s="75"/>
      <c r="BO51" s="81"/>
      <c r="BP51" s="75"/>
      <c r="BQ51" s="81"/>
      <c r="BR51" s="75"/>
      <c r="BS51" s="81"/>
      <c r="BT51" s="75"/>
      <c r="BU51" s="81"/>
      <c r="BV51" s="75"/>
      <c r="BW51" s="81"/>
      <c r="BX51" s="75"/>
      <c r="BY51" s="81"/>
      <c r="BZ51" s="75"/>
      <c r="CA51" s="81"/>
      <c r="CB51" s="75"/>
      <c r="CC51" s="81"/>
      <c r="CD51" s="75"/>
      <c r="CE51" s="81"/>
      <c r="CF51" s="75"/>
      <c r="CG51" s="81"/>
      <c r="CH51" s="75"/>
      <c r="CI51" s="81"/>
      <c r="CJ51" s="75"/>
      <c r="CK51" s="81"/>
      <c r="CL51" s="75"/>
      <c r="CM51" s="81"/>
      <c r="CN51" s="75"/>
      <c r="CO51" s="81"/>
      <c r="CP51" s="75"/>
      <c r="CQ51" s="81"/>
      <c r="CR51" s="75"/>
      <c r="CS51" s="81"/>
      <c r="CT51" s="75"/>
      <c r="CU51" s="81"/>
      <c r="CV51" s="75"/>
      <c r="CW51" s="81"/>
      <c r="CX51" s="75"/>
      <c r="CY51" s="82" t="n">
        <f aca="false">W51+Y51+AA51+AC51+AE51+AG51+AI51+AK51+AM51+AO51+AQ51+AS51+AU51+AW51+AY51+BA51+BC51+BE51+BG51+BI51+BK51+BM51+BO51+BQ51+BS51+BU51+BW51+BY51+CA51+CC51+CE51+CG51+CI51+CK51+CM51+CO51+CQ51+CS51+CU51+CW51</f>
        <v>0</v>
      </c>
      <c r="CZ51" s="83" t="n">
        <f aca="false">IF(AND(CY51=0,DC51=0),0,(DF51+DG51)/DC51)</f>
        <v>0</v>
      </c>
      <c r="DB51" s="85" t="n">
        <f aca="false">V51</f>
        <v>37408</v>
      </c>
      <c r="DC51" s="84" t="n">
        <f aca="false">ABS(W51)+ABS(Y51)+ABS(AA51)+ABS(AC51)+ABS(AE51)+ABS(AG51)+ABS(AI51)+ABS(AK51)+ABS(AM51)+ABS(AO51)+ABS(AQ51)+ABS(AS51)+ABS(AU51)+ABS(AW51)+ABS(AY51)+ABS(BA51)+ABS(BC51)+ABS(BE51)+ABS(BG51)+ABS(BI51)+ABS(BK51)+ABS(BM51)+ABS(BO51)+ABS(BQ51)+ABS(BS51)+ABS(BU51)+ABS(BW51)+ABS(BY51)+ABS(CA51)+ABS(CC51)+ABS(CE51)+ABS(CG51)+ABS(CI51)+ABS(CK51)+ABS(CM51)+ABS(CO51)+ABS(CQ51)+ABS(CS51)+ABS(CU51)+ABS(CW51)</f>
        <v>0</v>
      </c>
      <c r="DD51" s="86" t="n">
        <v>16</v>
      </c>
      <c r="DE51" s="84" t="n">
        <v>1</v>
      </c>
      <c r="DF51" s="43" t="n">
        <f aca="false">(ABS(W51)*X51+ABS(Y51)*Z51+ABS(AA51)*AB51+ABS(AC51)*AD51+ABS(AE51)*AF51+ABS(AG51)*AH51+ABS(AI51)*AJ51+ABS(AK51)*AL51+ABS(AM51)*AN51+ABS(AO51)*AP51+ABS(AQ51)*AR51+ABS(AS51)*AT51+ABS(AU51)*AV51+ABS(AW51)*AX51+ABS(AY51)*AZ51+ABS(BA51)*BB51+ABS(BC51)*BD51+ABS(BE51)*BF51+ABS(BG51)*BH51+ABS(BI51)*BJ51)</f>
        <v>0</v>
      </c>
      <c r="DG51" s="43" t="n">
        <f aca="false">ABS(BK51)*BL51+ABS(BM51)*BN51+ABS(BO51)*BP51+ABS(BQ51)*BR51+ABS(BS51)*BT51+ABS(BU51)*BV51+ABS(BW51)*BX51+ABS(BY51)*BZ51+ABS(CA51)*CB51+ABS(CC51)*CD51+ABS(CE51)*CF51+ABS(CG51)*CH51+ABS(CI51)*CJ51+ABS(CK51)*CL51+ABS(CM51)*CN51+ABS(CO51)*CP51+ABS(CQ51)*CR51+ABS(CS51)*CT51+ABS(CU51)*CV51+ABS(CW51)*CX51</f>
        <v>0</v>
      </c>
      <c r="DH51" s="43" t="n">
        <f aca="false">((H51-X51)*W51+(H51-Z51)*Y51+(H51-AB51)*AA51+(H51-AD51)*AC51+(H51-AF51)*AE51+(H51-AH51)*AG51+(H51-AJ51)*AI51+(H51-AL51)*AK51+(H51-AN51)*AM51+(H51-AP51)*AO51+(H51-AR51)*AQ51+(H51-AT51)*AS51+(H51-AV51)*AU51+(H51-AX51)*AW51+(H51-AZ51)*AY51+(H51-BB51)*BA51+(H51-BD51)*BC51+(H51-BF51)*BE51+(H51-BH51)*BG51+(H51-BJ51)*BI51)*DD51*DE51</f>
        <v>0</v>
      </c>
      <c r="DI51" s="43" t="n">
        <f aca="false">(((H51-BL51)*BK51+(H51-BN51)*BM51+(H51-BP51)*BO51+(H51-BR51)*BQ51+(H51-BT51)*BS51+(H51-BV51)*BU51+(H51-BX51)*BW51+(H51-BZ51)*BY51+(H51-CB51)*CA51+(H51-CD51)*CC51+(H51-CF51)*CE51+(H51-CH51)*CG51+(H51-CJ51)*CH51+(H51-CL51)*CK51+(H51-CN51)*CM51+(H51-CP51)*CO51+(H51-CR51)*CQ51+(H51-CT51)*CS51+(H51-CV51)*CU51+(H51-CX51)*CW51)*DD51*DE51)</f>
        <v>0</v>
      </c>
      <c r="DK51" s="85" t="n">
        <v>36861</v>
      </c>
      <c r="DL51" s="21" t="n">
        <v>0</v>
      </c>
      <c r="DN51" s="21" t="n">
        <v>1</v>
      </c>
      <c r="DR51" s="146" t="n">
        <f aca="false">+'NYISO G'!DR51</f>
        <v>20</v>
      </c>
    </row>
    <row r="52" customFormat="false" ht="18.75" hidden="false" customHeight="false" outlineLevel="0" collapsed="false">
      <c r="A52" s="147" t="n">
        <f aca="false">'NYISO A'!A52</f>
        <v>37438</v>
      </c>
      <c r="B52" s="119" t="n">
        <f aca="false">+[3]NYZoneJ!$L43/16/DR52</f>
        <v>0</v>
      </c>
      <c r="C52" s="148" t="n">
        <f aca="false">CY52</f>
        <v>0</v>
      </c>
      <c r="D52" s="149" t="n">
        <f aca="false">(IF(MONTH(A52)=MONTH(EOMONTH(TradeDate,1)),$AP$70,0)*VLOOKUP(A52,$DK$12:$DN$43,4))</f>
        <v>0</v>
      </c>
      <c r="E52" s="150" t="n">
        <f aca="false">B52+C52+D52</f>
        <v>0</v>
      </c>
      <c r="F52" s="151" t="n">
        <f aca="false">[3]NYZoneJ!$C43</f>
        <v>85.5</v>
      </c>
      <c r="G52" s="152" t="n">
        <f aca="false">IF($Q$9,Q52,P52)</f>
        <v>-25</v>
      </c>
      <c r="H52" s="153" t="n">
        <f aca="false">F52+G52</f>
        <v>60.5</v>
      </c>
      <c r="I52" s="298" t="n">
        <f aca="false">B52*G52*DD52*DR52</f>
        <v>-0</v>
      </c>
      <c r="J52" s="155" t="n">
        <f aca="false">(DH52+DI52)*$DR52</f>
        <v>0</v>
      </c>
      <c r="K52" s="299" t="n">
        <f aca="false">I52+J52</f>
        <v>0</v>
      </c>
      <c r="L52" s="24"/>
      <c r="M52" s="157" t="n">
        <f aca="false">A52</f>
        <v>37438</v>
      </c>
      <c r="N52" s="92" t="n">
        <v>60.5</v>
      </c>
      <c r="O52" s="92" t="n">
        <v>60.5</v>
      </c>
      <c r="P52" s="69" t="n">
        <f aca="false">AVERAGE(N52:O52)-F52</f>
        <v>-25</v>
      </c>
      <c r="Q52" s="70"/>
      <c r="R52" s="91" t="n">
        <f aca="false">H52</f>
        <v>60.5</v>
      </c>
      <c r="S52" s="24"/>
      <c r="T52" s="24"/>
      <c r="U52" s="131"/>
      <c r="V52" s="158" t="n">
        <f aca="false">A52</f>
        <v>37438</v>
      </c>
      <c r="W52" s="159"/>
      <c r="X52" s="134"/>
      <c r="Y52" s="159"/>
      <c r="Z52" s="134"/>
      <c r="AA52" s="159"/>
      <c r="AB52" s="134"/>
      <c r="AC52" s="77"/>
      <c r="AD52" s="78"/>
      <c r="AE52" s="77"/>
      <c r="AF52" s="78"/>
      <c r="AG52" s="77"/>
      <c r="AH52" s="78"/>
      <c r="AI52" s="77"/>
      <c r="AJ52" s="78"/>
      <c r="AK52" s="77"/>
      <c r="AL52" s="78"/>
      <c r="AM52" s="77"/>
      <c r="AN52" s="78"/>
      <c r="AO52" s="77"/>
      <c r="AP52" s="78"/>
      <c r="AQ52" s="77"/>
      <c r="AR52" s="78"/>
      <c r="AS52" s="77"/>
      <c r="AT52" s="160"/>
      <c r="AU52" s="94"/>
      <c r="AV52" s="95"/>
      <c r="AW52" s="96"/>
      <c r="AX52" s="75"/>
      <c r="AY52" s="81"/>
      <c r="AZ52" s="75"/>
      <c r="BA52" s="81"/>
      <c r="BB52" s="75"/>
      <c r="BC52" s="81"/>
      <c r="BD52" s="75"/>
      <c r="BE52" s="81"/>
      <c r="BF52" s="75"/>
      <c r="BG52" s="81"/>
      <c r="BH52" s="75"/>
      <c r="BI52" s="81"/>
      <c r="BJ52" s="75"/>
      <c r="BK52" s="81"/>
      <c r="BL52" s="75"/>
      <c r="BM52" s="81"/>
      <c r="BN52" s="75"/>
      <c r="BO52" s="81"/>
      <c r="BP52" s="75"/>
      <c r="BQ52" s="81"/>
      <c r="BR52" s="75"/>
      <c r="BS52" s="81"/>
      <c r="BT52" s="75"/>
      <c r="BU52" s="81"/>
      <c r="BV52" s="75"/>
      <c r="BW52" s="81"/>
      <c r="BX52" s="75"/>
      <c r="BY52" s="81"/>
      <c r="BZ52" s="75"/>
      <c r="CA52" s="81"/>
      <c r="CB52" s="75"/>
      <c r="CC52" s="81"/>
      <c r="CD52" s="75"/>
      <c r="CE52" s="81"/>
      <c r="CF52" s="75"/>
      <c r="CG52" s="81"/>
      <c r="CH52" s="75"/>
      <c r="CI52" s="81"/>
      <c r="CJ52" s="75"/>
      <c r="CK52" s="81"/>
      <c r="CL52" s="75"/>
      <c r="CM52" s="81"/>
      <c r="CN52" s="75"/>
      <c r="CO52" s="81"/>
      <c r="CP52" s="75"/>
      <c r="CQ52" s="81"/>
      <c r="CR52" s="75"/>
      <c r="CS52" s="81"/>
      <c r="CT52" s="75"/>
      <c r="CU52" s="81"/>
      <c r="CV52" s="75"/>
      <c r="CW52" s="81"/>
      <c r="CX52" s="75"/>
      <c r="CY52" s="82" t="n">
        <f aca="false">W52+Y52+AA52+AC52+AE52+AG52+AI52+AK52+AM52+AO52+AQ52+AS52+AU52+AW52+AY52+BA52+BC52+BE52+BG52+BI52+BK52+BM52+BO52+BQ52+BS52+BU52+BW52+BY52+CA52+CC52+CE52+CG52+CI52+CK52+CM52+CO52+CQ52+CS52+CU52+CW52</f>
        <v>0</v>
      </c>
      <c r="CZ52" s="83" t="n">
        <f aca="false">IF(AND(CY52=0,DC52=0),0,(DF52+DG52)/DC52)</f>
        <v>0</v>
      </c>
      <c r="DB52" s="85" t="n">
        <f aca="false">V52</f>
        <v>37438</v>
      </c>
      <c r="DC52" s="84" t="n">
        <f aca="false">ABS(W52)+ABS(Y52)+ABS(AA52)+ABS(AC52)+ABS(AE52)+ABS(AG52)+ABS(AI52)+ABS(AK52)+ABS(AM52)+ABS(AO52)+ABS(AQ52)+ABS(AS52)+ABS(AU52)+ABS(AW52)+ABS(AY52)+ABS(BA52)+ABS(BC52)+ABS(BE52)+ABS(BG52)+ABS(BI52)+ABS(BK52)+ABS(BM52)+ABS(BO52)+ABS(BQ52)+ABS(BS52)+ABS(BU52)+ABS(BW52)+ABS(BY52)+ABS(CA52)+ABS(CC52)+ABS(CE52)+ABS(CG52)+ABS(CI52)+ABS(CK52)+ABS(CM52)+ABS(CO52)+ABS(CQ52)+ABS(CS52)+ABS(CU52)+ABS(CW52)</f>
        <v>0</v>
      </c>
      <c r="DD52" s="86" t="n">
        <v>16</v>
      </c>
      <c r="DE52" s="84" t="n">
        <v>1</v>
      </c>
      <c r="DF52" s="43" t="n">
        <f aca="false">(ABS(W52)*X52+ABS(Y52)*Z52+ABS(AA52)*AB52+ABS(AC52)*AD52+ABS(AE52)*AF52+ABS(AG52)*AH52+ABS(AI52)*AJ52+ABS(AK52)*AL52+ABS(AM52)*AN52+ABS(AO52)*AP52+ABS(AQ52)*AR52+ABS(AS52)*AT52+ABS(AU52)*AV52+ABS(AW52)*AX52+ABS(AY52)*AZ52+ABS(BA52)*BB52+ABS(BC52)*BD52+ABS(BE52)*BF52+ABS(BG52)*BH52+ABS(BI52)*BJ52)</f>
        <v>0</v>
      </c>
      <c r="DG52" s="43" t="n">
        <f aca="false">ABS(BK52)*BL52+ABS(BM52)*BN52+ABS(BO52)*BP52+ABS(BQ52)*BR52+ABS(BS52)*BT52+ABS(BU52)*BV52+ABS(BW52)*BX52+ABS(BY52)*BZ52+ABS(CA52)*CB52+ABS(CC52)*CD52+ABS(CE52)*CF52+ABS(CG52)*CH52+ABS(CI52)*CJ52+ABS(CK52)*CL52+ABS(CM52)*CN52+ABS(CO52)*CP52+ABS(CQ52)*CR52+ABS(CS52)*CT52+ABS(CU52)*CV52+ABS(CW52)*CX52</f>
        <v>0</v>
      </c>
      <c r="DH52" s="43" t="n">
        <f aca="false">((H52-X52)*W52+(H52-Z52)*Y52+(H52-AB52)*AA52+(H52-AD52)*AC52+(H52-AF52)*AE52+(H52-AH52)*AG52+(H52-AJ52)*AI52+(H52-AL52)*AK52+(H52-AN52)*AM52+(H52-AP52)*AO52+(H52-AR52)*AQ52+(H52-AT52)*AS52+(H52-AV52)*AU52+(H52-AX52)*AW52+(H52-AZ52)*AY52+(H52-BB52)*BA52+(H52-BD52)*BC52+(H52-BF52)*BE52+(H52-BH52)*BG52+(H52-BJ52)*BI52)*DD52*DE52</f>
        <v>0</v>
      </c>
      <c r="DI52" s="43" t="n">
        <f aca="false">(((H52-BL52)*BK52+(H52-BN52)*BM52+(H52-BP52)*BO52+(H52-BR52)*BQ52+(H52-BT52)*BS52+(H52-BV52)*BU52+(H52-BX52)*BW52+(H52-BZ52)*BY52+(H52-CB52)*CA52+(H52-CD52)*CC52+(H52-CF52)*CE52+(H52-CH52)*CG52+(H52-CJ52)*CH52+(H52-CL52)*CK52+(H52-CN52)*CM52+(H52-CP52)*CO52+(H52-CR52)*CQ52+(H52-CT52)*CS52+(H52-CV52)*CU52+(H52-CX52)*CW52)*DD52*DE52)</f>
        <v>0</v>
      </c>
      <c r="DK52" s="85" t="n">
        <v>36861</v>
      </c>
      <c r="DL52" s="21" t="n">
        <v>0</v>
      </c>
      <c r="DN52" s="21" t="n">
        <v>1</v>
      </c>
      <c r="DR52" s="146" t="n">
        <f aca="false">+'NYISO G'!DR52</f>
        <v>22</v>
      </c>
    </row>
    <row r="53" customFormat="false" ht="18.75" hidden="false" customHeight="false" outlineLevel="0" collapsed="false">
      <c r="A53" s="147" t="n">
        <f aca="false">'NYISO A'!A53</f>
        <v>37469</v>
      </c>
      <c r="B53" s="119" t="n">
        <f aca="false">+[3]NYZoneJ!$L44/16/DR53</f>
        <v>0</v>
      </c>
      <c r="C53" s="148" t="n">
        <f aca="false">CY53</f>
        <v>0</v>
      </c>
      <c r="D53" s="149" t="n">
        <f aca="false">(IF(MONTH(A53)=MONTH(EOMONTH(TradeDate,1)),$AP$70,0)*VLOOKUP(A53,$DK$12:$DN$43,4))</f>
        <v>0</v>
      </c>
      <c r="E53" s="150" t="n">
        <f aca="false">B53+C53+D53</f>
        <v>0</v>
      </c>
      <c r="F53" s="151" t="n">
        <f aca="false">[3]NYZoneJ!$C44</f>
        <v>85.5</v>
      </c>
      <c r="G53" s="152" t="n">
        <f aca="false">IF($Q$9,Q53,P53)</f>
        <v>-24</v>
      </c>
      <c r="H53" s="153" t="n">
        <f aca="false">F53+G53</f>
        <v>61.5</v>
      </c>
      <c r="I53" s="298" t="n">
        <f aca="false">B53*G53*DD53*DR53</f>
        <v>-0</v>
      </c>
      <c r="J53" s="155" t="n">
        <f aca="false">(DH53+DI53)*$DR53</f>
        <v>0</v>
      </c>
      <c r="K53" s="299" t="n">
        <f aca="false">I53+J53</f>
        <v>0</v>
      </c>
      <c r="L53" s="24"/>
      <c r="M53" s="157" t="n">
        <f aca="false">A53</f>
        <v>37469</v>
      </c>
      <c r="N53" s="92" t="n">
        <v>61.5</v>
      </c>
      <c r="O53" s="92" t="n">
        <v>61.5</v>
      </c>
      <c r="P53" s="69" t="n">
        <f aca="false">AVERAGE(N53:O53)-F53</f>
        <v>-24</v>
      </c>
      <c r="Q53" s="70"/>
      <c r="R53" s="91" t="n">
        <f aca="false">H53</f>
        <v>61.5</v>
      </c>
      <c r="S53" s="24"/>
      <c r="T53" s="24"/>
      <c r="U53" s="131"/>
      <c r="V53" s="158" t="n">
        <f aca="false">A53</f>
        <v>37469</v>
      </c>
      <c r="W53" s="159"/>
      <c r="X53" s="134"/>
      <c r="Y53" s="159"/>
      <c r="Z53" s="134"/>
      <c r="AA53" s="159"/>
      <c r="AB53" s="134"/>
      <c r="AC53" s="77"/>
      <c r="AD53" s="78"/>
      <c r="AE53" s="77"/>
      <c r="AF53" s="78"/>
      <c r="AG53" s="77"/>
      <c r="AH53" s="78"/>
      <c r="AI53" s="77"/>
      <c r="AJ53" s="78"/>
      <c r="AK53" s="77"/>
      <c r="AL53" s="78"/>
      <c r="AM53" s="77"/>
      <c r="AN53" s="78"/>
      <c r="AO53" s="77"/>
      <c r="AP53" s="78"/>
      <c r="AQ53" s="77"/>
      <c r="AR53" s="78"/>
      <c r="AS53" s="77"/>
      <c r="AT53" s="160"/>
      <c r="AU53" s="94"/>
      <c r="AV53" s="95"/>
      <c r="AW53" s="96"/>
      <c r="AX53" s="75"/>
      <c r="AY53" s="81"/>
      <c r="AZ53" s="75"/>
      <c r="BA53" s="81"/>
      <c r="BB53" s="75"/>
      <c r="BC53" s="81"/>
      <c r="BD53" s="75"/>
      <c r="BE53" s="81"/>
      <c r="BF53" s="75"/>
      <c r="BG53" s="81"/>
      <c r="BH53" s="75"/>
      <c r="BI53" s="81"/>
      <c r="BJ53" s="75"/>
      <c r="BK53" s="81"/>
      <c r="BL53" s="75"/>
      <c r="BM53" s="81"/>
      <c r="BN53" s="75"/>
      <c r="BO53" s="81"/>
      <c r="BP53" s="75"/>
      <c r="BQ53" s="81"/>
      <c r="BR53" s="75"/>
      <c r="BS53" s="81"/>
      <c r="BT53" s="75"/>
      <c r="BU53" s="81"/>
      <c r="BV53" s="75"/>
      <c r="BW53" s="81"/>
      <c r="BX53" s="75"/>
      <c r="BY53" s="81"/>
      <c r="BZ53" s="75"/>
      <c r="CA53" s="81"/>
      <c r="CB53" s="75"/>
      <c r="CC53" s="81"/>
      <c r="CD53" s="75"/>
      <c r="CE53" s="81"/>
      <c r="CF53" s="75"/>
      <c r="CG53" s="81"/>
      <c r="CH53" s="75"/>
      <c r="CI53" s="81"/>
      <c r="CJ53" s="75"/>
      <c r="CK53" s="81"/>
      <c r="CL53" s="75"/>
      <c r="CM53" s="81"/>
      <c r="CN53" s="75"/>
      <c r="CO53" s="81"/>
      <c r="CP53" s="75"/>
      <c r="CQ53" s="81"/>
      <c r="CR53" s="75"/>
      <c r="CS53" s="81"/>
      <c r="CT53" s="75"/>
      <c r="CU53" s="81"/>
      <c r="CV53" s="75"/>
      <c r="CW53" s="81"/>
      <c r="CX53" s="75"/>
      <c r="CY53" s="82" t="n">
        <f aca="false">W53+Y53+AA53+AC53+AE53+AG53+AI53+AK53+AM53+AO53+AQ53+AS53+AU53+AW53+AY53+BA53+BC53+BE53+BG53+BI53+BK53+BM53+BO53+BQ53+BS53+BU53+BW53+BY53+CA53+CC53+CE53+CG53+CI53+CK53+CM53+CO53+CQ53+CS53+CU53+CW53</f>
        <v>0</v>
      </c>
      <c r="CZ53" s="83" t="n">
        <f aca="false">IF(AND(CY53=0,DC53=0),0,(DF53+DG53)/DC53)</f>
        <v>0</v>
      </c>
      <c r="DB53" s="85" t="n">
        <f aca="false">V53</f>
        <v>37469</v>
      </c>
      <c r="DC53" s="84" t="n">
        <f aca="false">ABS(W53)+ABS(Y53)+ABS(AA53)+ABS(AC53)+ABS(AE53)+ABS(AG53)+ABS(AI53)+ABS(AK53)+ABS(AM53)+ABS(AO53)+ABS(AQ53)+ABS(AS53)+ABS(AU53)+ABS(AW53)+ABS(AY53)+ABS(BA53)+ABS(BC53)+ABS(BE53)+ABS(BG53)+ABS(BI53)+ABS(BK53)+ABS(BM53)+ABS(BO53)+ABS(BQ53)+ABS(BS53)+ABS(BU53)+ABS(BW53)+ABS(BY53)+ABS(CA53)+ABS(CC53)+ABS(CE53)+ABS(CG53)+ABS(CI53)+ABS(CK53)+ABS(CM53)+ABS(CO53)+ABS(CQ53)+ABS(CS53)+ABS(CU53)+ABS(CW53)</f>
        <v>0</v>
      </c>
      <c r="DD53" s="86" t="n">
        <v>16</v>
      </c>
      <c r="DE53" s="84" t="n">
        <v>1</v>
      </c>
      <c r="DF53" s="43" t="n">
        <f aca="false">(ABS(W53)*X53+ABS(Y53)*Z53+ABS(AA53)*AB53+ABS(AC53)*AD53+ABS(AE53)*AF53+ABS(AG53)*AH53+ABS(AI53)*AJ53+ABS(AK53)*AL53+ABS(AM53)*AN53+ABS(AO53)*AP53+ABS(AQ53)*AR53+ABS(AS53)*AT53+ABS(AU53)*AV53+ABS(AW53)*AX53+ABS(AY53)*AZ53+ABS(BA53)*BB53+ABS(BC53)*BD53+ABS(BE53)*BF53+ABS(BG53)*BH53+ABS(BI53)*BJ53)</f>
        <v>0</v>
      </c>
      <c r="DG53" s="43" t="n">
        <f aca="false">ABS(BK53)*BL53+ABS(BM53)*BN53+ABS(BO53)*BP53+ABS(BQ53)*BR53+ABS(BS53)*BT53+ABS(BU53)*BV53+ABS(BW53)*BX53+ABS(BY53)*BZ53+ABS(CA53)*CB53+ABS(CC53)*CD53+ABS(CE53)*CF53+ABS(CG53)*CH53+ABS(CI53)*CJ53+ABS(CK53)*CL53+ABS(CM53)*CN53+ABS(CO53)*CP53+ABS(CQ53)*CR53+ABS(CS53)*CT53+ABS(CU53)*CV53+ABS(CW53)*CX53</f>
        <v>0</v>
      </c>
      <c r="DH53" s="43" t="n">
        <f aca="false">((H53-X53)*W53+(H53-Z53)*Y53+(H53-AB53)*AA53+(H53-AD53)*AC53+(H53-AF53)*AE53+(H53-AH53)*AG53+(H53-AJ53)*AI53+(H53-AL53)*AK53+(H53-AN53)*AM53+(H53-AP53)*AO53+(H53-AR53)*AQ53+(H53-AT53)*AS53+(H53-AV53)*AU53+(H53-AX53)*AW53+(H53-AZ53)*AY53+(H53-BB53)*BA53+(H53-BD53)*BC53+(H53-BF53)*BE53+(H53-BH53)*BG53+(H53-BJ53)*BI53)*DD53*DE53</f>
        <v>0</v>
      </c>
      <c r="DI53" s="43" t="n">
        <f aca="false">(((H53-BL53)*BK53+(H53-BN53)*BM53+(H53-BP53)*BO53+(H53-BR53)*BQ53+(H53-BT53)*BS53+(H53-BV53)*BU53+(H53-BX53)*BW53+(H53-BZ53)*BY53+(H53-CB53)*CA53+(H53-CD53)*CC53+(H53-CF53)*CE53+(H53-CH53)*CG53+(H53-CJ53)*CH53+(H53-CL53)*CK53+(H53-CN53)*CM53+(H53-CP53)*CO53+(H53-CR53)*CQ53+(H53-CT53)*CS53+(H53-CV53)*CU53+(H53-CX53)*CW53)*DD53*DE53)</f>
        <v>0</v>
      </c>
      <c r="DK53" s="85" t="n">
        <v>36861</v>
      </c>
      <c r="DL53" s="21" t="n">
        <v>0</v>
      </c>
      <c r="DN53" s="21" t="n">
        <v>1</v>
      </c>
      <c r="DR53" s="146" t="n">
        <f aca="false">+'NYISO G'!DR53</f>
        <v>22</v>
      </c>
    </row>
    <row r="54" customFormat="false" ht="18.75" hidden="false" customHeight="false" outlineLevel="0" collapsed="false">
      <c r="A54" s="147" t="n">
        <f aca="false">'NYISO A'!A54</f>
        <v>37500</v>
      </c>
      <c r="B54" s="119" t="n">
        <f aca="false">+[3]NYZoneJ!$L45/16/DR54</f>
        <v>0</v>
      </c>
      <c r="C54" s="148" t="n">
        <f aca="false">CY54</f>
        <v>0</v>
      </c>
      <c r="D54" s="149" t="n">
        <f aca="false">(IF(MONTH(A54)=MONTH(EOMONTH(TradeDate,1)),$AP$70,0)*VLOOKUP(A54,$DK$12:$DN$43,4))</f>
        <v>0</v>
      </c>
      <c r="E54" s="150" t="n">
        <f aca="false">B54+C54+D54</f>
        <v>0</v>
      </c>
      <c r="F54" s="151" t="n">
        <f aca="false">[3]NYZoneJ!$C45</f>
        <v>48.5</v>
      </c>
      <c r="G54" s="152" t="n">
        <f aca="false">IF($Q$9,Q54,P54)</f>
        <v>13</v>
      </c>
      <c r="H54" s="153" t="n">
        <f aca="false">F54+G54</f>
        <v>61.5</v>
      </c>
      <c r="I54" s="298" t="n">
        <f aca="false">B54*G54*DD54*DR54</f>
        <v>0</v>
      </c>
      <c r="J54" s="155" t="n">
        <f aca="false">(DH54+DI54)*$DR54</f>
        <v>0</v>
      </c>
      <c r="K54" s="299" t="n">
        <f aca="false">I54+J54</f>
        <v>0</v>
      </c>
      <c r="L54" s="24"/>
      <c r="M54" s="157" t="n">
        <f aca="false">A54</f>
        <v>37500</v>
      </c>
      <c r="N54" s="92" t="n">
        <v>61</v>
      </c>
      <c r="O54" s="92" t="n">
        <v>62</v>
      </c>
      <c r="P54" s="69" t="n">
        <f aca="false">AVERAGE(N54:O54)-F54</f>
        <v>13</v>
      </c>
      <c r="Q54" s="70"/>
      <c r="R54" s="91" t="n">
        <f aca="false">H54</f>
        <v>61.5</v>
      </c>
      <c r="S54" s="24"/>
      <c r="T54" s="24"/>
      <c r="U54" s="131"/>
      <c r="V54" s="158" t="n">
        <f aca="false">A54</f>
        <v>37500</v>
      </c>
      <c r="W54" s="159"/>
      <c r="X54" s="134"/>
      <c r="Y54" s="159"/>
      <c r="Z54" s="134"/>
      <c r="AA54" s="159"/>
      <c r="AB54" s="134"/>
      <c r="AC54" s="77"/>
      <c r="AD54" s="78"/>
      <c r="AE54" s="77"/>
      <c r="AF54" s="78"/>
      <c r="AG54" s="77"/>
      <c r="AH54" s="78"/>
      <c r="AI54" s="77"/>
      <c r="AJ54" s="78"/>
      <c r="AK54" s="77"/>
      <c r="AL54" s="78"/>
      <c r="AM54" s="77"/>
      <c r="AN54" s="78"/>
      <c r="AO54" s="77"/>
      <c r="AP54" s="78"/>
      <c r="AQ54" s="77"/>
      <c r="AR54" s="78"/>
      <c r="AS54" s="77"/>
      <c r="AT54" s="160"/>
      <c r="AU54" s="94"/>
      <c r="AV54" s="95"/>
      <c r="AW54" s="96"/>
      <c r="AX54" s="75"/>
      <c r="AY54" s="81"/>
      <c r="AZ54" s="75"/>
      <c r="BA54" s="81"/>
      <c r="BB54" s="75"/>
      <c r="BC54" s="81"/>
      <c r="BD54" s="75"/>
      <c r="BE54" s="81"/>
      <c r="BF54" s="75"/>
      <c r="BG54" s="81"/>
      <c r="BH54" s="75"/>
      <c r="BI54" s="81"/>
      <c r="BJ54" s="75"/>
      <c r="BK54" s="81"/>
      <c r="BL54" s="75"/>
      <c r="BM54" s="81"/>
      <c r="BN54" s="75"/>
      <c r="BO54" s="81"/>
      <c r="BP54" s="75"/>
      <c r="BQ54" s="81"/>
      <c r="BR54" s="75"/>
      <c r="BS54" s="81"/>
      <c r="BT54" s="75"/>
      <c r="BU54" s="81"/>
      <c r="BV54" s="75"/>
      <c r="BW54" s="81"/>
      <c r="BX54" s="75"/>
      <c r="BY54" s="81"/>
      <c r="BZ54" s="75"/>
      <c r="CA54" s="81"/>
      <c r="CB54" s="75"/>
      <c r="CC54" s="81"/>
      <c r="CD54" s="75"/>
      <c r="CE54" s="81"/>
      <c r="CF54" s="75"/>
      <c r="CG54" s="81"/>
      <c r="CH54" s="75"/>
      <c r="CI54" s="81"/>
      <c r="CJ54" s="75"/>
      <c r="CK54" s="81"/>
      <c r="CL54" s="75"/>
      <c r="CM54" s="81"/>
      <c r="CN54" s="75"/>
      <c r="CO54" s="81"/>
      <c r="CP54" s="75"/>
      <c r="CQ54" s="81"/>
      <c r="CR54" s="75"/>
      <c r="CS54" s="81"/>
      <c r="CT54" s="75"/>
      <c r="CU54" s="81"/>
      <c r="CV54" s="75"/>
      <c r="CW54" s="81"/>
      <c r="CX54" s="75"/>
      <c r="CY54" s="82" t="n">
        <f aca="false">W54+Y54+AA54+AC54+AE54+AG54+AI54+AK54+AM54+AO54+AQ54+AS54+AU54+AW54+AY54+BA54+BC54+BE54+BG54+BI54+BK54+BM54+BO54+BQ54+BS54+BU54+BW54+BY54+CA54+CC54+CE54+CG54+CI54+CK54+CM54+CO54+CQ54+CS54+CU54+CW54</f>
        <v>0</v>
      </c>
      <c r="CZ54" s="83" t="n">
        <f aca="false">IF(AND(CY54=0,DC54=0),0,(DF54+DG54)/DC54)</f>
        <v>0</v>
      </c>
      <c r="DB54" s="85" t="n">
        <f aca="false">V54</f>
        <v>37500</v>
      </c>
      <c r="DC54" s="84" t="n">
        <f aca="false">ABS(W54)+ABS(Y54)+ABS(AA54)+ABS(AC54)+ABS(AE54)+ABS(AG54)+ABS(AI54)+ABS(AK54)+ABS(AM54)+ABS(AO54)+ABS(AQ54)+ABS(AS54)+ABS(AU54)+ABS(AW54)+ABS(AY54)+ABS(BA54)+ABS(BC54)+ABS(BE54)+ABS(BG54)+ABS(BI54)+ABS(BK54)+ABS(BM54)+ABS(BO54)+ABS(BQ54)+ABS(BS54)+ABS(BU54)+ABS(BW54)+ABS(BY54)+ABS(CA54)+ABS(CC54)+ABS(CE54)+ABS(CG54)+ABS(CI54)+ABS(CK54)+ABS(CM54)+ABS(CO54)+ABS(CQ54)+ABS(CS54)+ABS(CU54)+ABS(CW54)</f>
        <v>0</v>
      </c>
      <c r="DD54" s="86" t="n">
        <v>16</v>
      </c>
      <c r="DE54" s="84" t="n">
        <v>1</v>
      </c>
      <c r="DF54" s="43" t="n">
        <f aca="false">(ABS(W54)*X54+ABS(Y54)*Z54+ABS(AA54)*AB54+ABS(AC54)*AD54+ABS(AE54)*AF54+ABS(AG54)*AH54+ABS(AI54)*AJ54+ABS(AK54)*AL54+ABS(AM54)*AN54+ABS(AO54)*AP54+ABS(AQ54)*AR54+ABS(AS54)*AT54+ABS(AU54)*AV54+ABS(AW54)*AX54+ABS(AY54)*AZ54+ABS(BA54)*BB54+ABS(BC54)*BD54+ABS(BE54)*BF54+ABS(BG54)*BH54+ABS(BI54)*BJ54)</f>
        <v>0</v>
      </c>
      <c r="DG54" s="43" t="n">
        <f aca="false">ABS(BK54)*BL54+ABS(BM54)*BN54+ABS(BO54)*BP54+ABS(BQ54)*BR54+ABS(BS54)*BT54+ABS(BU54)*BV54+ABS(BW54)*BX54+ABS(BY54)*BZ54+ABS(CA54)*CB54+ABS(CC54)*CD54+ABS(CE54)*CF54+ABS(CG54)*CH54+ABS(CI54)*CJ54+ABS(CK54)*CL54+ABS(CM54)*CN54+ABS(CO54)*CP54+ABS(CQ54)*CR54+ABS(CS54)*CT54+ABS(CU54)*CV54+ABS(CW54)*CX54</f>
        <v>0</v>
      </c>
      <c r="DH54" s="43" t="n">
        <f aca="false">((H54-X54)*W54+(H54-Z54)*Y54+(H54-AB54)*AA54+(H54-AD54)*AC54+(H54-AF54)*AE54+(H54-AH54)*AG54+(H54-AJ54)*AI54+(H54-AL54)*AK54+(H54-AN54)*AM54+(H54-AP54)*AO54+(H54-AR54)*AQ54+(H54-AT54)*AS54+(H54-AV54)*AU54+(H54-AX54)*AW54+(H54-AZ54)*AY54+(H54-BB54)*BA54+(H54-BD54)*BC54+(H54-BF54)*BE54+(H54-BH54)*BG54+(H54-BJ54)*BI54)*DD54*DE54</f>
        <v>0</v>
      </c>
      <c r="DI54" s="43" t="n">
        <f aca="false">(((H54-BL54)*BK54+(H54-BN54)*BM54+(H54-BP54)*BO54+(H54-BR54)*BQ54+(H54-BT54)*BS54+(H54-BV54)*BU54+(H54-BX54)*BW54+(H54-BZ54)*BY54+(H54-CB54)*CA54+(H54-CD54)*CC54+(H54-CF54)*CE54+(H54-CH54)*CG54+(H54-CJ54)*CH54+(H54-CL54)*CK54+(H54-CN54)*CM54+(H54-CP54)*CO54+(H54-CR54)*CQ54+(H54-CT54)*CS54+(H54-CV54)*CU54+(H54-CX54)*CW54)*DD54*DE54)</f>
        <v>0</v>
      </c>
      <c r="DK54" s="85" t="n">
        <v>36861</v>
      </c>
      <c r="DL54" s="21" t="n">
        <v>0</v>
      </c>
      <c r="DN54" s="21" t="n">
        <v>1</v>
      </c>
      <c r="DR54" s="146" t="n">
        <f aca="false">+'NYISO G'!DR54</f>
        <v>20</v>
      </c>
    </row>
    <row r="55" customFormat="false" ht="18.75" hidden="false" customHeight="false" outlineLevel="0" collapsed="false">
      <c r="A55" s="147" t="n">
        <f aca="false">'NYISO A'!A55</f>
        <v>37530</v>
      </c>
      <c r="B55" s="119" t="n">
        <f aca="false">+[3]NYZoneJ!$L46/16/DR55</f>
        <v>0</v>
      </c>
      <c r="C55" s="148" t="n">
        <f aca="false">CY55</f>
        <v>0</v>
      </c>
      <c r="D55" s="149" t="n">
        <f aca="false">(IF(MONTH(A55)=MONTH(EOMONTH(TradeDate,1)),$AP$70,0)*VLOOKUP(A55,$DK$12:$DN$43,4))</f>
        <v>0</v>
      </c>
      <c r="E55" s="150" t="n">
        <f aca="false">B55+C55+D55</f>
        <v>0</v>
      </c>
      <c r="F55" s="151" t="n">
        <f aca="false">[3]NYZoneJ!$C46</f>
        <v>47.5</v>
      </c>
      <c r="G55" s="152" t="n">
        <f aca="false">IF($Q$9,Q55,P55)</f>
        <v>37.5</v>
      </c>
      <c r="H55" s="153" t="n">
        <f aca="false">F55+G55</f>
        <v>85</v>
      </c>
      <c r="I55" s="298" t="n">
        <f aca="false">B55*G55*DD55*DR55</f>
        <v>0</v>
      </c>
      <c r="J55" s="155" t="n">
        <f aca="false">(DH55+DI55)*$DR55</f>
        <v>0</v>
      </c>
      <c r="K55" s="299" t="n">
        <f aca="false">I55+J55</f>
        <v>0</v>
      </c>
      <c r="L55" s="24"/>
      <c r="M55" s="157" t="n">
        <f aca="false">A55</f>
        <v>37530</v>
      </c>
      <c r="N55" s="92" t="n">
        <v>85</v>
      </c>
      <c r="O55" s="92" t="n">
        <v>85</v>
      </c>
      <c r="P55" s="69" t="n">
        <f aca="false">AVERAGE(N55:O55)-F55</f>
        <v>37.5</v>
      </c>
      <c r="Q55" s="70"/>
      <c r="R55" s="91" t="n">
        <f aca="false">H55</f>
        <v>85</v>
      </c>
      <c r="S55" s="24"/>
      <c r="T55" s="24"/>
      <c r="U55" s="131"/>
      <c r="V55" s="157" t="n">
        <f aca="false">A55</f>
        <v>37530</v>
      </c>
      <c r="W55" s="159"/>
      <c r="X55" s="134"/>
      <c r="Y55" s="159"/>
      <c r="Z55" s="134"/>
      <c r="AA55" s="159"/>
      <c r="AB55" s="134"/>
      <c r="AC55" s="77"/>
      <c r="AD55" s="78"/>
      <c r="AE55" s="77"/>
      <c r="AF55" s="78"/>
      <c r="AG55" s="77"/>
      <c r="AH55" s="78"/>
      <c r="AI55" s="77"/>
      <c r="AJ55" s="78"/>
      <c r="AK55" s="77"/>
      <c r="AL55" s="78"/>
      <c r="AM55" s="77"/>
      <c r="AN55" s="78"/>
      <c r="AO55" s="77"/>
      <c r="AP55" s="78"/>
      <c r="AQ55" s="77"/>
      <c r="AR55" s="78"/>
      <c r="AS55" s="77"/>
      <c r="AT55" s="160"/>
      <c r="AU55" s="94"/>
      <c r="AV55" s="95"/>
      <c r="AW55" s="96"/>
      <c r="AX55" s="75"/>
      <c r="AY55" s="81"/>
      <c r="AZ55" s="75"/>
      <c r="BA55" s="81"/>
      <c r="BB55" s="75"/>
      <c r="BC55" s="81"/>
      <c r="BD55" s="75"/>
      <c r="BE55" s="81"/>
      <c r="BF55" s="75"/>
      <c r="BG55" s="81"/>
      <c r="BH55" s="75"/>
      <c r="BI55" s="81"/>
      <c r="BJ55" s="75"/>
      <c r="BK55" s="81"/>
      <c r="BL55" s="75"/>
      <c r="BM55" s="81"/>
      <c r="BN55" s="75"/>
      <c r="BO55" s="81"/>
      <c r="BP55" s="75"/>
      <c r="BQ55" s="81"/>
      <c r="BR55" s="75"/>
      <c r="BS55" s="81"/>
      <c r="BT55" s="75"/>
      <c r="BU55" s="81"/>
      <c r="BV55" s="75"/>
      <c r="BW55" s="81"/>
      <c r="BX55" s="75"/>
      <c r="BY55" s="81"/>
      <c r="BZ55" s="75"/>
      <c r="CA55" s="81"/>
      <c r="CB55" s="75"/>
      <c r="CC55" s="81"/>
      <c r="CD55" s="75"/>
      <c r="CE55" s="81"/>
      <c r="CF55" s="75"/>
      <c r="CG55" s="81"/>
      <c r="CH55" s="75"/>
      <c r="CI55" s="81"/>
      <c r="CJ55" s="75"/>
      <c r="CK55" s="81"/>
      <c r="CL55" s="75"/>
      <c r="CM55" s="81"/>
      <c r="CN55" s="75"/>
      <c r="CO55" s="81"/>
      <c r="CP55" s="75"/>
      <c r="CQ55" s="81"/>
      <c r="CR55" s="75"/>
      <c r="CS55" s="81"/>
      <c r="CT55" s="75"/>
      <c r="CU55" s="81"/>
      <c r="CV55" s="75"/>
      <c r="CW55" s="81"/>
      <c r="CX55" s="75"/>
      <c r="CY55" s="115" t="n">
        <f aca="false">W55+Y55+AA55+AC55+AE55+AG55+AI55+AK55+AM55+AO55+AQ55+AS55+AU55+AW55+AY55+BA55+BC55+BE55+BG55+BI55+BK55+BM55+BO55+BQ55+BS55+BU55+BW55+BY55+CA55+CC55+CE55+CG55+CI55+CK55+CM55+CO55+CQ55+CS55+CU55+CW55</f>
        <v>0</v>
      </c>
      <c r="CZ55" s="116" t="n">
        <f aca="false">IF(AND(CY55=0,DC55=0),0,(DF55+DG55)/DC55)</f>
        <v>0</v>
      </c>
      <c r="DB55" s="85" t="n">
        <f aca="false">V55</f>
        <v>37530</v>
      </c>
      <c r="DC55" s="84" t="n">
        <f aca="false">ABS(W55)+ABS(Y55)+ABS(AA55)+ABS(AC55)+ABS(AE55)+ABS(AG55)+ABS(AI55)+ABS(AK55)+ABS(AM55)+ABS(AO55)+ABS(AQ55)+ABS(AS55)+ABS(AU55)+ABS(AW55)+ABS(AY55)+ABS(BA55)+ABS(BC55)+ABS(BE55)+ABS(BG55)+ABS(BI55)+ABS(BK55)+ABS(BM55)+ABS(BO55)+ABS(BQ55)+ABS(BS55)+ABS(BU55)+ABS(BW55)+ABS(BY55)+ABS(CA55)+ABS(CC55)+ABS(CE55)+ABS(CG55)+ABS(CI55)+ABS(CK55)+ABS(CM55)+ABS(CO55)+ABS(CQ55)+ABS(CS55)+ABS(CU55)+ABS(CW55)</f>
        <v>0</v>
      </c>
      <c r="DD55" s="86" t="n">
        <v>16</v>
      </c>
      <c r="DE55" s="84" t="n">
        <v>1</v>
      </c>
      <c r="DF55" s="43" t="n">
        <f aca="false">(ABS(W55)*X55+ABS(Y55)*Z55+ABS(AA55)*AB55+ABS(AC55)*AD55+ABS(AE55)*AF55+ABS(AG55)*AH55+ABS(AI55)*AJ55+ABS(AK55)*AL55+ABS(AM55)*AN55+ABS(AO55)*AP55+ABS(AQ55)*AR55+ABS(AS55)*AT55+ABS(AU55)*AV55+ABS(AW55)*AX55+ABS(AY55)*AZ55+ABS(BA55)*BB55+ABS(BC55)*BD55+ABS(BE55)*BF55+ABS(BG55)*BH55+ABS(BI55)*BJ55)</f>
        <v>0</v>
      </c>
      <c r="DG55" s="43" t="n">
        <f aca="false">ABS(BK55)*BL55+ABS(BM55)*BN55+ABS(BO55)*BP55+ABS(BQ55)*BR55+ABS(BS55)*BT55+ABS(BU55)*BV55+ABS(BW55)*BX55+ABS(BY55)*BZ55+ABS(CA55)*CB55+ABS(CC55)*CD55+ABS(CE55)*CF55+ABS(CG55)*CH55+ABS(CI55)*CJ55+ABS(CK55)*CL55+ABS(CM55)*CN55+ABS(CO55)*CP55+ABS(CQ55)*CR55+ABS(CS55)*CT55+ABS(CU55)*CV55+ABS(CW55)*CX55</f>
        <v>0</v>
      </c>
      <c r="DH55" s="43" t="n">
        <f aca="false">((H55-X55)*W55+(H55-Z55)*Y55+(H55-AB55)*AA55+(H55-AD55)*AC55+(H55-AF55)*AE55+(H55-AH55)*AG55+(H55-AJ55)*AI55+(H55-AL55)*AK55+(H55-AN55)*AM55+(H55-AP55)*AO55+(H55-AR55)*AQ55+(H55-AT55)*AS55+(H55-AV55)*AU55+(H55-AX55)*AW55+(H55-AZ55)*AY55+(H55-BB55)*BA55+(H55-BD55)*BC55+(H55-BF55)*BE55+(H55-BH55)*BG55+(H55-BJ55)*BI55)*DD55*DE55</f>
        <v>0</v>
      </c>
      <c r="DI55" s="43" t="n">
        <f aca="false">(((H55-BL55)*BK55+(H55-BN55)*BM55+(H55-BP55)*BO55+(H55-BR55)*BQ55+(H55-BT55)*BS55+(H55-BV55)*BU55+(H55-BX55)*BW55+(H55-BZ55)*BY55+(H55-CB55)*CA55+(H55-CD55)*CC55+(H55-CF55)*CE55+(H55-CH55)*CG55+(H55-CJ55)*CH55+(H55-CL55)*CK55+(H55-CN55)*CM55+(H55-CP55)*CO55+(H55-CR55)*CQ55+(H55-CT55)*CS55+(H55-CV55)*CU55+(H55-CX55)*CW55)*DD55*DE55)</f>
        <v>0</v>
      </c>
      <c r="DK55" s="85" t="n">
        <v>36861</v>
      </c>
      <c r="DL55" s="21" t="n">
        <v>0</v>
      </c>
      <c r="DN55" s="21" t="n">
        <v>1</v>
      </c>
      <c r="DR55" s="146" t="n">
        <f aca="false">+'NYISO G'!DR55</f>
        <v>23</v>
      </c>
    </row>
    <row r="56" customFormat="false" ht="18.75" hidden="false" customHeight="false" outlineLevel="0" collapsed="false">
      <c r="A56" s="147" t="n">
        <f aca="false">'NYISO A'!A56</f>
        <v>37561</v>
      </c>
      <c r="B56" s="119" t="n">
        <f aca="false">+[3]NYZoneJ!$L47/16/DR56</f>
        <v>0</v>
      </c>
      <c r="C56" s="148" t="n">
        <f aca="false">CY56</f>
        <v>0</v>
      </c>
      <c r="D56" s="149" t="n">
        <f aca="false">(IF(MONTH(A56)=MONTH(EOMONTH(TradeDate,1)),$AP$70,0)*VLOOKUP(A56,$DK$12:$DN$43,4))</f>
        <v>0</v>
      </c>
      <c r="E56" s="150" t="n">
        <f aca="false">B56+C56+D56</f>
        <v>0</v>
      </c>
      <c r="F56" s="151" t="n">
        <f aca="false">[3]NYZoneJ!$C47</f>
        <v>47.5</v>
      </c>
      <c r="G56" s="152" t="n">
        <f aca="false">IF($Q$9,Q56,P56)</f>
        <v>37.5</v>
      </c>
      <c r="H56" s="153" t="n">
        <f aca="false">F56+G56</f>
        <v>85</v>
      </c>
      <c r="I56" s="298" t="n">
        <f aca="false">B56*G56*DD56*DR56</f>
        <v>0</v>
      </c>
      <c r="J56" s="155" t="n">
        <f aca="false">(DH56+DI56)*$DR56</f>
        <v>0</v>
      </c>
      <c r="K56" s="299" t="n">
        <f aca="false">I56+J56</f>
        <v>0</v>
      </c>
      <c r="L56" s="24"/>
      <c r="M56" s="157" t="n">
        <f aca="false">A56</f>
        <v>37561</v>
      </c>
      <c r="N56" s="92" t="n">
        <v>85</v>
      </c>
      <c r="O56" s="92" t="n">
        <v>85</v>
      </c>
      <c r="P56" s="69" t="n">
        <f aca="false">AVERAGE(N56:O56)-F56</f>
        <v>37.5</v>
      </c>
      <c r="Q56" s="70"/>
      <c r="R56" s="91" t="n">
        <f aca="false">H56</f>
        <v>85</v>
      </c>
      <c r="S56" s="24"/>
      <c r="T56" s="24"/>
      <c r="U56" s="131"/>
      <c r="V56" s="157" t="n">
        <f aca="false">A56</f>
        <v>37561</v>
      </c>
      <c r="W56" s="159"/>
      <c r="X56" s="134"/>
      <c r="Y56" s="159"/>
      <c r="Z56" s="134"/>
      <c r="AA56" s="159"/>
      <c r="AB56" s="134"/>
      <c r="AC56" s="77"/>
      <c r="AD56" s="78"/>
      <c r="AE56" s="77"/>
      <c r="AF56" s="78"/>
      <c r="AG56" s="77"/>
      <c r="AH56" s="78"/>
      <c r="AI56" s="77"/>
      <c r="AJ56" s="78"/>
      <c r="AK56" s="77"/>
      <c r="AL56" s="78"/>
      <c r="AM56" s="77"/>
      <c r="AN56" s="78"/>
      <c r="AO56" s="77"/>
      <c r="AP56" s="78"/>
      <c r="AQ56" s="77"/>
      <c r="AR56" s="78"/>
      <c r="AS56" s="77"/>
      <c r="AT56" s="160"/>
      <c r="AU56" s="94"/>
      <c r="AV56" s="95"/>
      <c r="AW56" s="96"/>
      <c r="AX56" s="75"/>
      <c r="AY56" s="81"/>
      <c r="AZ56" s="75"/>
      <c r="BA56" s="81"/>
      <c r="BB56" s="75"/>
      <c r="BC56" s="81"/>
      <c r="BD56" s="75"/>
      <c r="BE56" s="81"/>
      <c r="BF56" s="75"/>
      <c r="BG56" s="81"/>
      <c r="BH56" s="75"/>
      <c r="BI56" s="81"/>
      <c r="BJ56" s="75"/>
      <c r="BK56" s="81"/>
      <c r="BL56" s="75"/>
      <c r="BM56" s="81"/>
      <c r="BN56" s="75"/>
      <c r="BO56" s="81"/>
      <c r="BP56" s="75"/>
      <c r="BQ56" s="81"/>
      <c r="BR56" s="75"/>
      <c r="BS56" s="81"/>
      <c r="BT56" s="75"/>
      <c r="BU56" s="81"/>
      <c r="BV56" s="75"/>
      <c r="BW56" s="81"/>
      <c r="BX56" s="75"/>
      <c r="BY56" s="81"/>
      <c r="BZ56" s="75"/>
      <c r="CA56" s="81"/>
      <c r="CB56" s="75"/>
      <c r="CC56" s="81"/>
      <c r="CD56" s="75"/>
      <c r="CE56" s="81"/>
      <c r="CF56" s="75"/>
      <c r="CG56" s="81"/>
      <c r="CH56" s="75"/>
      <c r="CI56" s="81"/>
      <c r="CJ56" s="75"/>
      <c r="CK56" s="81"/>
      <c r="CL56" s="75"/>
      <c r="CM56" s="81"/>
      <c r="CN56" s="75"/>
      <c r="CO56" s="81"/>
      <c r="CP56" s="75"/>
      <c r="CQ56" s="81"/>
      <c r="CR56" s="75"/>
      <c r="CS56" s="81"/>
      <c r="CT56" s="75"/>
      <c r="CU56" s="81"/>
      <c r="CV56" s="75"/>
      <c r="CW56" s="81"/>
      <c r="CX56" s="75"/>
      <c r="CY56" s="115" t="n">
        <f aca="false">W56+Y56+AA56+AC56+AE56+AG56+AI56+AK56+AM56+AO56+AQ56+AS56+AU56+AW56+AY56+BA56+BC56+BE56+BG56+BI56+BK56+BM56+BO56+BQ56+BS56+BU56+BW56+BY56+CA56+CC56+CE56+CG56+CI56+CK56+CM56+CO56+CQ56+CS56+CU56+CW56</f>
        <v>0</v>
      </c>
      <c r="CZ56" s="116" t="n">
        <f aca="false">IF(AND(CY56=0,DC56=0),0,(DF56+DG56)/DC56)</f>
        <v>0</v>
      </c>
      <c r="DB56" s="85" t="n">
        <f aca="false">V56</f>
        <v>37561</v>
      </c>
      <c r="DC56" s="84" t="n">
        <f aca="false">ABS(W56)+ABS(Y56)+ABS(AA56)+ABS(AC56)+ABS(AE56)+ABS(AG56)+ABS(AI56)+ABS(AK56)+ABS(AM56)+ABS(AO56)+ABS(AQ56)+ABS(AS56)+ABS(AU56)+ABS(AW56)+ABS(AY56)+ABS(BA56)+ABS(BC56)+ABS(BE56)+ABS(BG56)+ABS(BI56)+ABS(BK56)+ABS(BM56)+ABS(BO56)+ABS(BQ56)+ABS(BS56)+ABS(BU56)+ABS(BW56)+ABS(BY56)+ABS(CA56)+ABS(CC56)+ABS(CE56)+ABS(CG56)+ABS(CI56)+ABS(CK56)+ABS(CM56)+ABS(CO56)+ABS(CQ56)+ABS(CS56)+ABS(CU56)+ABS(CW56)</f>
        <v>0</v>
      </c>
      <c r="DD56" s="86" t="n">
        <v>16</v>
      </c>
      <c r="DE56" s="84" t="n">
        <v>1</v>
      </c>
      <c r="DF56" s="43" t="n">
        <f aca="false">(ABS(W56)*X56+ABS(Y56)*Z56+ABS(AA56)*AB56+ABS(AC56)*AD56+ABS(AE56)*AF56+ABS(AG56)*AH56+ABS(AI56)*AJ56+ABS(AK56)*AL56+ABS(AM56)*AN56+ABS(AO56)*AP56+ABS(AQ56)*AR56+ABS(AS56)*AT56+ABS(AU56)*AV56+ABS(AW56)*AX56+ABS(AY56)*AZ56+ABS(BA56)*BB56+ABS(BC56)*BD56+ABS(BE56)*BF56+ABS(BG56)*BH56+ABS(BI56)*BJ56)</f>
        <v>0</v>
      </c>
      <c r="DG56" s="43" t="n">
        <f aca="false">ABS(BK56)*BL56+ABS(BM56)*BN56+ABS(BO56)*BP56+ABS(BQ56)*BR56+ABS(BS56)*BT56+ABS(BU56)*BV56+ABS(BW56)*BX56+ABS(BY56)*BZ56+ABS(CA56)*CB56+ABS(CC56)*CD56+ABS(CE56)*CF56+ABS(CG56)*CH56+ABS(CI56)*CJ56+ABS(CK56)*CL56+ABS(CM56)*CN56+ABS(CO56)*CP56+ABS(CQ56)*CR56+ABS(CS56)*CT56+ABS(CU56)*CV56+ABS(CW56)*CX56</f>
        <v>0</v>
      </c>
      <c r="DH56" s="43" t="n">
        <f aca="false">((H56-X56)*W56+(H56-Z56)*Y56+(H56-AB56)*AA56+(H56-AD56)*AC56+(H56-AF56)*AE56+(H56-AH56)*AG56+(H56-AJ56)*AI56+(H56-AL56)*AK56+(H56-AN56)*AM56+(H56-AP56)*AO56+(H56-AR56)*AQ56+(H56-AT56)*AS56+(H56-AV56)*AU56+(H56-AX56)*AW56+(H56-AZ56)*AY56+(H56-BB56)*BA56+(H56-BD56)*BC56+(H56-BF56)*BE56+(H56-BH56)*BG56+(H56-BJ56)*BI56)*DD56*DE56</f>
        <v>0</v>
      </c>
      <c r="DI56" s="43" t="n">
        <f aca="false">(((H56-BL56)*BK56+(H56-BN56)*BM56+(H56-BP56)*BO56+(H56-BR56)*BQ56+(H56-BT56)*BS56+(H56-BV56)*BU56+(H56-BX56)*BW56+(H56-BZ56)*BY56+(H56-CB56)*CA56+(H56-CD56)*CC56+(H56-CF56)*CE56+(H56-CH56)*CG56+(H56-CJ56)*CH56+(H56-CL56)*CK56+(H56-CN56)*CM56+(H56-CP56)*CO56+(H56-CR56)*CQ56+(H56-CT56)*CS56+(H56-CV56)*CU56+(H56-CX56)*CW56)*DD56*DE56)</f>
        <v>0</v>
      </c>
      <c r="DK56" s="85" t="n">
        <v>36861</v>
      </c>
      <c r="DL56" s="21" t="n">
        <v>0</v>
      </c>
      <c r="DN56" s="21" t="n">
        <v>1</v>
      </c>
      <c r="DR56" s="300" t="n">
        <f aca="false">+'NYISO G'!DR56</f>
        <v>20</v>
      </c>
    </row>
    <row r="57" customFormat="false" ht="18.75" hidden="false" customHeight="false" outlineLevel="0" collapsed="false">
      <c r="A57" s="147" t="n">
        <f aca="false">'NYISO A'!A57</f>
        <v>37591</v>
      </c>
      <c r="B57" s="119" t="n">
        <f aca="false">+[3]NYZoneJ!$L48/16/DR57</f>
        <v>0</v>
      </c>
      <c r="C57" s="148" t="n">
        <f aca="false">CY57</f>
        <v>0</v>
      </c>
      <c r="D57" s="149" t="n">
        <f aca="false">(IF(MONTH(A57)=MONTH(EOMONTH(TradeDate,1)),$AP$70,0)*VLOOKUP(A57,$DK$12:$DN$43,4))</f>
        <v>0</v>
      </c>
      <c r="E57" s="150" t="n">
        <f aca="false">B57+C57+D57</f>
        <v>0</v>
      </c>
      <c r="F57" s="151" t="n">
        <f aca="false">[3]NYZoneJ!$C48</f>
        <v>0</v>
      </c>
      <c r="G57" s="152" t="n">
        <f aca="false">IF($Q$9,Q57,P57)</f>
        <v>85</v>
      </c>
      <c r="H57" s="153" t="n">
        <f aca="false">F57+G57</f>
        <v>85</v>
      </c>
      <c r="I57" s="298" t="n">
        <f aca="false">B57*G57*DD57*DR57</f>
        <v>0</v>
      </c>
      <c r="J57" s="155" t="n">
        <f aca="false">(DH57+DI57)*$DR57</f>
        <v>0</v>
      </c>
      <c r="K57" s="299" t="n">
        <f aca="false">I57+J57</f>
        <v>0</v>
      </c>
      <c r="L57" s="24"/>
      <c r="M57" s="157" t="n">
        <f aca="false">A57</f>
        <v>37591</v>
      </c>
      <c r="N57" s="92" t="n">
        <v>85</v>
      </c>
      <c r="O57" s="92" t="n">
        <v>85</v>
      </c>
      <c r="P57" s="69" t="n">
        <f aca="false">AVERAGE(N57:O57)-F57</f>
        <v>85</v>
      </c>
      <c r="Q57" s="70"/>
      <c r="R57" s="91" t="n">
        <f aca="false">H57</f>
        <v>85</v>
      </c>
      <c r="S57" s="24"/>
      <c r="T57" s="24"/>
      <c r="U57" s="131"/>
      <c r="V57" s="157" t="n">
        <f aca="false">A57</f>
        <v>37591</v>
      </c>
      <c r="W57" s="159"/>
      <c r="X57" s="134"/>
      <c r="Y57" s="159"/>
      <c r="Z57" s="134"/>
      <c r="AA57" s="159"/>
      <c r="AB57" s="134"/>
      <c r="AC57" s="77"/>
      <c r="AD57" s="78"/>
      <c r="AE57" s="77"/>
      <c r="AF57" s="78"/>
      <c r="AG57" s="77"/>
      <c r="AH57" s="78"/>
      <c r="AI57" s="77"/>
      <c r="AJ57" s="78"/>
      <c r="AK57" s="77"/>
      <c r="AL57" s="78"/>
      <c r="AM57" s="77"/>
      <c r="AN57" s="78"/>
      <c r="AO57" s="77"/>
      <c r="AP57" s="78"/>
      <c r="AQ57" s="77"/>
      <c r="AR57" s="78"/>
      <c r="AS57" s="77"/>
      <c r="AT57" s="160"/>
      <c r="AU57" s="94"/>
      <c r="AV57" s="95"/>
      <c r="AW57" s="96"/>
      <c r="AX57" s="75"/>
      <c r="AY57" s="81"/>
      <c r="AZ57" s="75"/>
      <c r="BA57" s="81"/>
      <c r="BB57" s="75"/>
      <c r="BC57" s="81"/>
      <c r="BD57" s="75"/>
      <c r="BE57" s="81"/>
      <c r="BF57" s="75"/>
      <c r="BG57" s="81"/>
      <c r="BH57" s="75"/>
      <c r="BI57" s="81"/>
      <c r="BJ57" s="75"/>
      <c r="BK57" s="81"/>
      <c r="BL57" s="75"/>
      <c r="BM57" s="81"/>
      <c r="BN57" s="75"/>
      <c r="BO57" s="81"/>
      <c r="BP57" s="75"/>
      <c r="BQ57" s="81"/>
      <c r="BR57" s="75"/>
      <c r="BS57" s="81"/>
      <c r="BT57" s="75"/>
      <c r="BU57" s="81"/>
      <c r="BV57" s="75"/>
      <c r="BW57" s="81"/>
      <c r="BX57" s="75"/>
      <c r="BY57" s="81"/>
      <c r="BZ57" s="75"/>
      <c r="CA57" s="81"/>
      <c r="CB57" s="75"/>
      <c r="CC57" s="81"/>
      <c r="CD57" s="75"/>
      <c r="CE57" s="81"/>
      <c r="CF57" s="75"/>
      <c r="CG57" s="81"/>
      <c r="CH57" s="75"/>
      <c r="CI57" s="81"/>
      <c r="CJ57" s="75"/>
      <c r="CK57" s="81"/>
      <c r="CL57" s="75"/>
      <c r="CM57" s="81"/>
      <c r="CN57" s="75"/>
      <c r="CO57" s="81"/>
      <c r="CP57" s="75"/>
      <c r="CQ57" s="81"/>
      <c r="CR57" s="75"/>
      <c r="CS57" s="81"/>
      <c r="CT57" s="75"/>
      <c r="CU57" s="81"/>
      <c r="CV57" s="75"/>
      <c r="CW57" s="81"/>
      <c r="CX57" s="75"/>
      <c r="CY57" s="115" t="n">
        <f aca="false">W57+Y57+AA57+AC57+AE57+AG57+AI57+AK57+AM57+AO57+AQ57+AS57+AU57+AW57+AY57+BA57+BC57+BE57+BG57+BI57+BK57+BM57+BO57+BQ57+BS57+BU57+BW57+BY57+CA57+CC57+CE57+CG57+CI57+CK57+CM57+CO57+CQ57+CS57+CU57+CW57</f>
        <v>0</v>
      </c>
      <c r="CZ57" s="116" t="n">
        <f aca="false">IF(AND(CY57=0,DC57=0),0,(DF57+DG57)/DC57)</f>
        <v>0</v>
      </c>
      <c r="DB57" s="85"/>
      <c r="DC57" s="84"/>
      <c r="DD57" s="86"/>
      <c r="DE57" s="84"/>
      <c r="DF57" s="43"/>
      <c r="DG57" s="43"/>
      <c r="DH57" s="43"/>
      <c r="DI57" s="43"/>
      <c r="DK57" s="85"/>
      <c r="DR57" s="300" t="n">
        <f aca="false">+'NYISO G'!DR57</f>
        <v>21</v>
      </c>
    </row>
    <row r="58" customFormat="false" ht="18.75" hidden="false" customHeight="false" outlineLevel="0" collapsed="false">
      <c r="A58" s="147" t="n">
        <f aca="false">'NYISO A'!A58</f>
        <v>37622</v>
      </c>
      <c r="B58" s="119" t="n">
        <f aca="false">+[3]NYZoneJ!$L49/16/DR58</f>
        <v>0</v>
      </c>
      <c r="C58" s="148" t="n">
        <f aca="false">CY58</f>
        <v>0</v>
      </c>
      <c r="D58" s="149" t="n">
        <f aca="false">(IF(MONTH(A58)=MONTH(EOMONTH(TradeDate,1)),$AP$70,0)*VLOOKUP(A58,$DK$12:$DN$43,4))</f>
        <v>0</v>
      </c>
      <c r="E58" s="150" t="n">
        <f aca="false">B58+C58+D58</f>
        <v>0</v>
      </c>
      <c r="F58" s="151" t="n">
        <f aca="false">[3]NYZoneJ!$C49</f>
        <v>0</v>
      </c>
      <c r="G58" s="152" t="n">
        <f aca="false">IF($Q$9,Q58,P58)</f>
        <v>85</v>
      </c>
      <c r="H58" s="153" t="n">
        <f aca="false">F58+G58</f>
        <v>85</v>
      </c>
      <c r="I58" s="298" t="n">
        <f aca="false">B58*G58*DD58*DR58</f>
        <v>0</v>
      </c>
      <c r="J58" s="155" t="n">
        <f aca="false">(DH58+DI58)*$DR58</f>
        <v>0</v>
      </c>
      <c r="K58" s="299" t="n">
        <f aca="false">I58+J58</f>
        <v>0</v>
      </c>
      <c r="L58" s="24"/>
      <c r="M58" s="157" t="n">
        <f aca="false">A58</f>
        <v>37622</v>
      </c>
      <c r="N58" s="92" t="n">
        <v>85</v>
      </c>
      <c r="O58" s="92" t="n">
        <v>85</v>
      </c>
      <c r="P58" s="69" t="n">
        <f aca="false">AVERAGE(N58:O58)-F58</f>
        <v>85</v>
      </c>
      <c r="Q58" s="70"/>
      <c r="R58" s="91" t="n">
        <f aca="false">H58</f>
        <v>85</v>
      </c>
      <c r="S58" s="24"/>
      <c r="T58" s="24"/>
      <c r="U58" s="131"/>
      <c r="V58" s="157" t="n">
        <f aca="false">A58</f>
        <v>37622</v>
      </c>
      <c r="W58" s="159"/>
      <c r="X58" s="134"/>
      <c r="Y58" s="159"/>
      <c r="Z58" s="134"/>
      <c r="AA58" s="159"/>
      <c r="AB58" s="134"/>
      <c r="AC58" s="77"/>
      <c r="AD58" s="78"/>
      <c r="AE58" s="77"/>
      <c r="AF58" s="78"/>
      <c r="AG58" s="77"/>
      <c r="AH58" s="78"/>
      <c r="AI58" s="77"/>
      <c r="AJ58" s="78"/>
      <c r="AK58" s="77"/>
      <c r="AL58" s="78"/>
      <c r="AM58" s="77"/>
      <c r="AN58" s="78"/>
      <c r="AO58" s="77"/>
      <c r="AP58" s="78"/>
      <c r="AQ58" s="77"/>
      <c r="AR58" s="78"/>
      <c r="AS58" s="77"/>
      <c r="AT58" s="160"/>
      <c r="AU58" s="94"/>
      <c r="AV58" s="95"/>
      <c r="AW58" s="96"/>
      <c r="AX58" s="75"/>
      <c r="AY58" s="81"/>
      <c r="AZ58" s="75"/>
      <c r="BA58" s="81"/>
      <c r="BB58" s="75"/>
      <c r="BC58" s="81"/>
      <c r="BD58" s="75"/>
      <c r="BE58" s="81"/>
      <c r="BF58" s="75"/>
      <c r="BG58" s="81"/>
      <c r="BH58" s="75"/>
      <c r="BI58" s="81"/>
      <c r="BJ58" s="75"/>
      <c r="BK58" s="81"/>
      <c r="BL58" s="75"/>
      <c r="BM58" s="81"/>
      <c r="BN58" s="75"/>
      <c r="BO58" s="81"/>
      <c r="BP58" s="75"/>
      <c r="BQ58" s="81"/>
      <c r="BR58" s="75"/>
      <c r="BS58" s="81"/>
      <c r="BT58" s="75"/>
      <c r="BU58" s="81"/>
      <c r="BV58" s="75"/>
      <c r="BW58" s="81"/>
      <c r="BX58" s="75"/>
      <c r="BY58" s="81"/>
      <c r="BZ58" s="75"/>
      <c r="CA58" s="81"/>
      <c r="CB58" s="75"/>
      <c r="CC58" s="81"/>
      <c r="CD58" s="75"/>
      <c r="CE58" s="81"/>
      <c r="CF58" s="75"/>
      <c r="CG58" s="81"/>
      <c r="CH58" s="75"/>
      <c r="CI58" s="81"/>
      <c r="CJ58" s="75"/>
      <c r="CK58" s="81"/>
      <c r="CL58" s="75"/>
      <c r="CM58" s="81"/>
      <c r="CN58" s="75"/>
      <c r="CO58" s="81"/>
      <c r="CP58" s="75"/>
      <c r="CQ58" s="81"/>
      <c r="CR58" s="75"/>
      <c r="CS58" s="81"/>
      <c r="CT58" s="75"/>
      <c r="CU58" s="81"/>
      <c r="CV58" s="75"/>
      <c r="CW58" s="81"/>
      <c r="CX58" s="75"/>
      <c r="CY58" s="115" t="n">
        <f aca="false">W58+Y58+AA58+AC58+AE58+AG58+AI58+AK58+AM58+AO58+AQ58+AS58+AU58+AW58+AY58+BA58+BC58+BE58+BG58+BI58+BK58+BM58+BO58+BQ58+BS58+BU58+BW58+BY58+CA58+CC58+CE58+CG58+CI58+CK58+CM58+CO58+CQ58+CS58+CU58+CW58</f>
        <v>0</v>
      </c>
      <c r="CZ58" s="116" t="n">
        <f aca="false">IF(AND(CY58=0,DC58=0),0,(DF58+DG58)/DC58)</f>
        <v>0</v>
      </c>
      <c r="DB58" s="85"/>
      <c r="DC58" s="84"/>
      <c r="DD58" s="86"/>
      <c r="DE58" s="84"/>
      <c r="DF58" s="43"/>
      <c r="DG58" s="43"/>
      <c r="DH58" s="43"/>
      <c r="DI58" s="43"/>
      <c r="DK58" s="85"/>
      <c r="DR58" s="300" t="n">
        <f aca="false">+'NYISO G'!DR58</f>
        <v>21</v>
      </c>
    </row>
    <row r="59" customFormat="false" ht="18.75" hidden="false" customHeight="false" outlineLevel="0" collapsed="false">
      <c r="A59" s="147" t="n">
        <f aca="false">'NYISO A'!A59</f>
        <v>37653</v>
      </c>
      <c r="B59" s="119" t="n">
        <f aca="false">+[3]NYZoneJ!$L50/16/DR59</f>
        <v>0</v>
      </c>
      <c r="C59" s="148" t="n">
        <f aca="false">CY59</f>
        <v>0</v>
      </c>
      <c r="D59" s="149" t="n">
        <f aca="false">(IF(MONTH(A59)=MONTH(EOMONTH(TradeDate,1)),$AP$70,0)*VLOOKUP(A59,$DK$12:$DN$43,4))</f>
        <v>0</v>
      </c>
      <c r="E59" s="150" t="n">
        <f aca="false">B59+C59+D59</f>
        <v>0</v>
      </c>
      <c r="F59" s="151" t="n">
        <f aca="false">[3]NYZoneJ!$C50</f>
        <v>0</v>
      </c>
      <c r="G59" s="152" t="n">
        <f aca="false">IF($Q$9,Q59,P59)</f>
        <v>85</v>
      </c>
      <c r="H59" s="153" t="n">
        <f aca="false">F59+G59</f>
        <v>85</v>
      </c>
      <c r="I59" s="298" t="n">
        <f aca="false">B59*G59*DD59*DR59</f>
        <v>0</v>
      </c>
      <c r="J59" s="155" t="n">
        <f aca="false">(DH59+DI59)*$DR59</f>
        <v>0</v>
      </c>
      <c r="K59" s="299" t="n">
        <f aca="false">I59+J59</f>
        <v>0</v>
      </c>
      <c r="L59" s="24"/>
      <c r="M59" s="157" t="n">
        <f aca="false">A59</f>
        <v>37653</v>
      </c>
      <c r="N59" s="92" t="n">
        <v>85</v>
      </c>
      <c r="O59" s="92" t="n">
        <v>85</v>
      </c>
      <c r="P59" s="69" t="n">
        <f aca="false">AVERAGE(N59:O59)-F59</f>
        <v>85</v>
      </c>
      <c r="Q59" s="70"/>
      <c r="R59" s="91" t="n">
        <f aca="false">H59</f>
        <v>85</v>
      </c>
      <c r="S59" s="24"/>
      <c r="T59" s="24"/>
      <c r="U59" s="131"/>
      <c r="V59" s="157" t="n">
        <f aca="false">A59</f>
        <v>37653</v>
      </c>
      <c r="W59" s="159"/>
      <c r="X59" s="134"/>
      <c r="Y59" s="159"/>
      <c r="Z59" s="134"/>
      <c r="AA59" s="159"/>
      <c r="AB59" s="134"/>
      <c r="AC59" s="77"/>
      <c r="AD59" s="78"/>
      <c r="AE59" s="77"/>
      <c r="AF59" s="78"/>
      <c r="AG59" s="77"/>
      <c r="AH59" s="78"/>
      <c r="AI59" s="77"/>
      <c r="AJ59" s="78"/>
      <c r="AK59" s="77"/>
      <c r="AL59" s="78"/>
      <c r="AM59" s="77"/>
      <c r="AN59" s="78"/>
      <c r="AO59" s="77"/>
      <c r="AP59" s="78"/>
      <c r="AQ59" s="77"/>
      <c r="AR59" s="78"/>
      <c r="AS59" s="77"/>
      <c r="AT59" s="160"/>
      <c r="AU59" s="94"/>
      <c r="AV59" s="95"/>
      <c r="AW59" s="96"/>
      <c r="AX59" s="75"/>
      <c r="AY59" s="81"/>
      <c r="AZ59" s="75"/>
      <c r="BA59" s="81"/>
      <c r="BB59" s="75"/>
      <c r="BC59" s="81"/>
      <c r="BD59" s="75"/>
      <c r="BE59" s="81"/>
      <c r="BF59" s="75"/>
      <c r="BG59" s="81"/>
      <c r="BH59" s="75"/>
      <c r="BI59" s="81"/>
      <c r="BJ59" s="75"/>
      <c r="BK59" s="81"/>
      <c r="BL59" s="75"/>
      <c r="BM59" s="81"/>
      <c r="BN59" s="75"/>
      <c r="BO59" s="81"/>
      <c r="BP59" s="75"/>
      <c r="BQ59" s="81"/>
      <c r="BR59" s="75"/>
      <c r="BS59" s="81"/>
      <c r="BT59" s="75"/>
      <c r="BU59" s="81"/>
      <c r="BV59" s="75"/>
      <c r="BW59" s="81"/>
      <c r="BX59" s="75"/>
      <c r="BY59" s="81"/>
      <c r="BZ59" s="75"/>
      <c r="CA59" s="81"/>
      <c r="CB59" s="75"/>
      <c r="CC59" s="81"/>
      <c r="CD59" s="75"/>
      <c r="CE59" s="81"/>
      <c r="CF59" s="75"/>
      <c r="CG59" s="81"/>
      <c r="CH59" s="75"/>
      <c r="CI59" s="81"/>
      <c r="CJ59" s="75"/>
      <c r="CK59" s="81"/>
      <c r="CL59" s="75"/>
      <c r="CM59" s="81"/>
      <c r="CN59" s="75"/>
      <c r="CO59" s="81"/>
      <c r="CP59" s="75"/>
      <c r="CQ59" s="81"/>
      <c r="CR59" s="75"/>
      <c r="CS59" s="81"/>
      <c r="CT59" s="75"/>
      <c r="CU59" s="81"/>
      <c r="CV59" s="75"/>
      <c r="CW59" s="81"/>
      <c r="CX59" s="75"/>
      <c r="CY59" s="115" t="n">
        <f aca="false">W59+Y59+AA59+AC59+AE59+AG59+AI59+AK59+AM59+AO59+AQ59+AS59+AU59+AW59+AY59+BA59+BC59+BE59+BG59+BI59+BK59+BM59+BO59+BQ59+BS59+BU59+BW59+BY59+CA59+CC59+CE59+CG59+CI59+CK59+CM59+CO59+CQ59+CS59+CU59+CW59</f>
        <v>0</v>
      </c>
      <c r="CZ59" s="116" t="n">
        <f aca="false">IF(AND(CY59=0,DC59=0),0,(DF59+DG59)/DC59)</f>
        <v>0</v>
      </c>
      <c r="DB59" s="85"/>
      <c r="DC59" s="84"/>
      <c r="DD59" s="86"/>
      <c r="DE59" s="84"/>
      <c r="DF59" s="43"/>
      <c r="DG59" s="43"/>
      <c r="DH59" s="43"/>
      <c r="DI59" s="43"/>
      <c r="DK59" s="85"/>
      <c r="DR59" s="300" t="n">
        <f aca="false">+'NYISO G'!DR59</f>
        <v>22</v>
      </c>
    </row>
    <row r="60" customFormat="false" ht="19.5" hidden="false" customHeight="false" outlineLevel="0" collapsed="false">
      <c r="A60" s="176" t="n">
        <f aca="false">'NYISO A'!A60</f>
        <v>37681</v>
      </c>
      <c r="B60" s="177" t="n">
        <f aca="false">+[3]NYZoneJ!$L51/16/DR60</f>
        <v>0</v>
      </c>
      <c r="C60" s="178" t="n">
        <f aca="false">CY60</f>
        <v>0</v>
      </c>
      <c r="D60" s="179" t="n">
        <f aca="false">(IF(MONTH(A60)=MONTH(EOMONTH(TradeDate,1)),$AP$70,0)*VLOOKUP(A60,$DK$12:$DN$43,4))</f>
        <v>0</v>
      </c>
      <c r="E60" s="180" t="n">
        <f aca="false">B60+C60+D60</f>
        <v>0</v>
      </c>
      <c r="F60" s="181" t="n">
        <f aca="false">[3]NYZoneJ!$C51</f>
        <v>0</v>
      </c>
      <c r="G60" s="182" t="n">
        <f aca="false">IF($Q$9,Q60,P60)</f>
        <v>85</v>
      </c>
      <c r="H60" s="183" t="n">
        <f aca="false">F60+G60</f>
        <v>85</v>
      </c>
      <c r="I60" s="301" t="n">
        <f aca="false">B60*G60*DD60*DR60</f>
        <v>0</v>
      </c>
      <c r="J60" s="185" t="n">
        <f aca="false">(DH60+DI60)*$DR60</f>
        <v>0</v>
      </c>
      <c r="K60" s="302" t="n">
        <f aca="false">I60+J60</f>
        <v>0</v>
      </c>
      <c r="L60" s="24"/>
      <c r="M60" s="187" t="n">
        <f aca="false">A60</f>
        <v>37681</v>
      </c>
      <c r="N60" s="188" t="n">
        <v>85</v>
      </c>
      <c r="O60" s="188" t="n">
        <v>85</v>
      </c>
      <c r="P60" s="189" t="n">
        <f aca="false">AVERAGE(N60:O60)-F60</f>
        <v>85</v>
      </c>
      <c r="Q60" s="274"/>
      <c r="R60" s="91" t="n">
        <f aca="false">H60</f>
        <v>85</v>
      </c>
      <c r="S60" s="24"/>
      <c r="T60" s="24"/>
      <c r="U60" s="131"/>
      <c r="V60" s="187" t="n">
        <f aca="false">A60</f>
        <v>37681</v>
      </c>
      <c r="W60" s="276"/>
      <c r="X60" s="277"/>
      <c r="Y60" s="276"/>
      <c r="Z60" s="277"/>
      <c r="AA60" s="276"/>
      <c r="AB60" s="277"/>
      <c r="AC60" s="278"/>
      <c r="AD60" s="279"/>
      <c r="AE60" s="278"/>
      <c r="AF60" s="279"/>
      <c r="AG60" s="278"/>
      <c r="AH60" s="279"/>
      <c r="AI60" s="278"/>
      <c r="AJ60" s="279"/>
      <c r="AK60" s="278"/>
      <c r="AL60" s="279"/>
      <c r="AM60" s="278"/>
      <c r="AN60" s="279"/>
      <c r="AO60" s="278"/>
      <c r="AP60" s="279"/>
      <c r="AQ60" s="278"/>
      <c r="AR60" s="279"/>
      <c r="AS60" s="278"/>
      <c r="AT60" s="280"/>
      <c r="AU60" s="197"/>
      <c r="AV60" s="198"/>
      <c r="AW60" s="281"/>
      <c r="AX60" s="282"/>
      <c r="AY60" s="283"/>
      <c r="AZ60" s="282"/>
      <c r="BA60" s="283"/>
      <c r="BB60" s="282"/>
      <c r="BC60" s="283"/>
      <c r="BD60" s="282"/>
      <c r="BE60" s="283"/>
      <c r="BF60" s="282"/>
      <c r="BG60" s="283"/>
      <c r="BH60" s="282"/>
      <c r="BI60" s="283"/>
      <c r="BJ60" s="282"/>
      <c r="BK60" s="283"/>
      <c r="BL60" s="282"/>
      <c r="BM60" s="283"/>
      <c r="BN60" s="282"/>
      <c r="BO60" s="283"/>
      <c r="BP60" s="282"/>
      <c r="BQ60" s="283"/>
      <c r="BR60" s="282"/>
      <c r="BS60" s="283"/>
      <c r="BT60" s="282"/>
      <c r="BU60" s="283"/>
      <c r="BV60" s="282"/>
      <c r="BW60" s="283"/>
      <c r="BX60" s="282"/>
      <c r="BY60" s="283"/>
      <c r="BZ60" s="282"/>
      <c r="CA60" s="283"/>
      <c r="CB60" s="282"/>
      <c r="CC60" s="283"/>
      <c r="CD60" s="282"/>
      <c r="CE60" s="283"/>
      <c r="CF60" s="282"/>
      <c r="CG60" s="283"/>
      <c r="CH60" s="282"/>
      <c r="CI60" s="283"/>
      <c r="CJ60" s="282"/>
      <c r="CK60" s="283"/>
      <c r="CL60" s="282"/>
      <c r="CM60" s="283"/>
      <c r="CN60" s="282"/>
      <c r="CO60" s="283"/>
      <c r="CP60" s="282"/>
      <c r="CQ60" s="283"/>
      <c r="CR60" s="282"/>
      <c r="CS60" s="283"/>
      <c r="CT60" s="282"/>
      <c r="CU60" s="283"/>
      <c r="CV60" s="282"/>
      <c r="CW60" s="283"/>
      <c r="CX60" s="282"/>
      <c r="CY60" s="284" t="n">
        <f aca="false">W60+Y60+AA60+AC60+AE60+AG60+AI60+AK60+AM60+AO60+AQ60+AS60+AU60+AW60+AY60+BA60+BC60+BE60+BG60+BI60+BK60+BM60+BO60+BQ60+BS60+BU60+BW60+BY60+CA60+CC60+CE60+CG60+CI60+CK60+CM60+CO60+CQ60+CS60+CU60+CW60</f>
        <v>0</v>
      </c>
      <c r="CZ60" s="285" t="n">
        <f aca="false">IF(AND(CY60=0,DC60=0),0,(DF60+DG60)/DC60)</f>
        <v>0</v>
      </c>
      <c r="DB60" s="85"/>
      <c r="DC60" s="84"/>
      <c r="DD60" s="86"/>
      <c r="DE60" s="84"/>
      <c r="DF60" s="43"/>
      <c r="DG60" s="43"/>
      <c r="DH60" s="43"/>
      <c r="DI60" s="43"/>
      <c r="DK60" s="85"/>
      <c r="DR60" s="300" t="n">
        <f aca="false">+'NYISO G'!DR60</f>
        <v>20</v>
      </c>
    </row>
    <row r="61" customFormat="false" ht="15.75" hidden="false" customHeight="false" outlineLevel="0" collapsed="false">
      <c r="A61" s="24"/>
      <c r="B61" s="24"/>
      <c r="E61" s="27"/>
      <c r="L61" s="24"/>
      <c r="N61" s="24"/>
      <c r="O61" s="24"/>
      <c r="DL61" s="21" t="n">
        <v>0</v>
      </c>
      <c r="DR61" s="300"/>
    </row>
    <row r="62" customFormat="false" ht="16.5" hidden="false" customHeight="false" outlineLevel="0" collapsed="false">
      <c r="A62" s="24"/>
      <c r="B62" s="24"/>
      <c r="E62" s="27"/>
      <c r="L62" s="24"/>
      <c r="N62" s="24"/>
      <c r="O62" s="24"/>
      <c r="DA62" s="21" t="n">
        <f aca="false">SUM(DA12:DA61)</f>
        <v>0</v>
      </c>
      <c r="DR62" s="300"/>
    </row>
    <row r="63" customFormat="false" ht="21" hidden="false" customHeight="false" outlineLevel="0" collapsed="false">
      <c r="A63" s="204"/>
      <c r="B63" s="205" t="s">
        <v>80</v>
      </c>
      <c r="C63" s="205"/>
      <c r="D63" s="205"/>
      <c r="E63" s="205"/>
      <c r="F63" s="205"/>
      <c r="G63" s="205"/>
      <c r="H63" s="205"/>
      <c r="I63" s="205"/>
      <c r="J63" s="205"/>
      <c r="K63" s="205"/>
      <c r="L63" s="206" t="s">
        <v>81</v>
      </c>
      <c r="M63" s="206"/>
      <c r="N63" s="206"/>
      <c r="O63" s="206"/>
      <c r="P63" s="206"/>
      <c r="Q63" s="206"/>
      <c r="R63" s="206"/>
      <c r="S63" s="206"/>
      <c r="T63" s="207"/>
      <c r="U63" s="208"/>
      <c r="V63" s="205" t="s">
        <v>82</v>
      </c>
      <c r="W63" s="205"/>
      <c r="X63" s="205"/>
      <c r="Y63" s="205"/>
      <c r="Z63" s="205"/>
      <c r="AA63" s="205"/>
      <c r="AB63" s="205"/>
      <c r="AC63" s="205"/>
      <c r="AD63" s="205"/>
      <c r="AE63" s="205"/>
      <c r="AF63" s="205" t="s">
        <v>83</v>
      </c>
      <c r="AG63" s="205"/>
      <c r="AH63" s="205"/>
      <c r="AI63" s="205"/>
      <c r="AJ63" s="205"/>
      <c r="AK63" s="205"/>
      <c r="AL63" s="205"/>
      <c r="AM63" s="205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09"/>
      <c r="BN63" s="209"/>
      <c r="BO63" s="209"/>
      <c r="BP63" s="209"/>
      <c r="BQ63" s="209"/>
      <c r="BR63" s="209"/>
      <c r="BS63" s="209"/>
      <c r="BT63" s="209"/>
      <c r="BU63" s="209"/>
      <c r="BV63" s="209"/>
      <c r="BW63" s="209"/>
      <c r="BX63" s="209"/>
      <c r="BY63" s="209"/>
      <c r="BZ63" s="209"/>
      <c r="CA63" s="209"/>
      <c r="CB63" s="209"/>
      <c r="CC63" s="209"/>
      <c r="CD63" s="209"/>
      <c r="CE63" s="209"/>
      <c r="CF63" s="209"/>
      <c r="CG63" s="209"/>
      <c r="CH63" s="209"/>
      <c r="CI63" s="209"/>
      <c r="CJ63" s="209"/>
      <c r="CK63" s="209"/>
      <c r="CL63" s="209"/>
      <c r="CM63" s="209"/>
      <c r="CN63" s="209"/>
      <c r="CO63" s="209"/>
      <c r="CP63" s="209"/>
      <c r="CQ63" s="209"/>
      <c r="CR63" s="209"/>
      <c r="CS63" s="209"/>
      <c r="CT63" s="209"/>
      <c r="CU63" s="209"/>
      <c r="CV63" s="209"/>
      <c r="CW63" s="209"/>
      <c r="CX63" s="209"/>
      <c r="CY63" s="209"/>
      <c r="CZ63" s="209"/>
      <c r="DA63" s="209"/>
      <c r="DB63" s="209"/>
      <c r="DC63" s="209"/>
      <c r="DD63" s="209"/>
      <c r="DE63" s="209"/>
      <c r="DF63" s="209"/>
      <c r="DG63" s="209"/>
      <c r="DH63" s="209"/>
      <c r="DI63" s="209"/>
      <c r="DJ63" s="209"/>
      <c r="DK63" s="209"/>
      <c r="DL63" s="209"/>
      <c r="DM63" s="209"/>
      <c r="DN63" s="209"/>
      <c r="DO63" s="209"/>
      <c r="DP63" s="209"/>
      <c r="DQ63" s="209"/>
      <c r="DR63" s="300"/>
      <c r="DS63" s="209"/>
      <c r="DT63" s="209"/>
      <c r="DU63" s="209"/>
      <c r="DV63" s="209"/>
      <c r="DW63" s="209"/>
      <c r="DX63" s="209"/>
      <c r="DY63" s="209"/>
      <c r="DZ63" s="209"/>
      <c r="EA63" s="209"/>
      <c r="EB63" s="209"/>
      <c r="EC63" s="209"/>
      <c r="ED63" s="209"/>
      <c r="EE63" s="209"/>
      <c r="EF63" s="209"/>
      <c r="EG63" s="209"/>
      <c r="EH63" s="209"/>
      <c r="EI63" s="209"/>
      <c r="EJ63" s="209"/>
      <c r="EK63" s="209"/>
      <c r="EL63" s="209"/>
      <c r="EM63" s="209"/>
      <c r="EN63" s="209"/>
      <c r="EO63" s="209"/>
      <c r="EP63" s="209"/>
      <c r="EQ63" s="209"/>
      <c r="ER63" s="209"/>
      <c r="ES63" s="209"/>
      <c r="ET63" s="209"/>
      <c r="EU63" s="209"/>
      <c r="EV63" s="209"/>
      <c r="EW63" s="209"/>
      <c r="EX63" s="209"/>
      <c r="EY63" s="209"/>
      <c r="EZ63" s="209"/>
      <c r="FA63" s="209"/>
      <c r="FB63" s="209"/>
      <c r="FC63" s="209"/>
      <c r="FD63" s="209"/>
      <c r="FE63" s="209"/>
      <c r="FF63" s="209"/>
      <c r="FG63" s="209"/>
      <c r="FH63" s="209"/>
      <c r="FI63" s="209"/>
      <c r="FJ63" s="209"/>
      <c r="FK63" s="209"/>
      <c r="FL63" s="209"/>
      <c r="FM63" s="209"/>
      <c r="FN63" s="209"/>
      <c r="FO63" s="209"/>
      <c r="FP63" s="209"/>
      <c r="FQ63" s="209"/>
      <c r="FR63" s="209"/>
      <c r="FS63" s="209"/>
      <c r="FT63" s="209"/>
      <c r="FU63" s="209"/>
      <c r="FV63" s="209"/>
      <c r="FW63" s="209"/>
      <c r="FX63" s="209"/>
      <c r="FY63" s="209"/>
      <c r="FZ63" s="209"/>
      <c r="GA63" s="209"/>
      <c r="GB63" s="209"/>
      <c r="GC63" s="209"/>
      <c r="GD63" s="209"/>
      <c r="GE63" s="209"/>
      <c r="GF63" s="209"/>
      <c r="GG63" s="209"/>
      <c r="GH63" s="209"/>
      <c r="GI63" s="209"/>
      <c r="GJ63" s="209"/>
      <c r="GK63" s="209"/>
      <c r="GL63" s="209"/>
      <c r="GM63" s="209"/>
      <c r="GN63" s="209"/>
      <c r="GO63" s="209"/>
      <c r="GP63" s="209"/>
      <c r="GQ63" s="209"/>
      <c r="GR63" s="209"/>
      <c r="GS63" s="209"/>
      <c r="GT63" s="209"/>
      <c r="GU63" s="209"/>
      <c r="GV63" s="209"/>
      <c r="GW63" s="209"/>
      <c r="GX63" s="209"/>
      <c r="GY63" s="209"/>
      <c r="GZ63" s="209"/>
      <c r="HA63" s="209"/>
      <c r="HB63" s="209"/>
      <c r="HC63" s="209"/>
      <c r="HD63" s="209"/>
      <c r="HE63" s="209"/>
      <c r="HF63" s="209"/>
      <c r="HG63" s="209"/>
      <c r="HH63" s="209"/>
      <c r="HI63" s="209"/>
      <c r="HJ63" s="209"/>
      <c r="HK63" s="209"/>
      <c r="HL63" s="209"/>
      <c r="HM63" s="209"/>
      <c r="HN63" s="209"/>
      <c r="HO63" s="209"/>
      <c r="HP63" s="209"/>
      <c r="HQ63" s="209"/>
      <c r="HR63" s="209"/>
      <c r="HS63" s="209"/>
      <c r="HT63" s="209"/>
      <c r="HU63" s="209"/>
      <c r="HV63" s="209"/>
      <c r="HW63" s="209"/>
      <c r="HX63" s="209"/>
      <c r="HY63" s="209"/>
      <c r="HZ63" s="209"/>
      <c r="IA63" s="209"/>
      <c r="IB63" s="209"/>
      <c r="IC63" s="209"/>
      <c r="ID63" s="209"/>
      <c r="IE63" s="209"/>
      <c r="IF63" s="209"/>
      <c r="IG63" s="209"/>
      <c r="IH63" s="209"/>
      <c r="II63" s="209"/>
      <c r="IJ63" s="209"/>
      <c r="IK63" s="209"/>
      <c r="IL63" s="209"/>
      <c r="IM63" s="209"/>
      <c r="IN63" s="209"/>
      <c r="IO63" s="209"/>
      <c r="IP63" s="209"/>
      <c r="IQ63" s="209"/>
      <c r="IR63" s="209"/>
      <c r="IS63" s="209"/>
      <c r="IT63" s="209"/>
      <c r="IU63" s="209"/>
      <c r="IV63" s="209"/>
      <c r="IW63" s="209"/>
    </row>
    <row r="64" customFormat="false" ht="19.5" hidden="false" customHeight="false" outlineLevel="0" collapsed="false">
      <c r="A64" s="210"/>
      <c r="B64" s="211" t="s">
        <v>84</v>
      </c>
      <c r="C64" s="211"/>
      <c r="D64" s="211"/>
      <c r="E64" s="211"/>
      <c r="F64" s="211"/>
      <c r="G64" s="212" t="s">
        <v>85</v>
      </c>
      <c r="H64" s="212"/>
      <c r="I64" s="212"/>
      <c r="J64" s="212"/>
      <c r="K64" s="212"/>
      <c r="L64" s="213" t="s">
        <v>84</v>
      </c>
      <c r="M64" s="213"/>
      <c r="N64" s="214"/>
      <c r="O64" s="214"/>
      <c r="P64" s="215"/>
      <c r="Q64" s="216" t="s">
        <v>85</v>
      </c>
      <c r="R64" s="216"/>
      <c r="S64" s="216"/>
      <c r="T64" s="217"/>
      <c r="U64" s="218"/>
      <c r="V64" s="211" t="s">
        <v>84</v>
      </c>
      <c r="W64" s="211"/>
      <c r="X64" s="211"/>
      <c r="Y64" s="211"/>
      <c r="Z64" s="211"/>
      <c r="AA64" s="212" t="s">
        <v>85</v>
      </c>
      <c r="AB64" s="212"/>
      <c r="AC64" s="212"/>
      <c r="AD64" s="212"/>
      <c r="AE64" s="212"/>
      <c r="AF64" s="213" t="s">
        <v>84</v>
      </c>
      <c r="AG64" s="213"/>
      <c r="AH64" s="213"/>
      <c r="AI64" s="213"/>
      <c r="AJ64" s="213"/>
      <c r="AK64" s="286" t="s">
        <v>85</v>
      </c>
      <c r="AL64" s="286"/>
      <c r="AM64" s="286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6.5" hidden="false" customHeight="false" outlineLevel="0" collapsed="false">
      <c r="A65" s="220" t="s">
        <v>86</v>
      </c>
      <c r="B65" s="221" t="n">
        <v>0</v>
      </c>
      <c r="C65" s="222" t="n">
        <v>0</v>
      </c>
      <c r="D65" s="222" t="n">
        <v>0</v>
      </c>
      <c r="E65" s="222" t="n">
        <v>0</v>
      </c>
      <c r="F65" s="223" t="n">
        <v>0</v>
      </c>
      <c r="G65" s="221" t="n">
        <v>0</v>
      </c>
      <c r="H65" s="222" t="n">
        <v>0</v>
      </c>
      <c r="I65" s="303" t="n">
        <v>0</v>
      </c>
      <c r="J65" s="222" t="n">
        <v>0</v>
      </c>
      <c r="K65" s="304" t="n">
        <v>0</v>
      </c>
      <c r="L65" s="221" t="n">
        <v>0</v>
      </c>
      <c r="M65" s="222" t="n">
        <v>0</v>
      </c>
      <c r="N65" s="222" t="n">
        <v>0</v>
      </c>
      <c r="O65" s="222" t="n">
        <v>0</v>
      </c>
      <c r="P65" s="223" t="n">
        <v>0</v>
      </c>
      <c r="Q65" s="221" t="n">
        <v>0</v>
      </c>
      <c r="R65" s="222" t="n">
        <v>0</v>
      </c>
      <c r="S65" s="222" t="n">
        <v>0</v>
      </c>
      <c r="T65" s="222" t="n">
        <v>0</v>
      </c>
      <c r="U65" s="223" t="n">
        <v>0</v>
      </c>
      <c r="V65" s="221" t="n">
        <v>0</v>
      </c>
      <c r="W65" s="222" t="n">
        <v>0</v>
      </c>
      <c r="X65" s="222" t="n">
        <v>0</v>
      </c>
      <c r="Y65" s="222" t="n">
        <v>0</v>
      </c>
      <c r="Z65" s="223" t="n">
        <v>0</v>
      </c>
      <c r="AA65" s="221" t="n">
        <v>0</v>
      </c>
      <c r="AB65" s="222" t="n">
        <v>0</v>
      </c>
      <c r="AC65" s="222" t="n">
        <v>0</v>
      </c>
      <c r="AD65" s="222" t="n">
        <v>0</v>
      </c>
      <c r="AE65" s="223" t="n">
        <v>0</v>
      </c>
      <c r="AF65" s="221" t="n">
        <v>0</v>
      </c>
      <c r="AG65" s="222" t="n">
        <v>0</v>
      </c>
      <c r="AH65" s="222" t="n">
        <v>0</v>
      </c>
      <c r="AI65" s="221"/>
      <c r="AJ65" s="222"/>
      <c r="AK65" s="222" t="n">
        <v>0</v>
      </c>
      <c r="AL65" s="222" t="n">
        <v>0</v>
      </c>
      <c r="AM65" s="223" t="n">
        <v>0</v>
      </c>
      <c r="AN65" s="224" t="n">
        <v>0</v>
      </c>
      <c r="AO65" s="224" t="n">
        <v>0</v>
      </c>
      <c r="AP65" s="224"/>
      <c r="AQ65" s="224"/>
      <c r="AR65" s="224"/>
      <c r="AS65" s="224"/>
      <c r="AT65" s="224"/>
      <c r="AU65" s="224"/>
      <c r="AV65" s="224"/>
      <c r="AW65" s="224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  <c r="CM65" s="224"/>
      <c r="CN65" s="224"/>
      <c r="CO65" s="224"/>
      <c r="CP65" s="224"/>
      <c r="CQ65" s="224"/>
      <c r="CR65" s="224"/>
      <c r="CS65" s="224"/>
      <c r="CT65" s="224"/>
      <c r="CU65" s="224"/>
      <c r="CV65" s="224"/>
      <c r="CW65" s="224"/>
      <c r="CX65" s="224"/>
      <c r="CY65" s="224"/>
      <c r="CZ65" s="224"/>
      <c r="DA65" s="224"/>
      <c r="DB65" s="224"/>
      <c r="DC65" s="224"/>
      <c r="DD65" s="224"/>
      <c r="DE65" s="224"/>
      <c r="DF65" s="224"/>
      <c r="DG65" s="224"/>
      <c r="DH65" s="224"/>
      <c r="DI65" s="224"/>
      <c r="DJ65" s="224"/>
      <c r="DK65" s="224"/>
      <c r="DL65" s="224"/>
      <c r="DM65" s="224"/>
      <c r="DN65" s="224"/>
      <c r="DO65" s="224"/>
      <c r="DP65" s="224"/>
      <c r="DQ65" s="224"/>
      <c r="DR65" s="224"/>
      <c r="DS65" s="224"/>
      <c r="DT65" s="224"/>
      <c r="DU65" s="224"/>
      <c r="DV65" s="224"/>
      <c r="DW65" s="224"/>
      <c r="DX65" s="224"/>
      <c r="DY65" s="224"/>
      <c r="DZ65" s="224"/>
      <c r="EA65" s="224"/>
      <c r="EB65" s="224"/>
      <c r="EC65" s="224"/>
      <c r="ED65" s="224"/>
      <c r="EE65" s="224"/>
      <c r="EF65" s="224"/>
      <c r="EG65" s="224"/>
      <c r="EH65" s="224"/>
      <c r="EI65" s="224"/>
      <c r="EJ65" s="224"/>
      <c r="EK65" s="224"/>
      <c r="EL65" s="224"/>
      <c r="EM65" s="224"/>
      <c r="EN65" s="224"/>
      <c r="EO65" s="224"/>
      <c r="EP65" s="224"/>
      <c r="EQ65" s="224"/>
      <c r="ER65" s="224"/>
      <c r="ES65" s="224"/>
      <c r="ET65" s="224"/>
      <c r="EU65" s="224"/>
      <c r="EV65" s="224"/>
      <c r="EW65" s="224"/>
      <c r="EX65" s="224"/>
      <c r="EY65" s="224"/>
      <c r="EZ65" s="224"/>
      <c r="FA65" s="224"/>
      <c r="FB65" s="224"/>
      <c r="FC65" s="224"/>
      <c r="FD65" s="224"/>
      <c r="FE65" s="224"/>
      <c r="FF65" s="224"/>
      <c r="FG65" s="224"/>
      <c r="FH65" s="224"/>
      <c r="FI65" s="224"/>
      <c r="FJ65" s="224"/>
      <c r="FK65" s="224"/>
      <c r="FL65" s="224"/>
      <c r="FM65" s="224"/>
      <c r="FN65" s="224"/>
      <c r="FO65" s="224"/>
      <c r="FP65" s="224"/>
      <c r="FQ65" s="224"/>
      <c r="FR65" s="224"/>
      <c r="FS65" s="224"/>
      <c r="FT65" s="224"/>
      <c r="FU65" s="224"/>
      <c r="FV65" s="224"/>
      <c r="FW65" s="224"/>
      <c r="FX65" s="224"/>
      <c r="FY65" s="224"/>
      <c r="FZ65" s="224"/>
      <c r="GA65" s="224"/>
      <c r="GB65" s="224"/>
      <c r="GC65" s="224"/>
      <c r="GD65" s="224"/>
      <c r="GE65" s="224"/>
      <c r="GF65" s="224"/>
      <c r="GG65" s="224"/>
      <c r="GH65" s="224"/>
      <c r="GI65" s="224"/>
      <c r="GJ65" s="224"/>
      <c r="GK65" s="224"/>
      <c r="GL65" s="224"/>
      <c r="GM65" s="224"/>
      <c r="GN65" s="224"/>
      <c r="GO65" s="224"/>
      <c r="GP65" s="224"/>
      <c r="GQ65" s="224"/>
      <c r="GR65" s="224"/>
      <c r="GS65" s="224"/>
      <c r="GT65" s="224"/>
      <c r="GU65" s="224"/>
      <c r="GV65" s="224"/>
      <c r="GW65" s="224"/>
      <c r="GX65" s="224"/>
      <c r="GY65" s="224"/>
      <c r="GZ65" s="224"/>
      <c r="HA65" s="224"/>
      <c r="HB65" s="224"/>
      <c r="HC65" s="224"/>
      <c r="HD65" s="224"/>
      <c r="HE65" s="224"/>
      <c r="HF65" s="224"/>
      <c r="HG65" s="224"/>
      <c r="HH65" s="224"/>
      <c r="HI65" s="224"/>
      <c r="HJ65" s="224"/>
      <c r="HK65" s="224"/>
      <c r="HL65" s="224"/>
      <c r="HM65" s="224"/>
      <c r="HN65" s="224"/>
      <c r="HO65" s="224"/>
      <c r="HP65" s="224"/>
      <c r="HQ65" s="224"/>
      <c r="HR65" s="224"/>
      <c r="HS65" s="224"/>
      <c r="HT65" s="224"/>
      <c r="HU65" s="224"/>
      <c r="HV65" s="224"/>
      <c r="HW65" s="224"/>
      <c r="HX65" s="224"/>
      <c r="HY65" s="224"/>
      <c r="HZ65" s="224"/>
      <c r="IA65" s="224"/>
      <c r="IB65" s="224"/>
      <c r="IC65" s="224"/>
      <c r="ID65" s="224"/>
      <c r="IE65" s="224"/>
      <c r="IF65" s="224"/>
      <c r="IG65" s="224"/>
      <c r="IH65" s="224"/>
      <c r="II65" s="224"/>
      <c r="IJ65" s="224"/>
      <c r="IK65" s="224"/>
      <c r="IL65" s="224"/>
      <c r="IM65" s="224"/>
      <c r="IN65" s="224"/>
      <c r="IO65" s="224"/>
      <c r="IP65" s="224"/>
      <c r="IQ65" s="224"/>
      <c r="IR65" s="224"/>
      <c r="IS65" s="224"/>
      <c r="IT65" s="224"/>
      <c r="IU65" s="224"/>
      <c r="IV65" s="224"/>
      <c r="IW65" s="224"/>
    </row>
    <row r="66" customFormat="false" ht="15.75" hidden="false" customHeight="false" outlineLevel="0" collapsed="false">
      <c r="A66" s="225" t="s">
        <v>87</v>
      </c>
      <c r="B66" s="226" t="n">
        <v>0</v>
      </c>
      <c r="C66" s="227" t="n">
        <v>0</v>
      </c>
      <c r="D66" s="227" t="n">
        <v>0</v>
      </c>
      <c r="E66" s="227" t="n">
        <v>0</v>
      </c>
      <c r="F66" s="228" t="n">
        <v>0</v>
      </c>
      <c r="G66" s="226" t="n">
        <v>0</v>
      </c>
      <c r="H66" s="227" t="n">
        <v>0</v>
      </c>
      <c r="I66" s="305" t="n">
        <v>0</v>
      </c>
      <c r="J66" s="227" t="n">
        <v>0</v>
      </c>
      <c r="K66" s="306" t="n">
        <v>0</v>
      </c>
      <c r="L66" s="226" t="n">
        <v>0</v>
      </c>
      <c r="M66" s="227" t="n">
        <v>0</v>
      </c>
      <c r="N66" s="227" t="n">
        <v>0</v>
      </c>
      <c r="O66" s="227" t="n">
        <v>0</v>
      </c>
      <c r="P66" s="228" t="n">
        <v>0</v>
      </c>
      <c r="Q66" s="227" t="n">
        <v>0</v>
      </c>
      <c r="R66" s="227" t="n">
        <v>0</v>
      </c>
      <c r="S66" s="227" t="n">
        <v>0</v>
      </c>
      <c r="T66" s="227" t="n">
        <v>0</v>
      </c>
      <c r="U66" s="228" t="n">
        <v>0</v>
      </c>
      <c r="V66" s="226" t="n">
        <v>0</v>
      </c>
      <c r="W66" s="227" t="n">
        <v>0</v>
      </c>
      <c r="X66" s="227" t="n">
        <v>0</v>
      </c>
      <c r="Y66" s="227" t="n">
        <v>0</v>
      </c>
      <c r="Z66" s="228" t="n">
        <v>0</v>
      </c>
      <c r="AA66" s="226" t="n">
        <v>0</v>
      </c>
      <c r="AB66" s="227" t="n">
        <v>0</v>
      </c>
      <c r="AC66" s="227" t="n">
        <v>0</v>
      </c>
      <c r="AD66" s="227" t="n">
        <v>0</v>
      </c>
      <c r="AE66" s="228" t="n">
        <v>0</v>
      </c>
      <c r="AF66" s="226" t="n">
        <v>0</v>
      </c>
      <c r="AG66" s="227" t="n">
        <v>0</v>
      </c>
      <c r="AH66" s="227" t="n">
        <v>0</v>
      </c>
      <c r="AI66" s="226"/>
      <c r="AJ66" s="227"/>
      <c r="AK66" s="227" t="n">
        <v>0</v>
      </c>
      <c r="AL66" s="227" t="n">
        <v>0</v>
      </c>
      <c r="AM66" s="228" t="n">
        <v>0</v>
      </c>
      <c r="AN66" s="21" t="n">
        <v>0</v>
      </c>
      <c r="AO66" s="21" t="n">
        <v>0</v>
      </c>
    </row>
    <row r="67" customFormat="false" ht="16.5" hidden="false" customHeight="false" outlineLevel="0" collapsed="false">
      <c r="A67" s="225" t="s">
        <v>88</v>
      </c>
      <c r="B67" s="226"/>
      <c r="C67" s="227"/>
      <c r="D67" s="227"/>
      <c r="E67" s="227"/>
      <c r="F67" s="228"/>
      <c r="G67" s="229"/>
      <c r="H67" s="230"/>
      <c r="I67" s="305"/>
      <c r="J67" s="230"/>
      <c r="K67" s="306"/>
      <c r="L67" s="226"/>
      <c r="M67" s="227"/>
      <c r="N67" s="233"/>
      <c r="O67" s="233"/>
      <c r="P67" s="228"/>
      <c r="Q67" s="229"/>
      <c r="R67" s="230"/>
      <c r="S67" s="230"/>
      <c r="T67" s="230"/>
      <c r="U67" s="231"/>
      <c r="V67" s="226"/>
      <c r="W67" s="227"/>
      <c r="X67" s="227"/>
      <c r="Y67" s="227"/>
      <c r="Z67" s="228"/>
      <c r="AA67" s="229"/>
      <c r="AB67" s="230"/>
      <c r="AC67" s="230"/>
      <c r="AD67" s="230"/>
      <c r="AE67" s="231"/>
      <c r="AF67" s="226"/>
      <c r="AG67" s="227"/>
      <c r="AH67" s="227"/>
      <c r="AI67" s="229"/>
      <c r="AJ67" s="230"/>
      <c r="AK67" s="230"/>
      <c r="AL67" s="230"/>
      <c r="AM67" s="231"/>
    </row>
    <row r="68" customFormat="false" ht="16.5" hidden="false" customHeight="false" outlineLevel="0" collapsed="false">
      <c r="A68" s="36" t="s">
        <v>89</v>
      </c>
      <c r="B68" s="232"/>
      <c r="C68" s="233"/>
      <c r="D68" s="233"/>
      <c r="E68" s="233"/>
      <c r="F68" s="234"/>
      <c r="G68" s="235"/>
      <c r="H68" s="236"/>
      <c r="I68" s="307"/>
      <c r="J68" s="236"/>
      <c r="K68" s="308"/>
      <c r="L68" s="232"/>
      <c r="M68" s="233"/>
      <c r="N68" s="243"/>
      <c r="O68" s="243"/>
      <c r="P68" s="234"/>
      <c r="Q68" s="235"/>
      <c r="R68" s="236"/>
      <c r="S68" s="236"/>
      <c r="T68" s="236"/>
      <c r="U68" s="237"/>
      <c r="V68" s="232"/>
      <c r="W68" s="233"/>
      <c r="X68" s="233"/>
      <c r="Y68" s="233"/>
      <c r="Z68" s="234"/>
      <c r="AA68" s="235"/>
      <c r="AB68" s="236"/>
      <c r="AC68" s="236"/>
      <c r="AD68" s="236"/>
      <c r="AE68" s="237"/>
      <c r="AF68" s="232"/>
      <c r="AG68" s="233"/>
      <c r="AH68" s="233"/>
      <c r="AI68" s="235"/>
      <c r="AJ68" s="236"/>
      <c r="AK68" s="236"/>
      <c r="AL68" s="236"/>
      <c r="AM68" s="237"/>
    </row>
    <row r="69" customFormat="false" ht="16.5" hidden="false" customHeight="false" outlineLevel="0" collapsed="false">
      <c r="A69" s="238" t="s">
        <v>90</v>
      </c>
      <c r="B69" s="239" t="n">
        <f aca="false">B66*B67</f>
        <v>0</v>
      </c>
      <c r="C69" s="240" t="n">
        <f aca="false">C66*C67</f>
        <v>0</v>
      </c>
      <c r="D69" s="240" t="n">
        <f aca="false">D66*D67</f>
        <v>0</v>
      </c>
      <c r="E69" s="240" t="n">
        <f aca="false">E66*E67</f>
        <v>0</v>
      </c>
      <c r="F69" s="241" t="n">
        <f aca="false">F66*F67</f>
        <v>0</v>
      </c>
      <c r="G69" s="239" t="n">
        <f aca="false">G66*G67</f>
        <v>0</v>
      </c>
      <c r="H69" s="240" t="n">
        <f aca="false">H66*H67</f>
        <v>0</v>
      </c>
      <c r="I69" s="309" t="n">
        <f aca="false">I66*I67</f>
        <v>0</v>
      </c>
      <c r="J69" s="240" t="n">
        <f aca="false">J66*J67</f>
        <v>0</v>
      </c>
      <c r="K69" s="310" t="n">
        <f aca="false">K66*K67</f>
        <v>0</v>
      </c>
      <c r="L69" s="242"/>
      <c r="M69" s="243"/>
      <c r="N69" s="251"/>
      <c r="O69" s="251"/>
      <c r="P69" s="244"/>
      <c r="Q69" s="242"/>
      <c r="R69" s="243"/>
      <c r="S69" s="243"/>
      <c r="T69" s="243"/>
      <c r="U69" s="244"/>
      <c r="V69" s="239" t="n">
        <f aca="false">-V66*V67</f>
        <v>-0</v>
      </c>
      <c r="W69" s="240" t="n">
        <f aca="false">-W66*W67</f>
        <v>-0</v>
      </c>
      <c r="X69" s="240" t="n">
        <f aca="false">-X66*X67</f>
        <v>-0</v>
      </c>
      <c r="Y69" s="240" t="n">
        <f aca="false">-Y66*Y67</f>
        <v>-0</v>
      </c>
      <c r="Z69" s="241" t="n">
        <f aca="false">-Z66*Z67</f>
        <v>-0</v>
      </c>
      <c r="AA69" s="239" t="n">
        <f aca="false">-AA66*AA67</f>
        <v>-0</v>
      </c>
      <c r="AB69" s="240" t="n">
        <f aca="false">-AB66*AB67</f>
        <v>-0</v>
      </c>
      <c r="AC69" s="240" t="n">
        <f aca="false">-AC66*AC67</f>
        <v>-0</v>
      </c>
      <c r="AD69" s="240" t="n">
        <f aca="false">-AD66*AD67</f>
        <v>-0</v>
      </c>
      <c r="AE69" s="241" t="n">
        <f aca="false">-AE66*AE67</f>
        <v>-0</v>
      </c>
      <c r="AF69" s="242"/>
      <c r="AG69" s="243"/>
      <c r="AH69" s="243"/>
      <c r="AI69" s="243"/>
      <c r="AJ69" s="243"/>
      <c r="AK69" s="243"/>
      <c r="AL69" s="243"/>
      <c r="AM69" s="244"/>
      <c r="AN69" s="245"/>
      <c r="AP69" s="21" t="n">
        <f aca="false">SUM(B69:AO69)</f>
        <v>0</v>
      </c>
    </row>
    <row r="70" customFormat="false" ht="16.5" hidden="false" customHeight="false" outlineLevel="0" collapsed="false">
      <c r="A70" s="246" t="s">
        <v>91</v>
      </c>
      <c r="B70" s="247"/>
      <c r="C70" s="248"/>
      <c r="D70" s="248"/>
      <c r="E70" s="248"/>
      <c r="F70" s="249"/>
      <c r="G70" s="247"/>
      <c r="H70" s="248"/>
      <c r="I70" s="311"/>
      <c r="J70" s="248"/>
      <c r="K70" s="312"/>
      <c r="L70" s="250" t="n">
        <f aca="false">L66*L67</f>
        <v>0</v>
      </c>
      <c r="M70" s="251" t="n">
        <f aca="false">M66*M67</f>
        <v>0</v>
      </c>
      <c r="N70" s="21" t="n">
        <f aca="false">N66*N67</f>
        <v>0</v>
      </c>
      <c r="O70" s="21" t="n">
        <f aca="false">O66*O67</f>
        <v>0</v>
      </c>
      <c r="P70" s="252" t="n">
        <f aca="false">P66*P67</f>
        <v>0</v>
      </c>
      <c r="Q70" s="250" t="n">
        <f aca="false">Q67*Q66</f>
        <v>0</v>
      </c>
      <c r="R70" s="251" t="n">
        <f aca="false">R67*R66</f>
        <v>0</v>
      </c>
      <c r="S70" s="251" t="n">
        <f aca="false">S67*S66</f>
        <v>0</v>
      </c>
      <c r="T70" s="251" t="n">
        <f aca="false">T67*T66</f>
        <v>0</v>
      </c>
      <c r="U70" s="252" t="n">
        <f aca="false">U67*U66</f>
        <v>0</v>
      </c>
      <c r="V70" s="247"/>
      <c r="W70" s="248"/>
      <c r="X70" s="248"/>
      <c r="Y70" s="248"/>
      <c r="Z70" s="249"/>
      <c r="AA70" s="247"/>
      <c r="AB70" s="248"/>
      <c r="AC70" s="248"/>
      <c r="AD70" s="248"/>
      <c r="AE70" s="249"/>
      <c r="AF70" s="250" t="n">
        <f aca="false">-AF66*AF67</f>
        <v>-0</v>
      </c>
      <c r="AG70" s="251" t="n">
        <f aca="false">-AG66*AG67</f>
        <v>-0</v>
      </c>
      <c r="AH70" s="251" t="n">
        <f aca="false">-AH66*AH67</f>
        <v>-0</v>
      </c>
      <c r="AI70" s="251"/>
      <c r="AJ70" s="251"/>
      <c r="AK70" s="251" t="n">
        <f aca="false">-AK66*AK67</f>
        <v>-0</v>
      </c>
      <c r="AL70" s="251" t="n">
        <f aca="false">-AL66*AL67</f>
        <v>-0</v>
      </c>
      <c r="AM70" s="252" t="n">
        <f aca="false">-AM66*AM67</f>
        <v>-0</v>
      </c>
      <c r="AN70" s="253" t="n">
        <f aca="false">-AN66*AN67</f>
        <v>-0</v>
      </c>
      <c r="AO70" s="21" t="n">
        <f aca="false">-AO66*AO67</f>
        <v>-0</v>
      </c>
      <c r="AP70" s="21" t="n">
        <f aca="false">SUM(B70:AO70)</f>
        <v>0</v>
      </c>
    </row>
    <row r="71" customFormat="false" ht="12.75" hidden="false" customHeight="false" outlineLevel="0" collapsed="false">
      <c r="A71" s="24"/>
      <c r="B71" s="24" t="n">
        <f aca="false">(B65-$H$12)*B69*16</f>
        <v>-0</v>
      </c>
      <c r="C71" s="24" t="n">
        <f aca="false">(C65-$H$12)*C69*16</f>
        <v>-0</v>
      </c>
      <c r="D71" s="24" t="n">
        <f aca="false">(D65-$H$12)*D69*16</f>
        <v>-0</v>
      </c>
      <c r="E71" s="24" t="n">
        <f aca="false">(E65-$H$12)*E69*16</f>
        <v>-0</v>
      </c>
      <c r="F71" s="24" t="n">
        <f aca="false">(F65-$H$12)*F69*16</f>
        <v>-0</v>
      </c>
      <c r="G71" s="24" t="n">
        <f aca="false">($H$12-G65)*G69*16</f>
        <v>0</v>
      </c>
      <c r="H71" s="24" t="n">
        <f aca="false">($H$12-H65)*H69*16</f>
        <v>0</v>
      </c>
      <c r="I71" s="313" t="n">
        <f aca="false">($H$12-I65)*I69*16</f>
        <v>0</v>
      </c>
      <c r="J71" s="24" t="n">
        <f aca="false">($H$12-J65)*J69*16</f>
        <v>0</v>
      </c>
      <c r="K71" s="314" t="n">
        <f aca="false">($H$12-K65)*K69*16</f>
        <v>0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 t="n">
        <f aca="false">V69*($H$12-V65)*16</f>
        <v>-0</v>
      </c>
      <c r="W71" s="24" t="n">
        <f aca="false">W69*($H$12-W65)*16</f>
        <v>-0</v>
      </c>
      <c r="X71" s="24" t="n">
        <f aca="false">X69*($H$12-X65)*16</f>
        <v>-0</v>
      </c>
      <c r="Y71" s="24" t="n">
        <f aca="false">Y69*($H$12-Y65)*16</f>
        <v>-0</v>
      </c>
      <c r="Z71" s="24" t="n">
        <f aca="false">Z69*($H$12-Z65)*16</f>
        <v>-0</v>
      </c>
      <c r="AA71" s="24" t="n">
        <f aca="false">AA69*($H$12-AA65)*16</f>
        <v>-0</v>
      </c>
      <c r="AB71" s="24" t="n">
        <f aca="false">AB69*($H$12-AB65)*16</f>
        <v>-0</v>
      </c>
      <c r="AC71" s="24" t="n">
        <f aca="false">AC69*($H$12-AC65)*16</f>
        <v>-0</v>
      </c>
      <c r="AD71" s="24" t="n">
        <f aca="false">AD69*($H$12-AD65)*16</f>
        <v>-0</v>
      </c>
      <c r="AE71" s="24" t="n">
        <f aca="false">AE69*($H$12-AE65)*16</f>
        <v>-0</v>
      </c>
      <c r="AH71" s="21"/>
      <c r="AI71" s="21"/>
      <c r="AJ71" s="21"/>
      <c r="AK71" s="21"/>
      <c r="AP71" s="21" t="n">
        <f aca="false">SUM(B71:AO71)</f>
        <v>0</v>
      </c>
    </row>
    <row r="74" customFormat="false" ht="15.75" hidden="false" customHeight="false" outlineLevel="0" collapsed="false">
      <c r="B74" s="254"/>
      <c r="C74" s="255"/>
      <c r="D74" s="255"/>
      <c r="E74" s="255"/>
      <c r="F74" s="51"/>
    </row>
    <row r="75" customFormat="false" ht="15.75" hidden="false" customHeight="false" outlineLevel="0" collapsed="false">
      <c r="B75" s="131"/>
      <c r="C75" s="131"/>
      <c r="D75" s="131"/>
      <c r="E75" s="131"/>
      <c r="F75" s="131"/>
    </row>
    <row r="76" customFormat="false" ht="15.75" hidden="false" customHeight="false" outlineLevel="0" collapsed="false">
      <c r="B76" s="131"/>
      <c r="C76" s="131"/>
      <c r="D76" s="131"/>
      <c r="E76" s="131"/>
      <c r="F76" s="131"/>
    </row>
    <row r="77" customFormat="false" ht="12" hidden="false" customHeight="true" outlineLevel="0" collapsed="false">
      <c r="B77" s="131"/>
      <c r="C77" s="131"/>
      <c r="D77" s="131"/>
      <c r="E77" s="131"/>
      <c r="F77" s="131"/>
    </row>
    <row r="79" customFormat="false" ht="15.75" hidden="false" customHeight="false" outlineLevel="0" collapsed="false">
      <c r="B79" s="131"/>
      <c r="C79" s="131"/>
      <c r="D79" s="131"/>
      <c r="E79" s="131"/>
      <c r="F79" s="131"/>
    </row>
    <row r="80" customFormat="false" ht="15.75" hidden="false" customHeight="false" outlineLevel="0" collapsed="false">
      <c r="B80" s="131"/>
      <c r="C80" s="131"/>
      <c r="D80" s="131"/>
      <c r="E80" s="131"/>
      <c r="F80" s="131"/>
    </row>
    <row r="81" customFormat="false" ht="15.75" hidden="false" customHeight="false" outlineLevel="0" collapsed="false">
      <c r="B81" s="131"/>
      <c r="C81" s="131"/>
      <c r="D81" s="131"/>
      <c r="E81" s="131"/>
      <c r="F81" s="131"/>
    </row>
    <row r="82" customFormat="false" ht="15.75" hidden="false" customHeight="false" outlineLevel="0" collapsed="false">
      <c r="B82" s="254"/>
      <c r="C82" s="255"/>
      <c r="D82" s="255"/>
      <c r="E82" s="255"/>
      <c r="F82" s="131"/>
    </row>
    <row r="83" customFormat="false" ht="15.75" hidden="false" customHeight="false" outlineLevel="0" collapsed="false">
      <c r="B83" s="131"/>
      <c r="C83" s="131"/>
      <c r="D83" s="131"/>
      <c r="E83" s="131"/>
      <c r="F83" s="131"/>
    </row>
    <row r="84" customFormat="false" ht="15.75" hidden="false" customHeight="false" outlineLevel="0" collapsed="false">
      <c r="B84" s="131"/>
      <c r="C84" s="131"/>
      <c r="D84" s="131"/>
      <c r="E84" s="131"/>
      <c r="F84" s="131"/>
    </row>
    <row r="85" customFormat="false" ht="15.75" hidden="false" customHeight="false" outlineLevel="0" collapsed="false">
      <c r="B85" s="131"/>
      <c r="C85" s="131"/>
      <c r="D85" s="131"/>
      <c r="E85" s="131"/>
      <c r="F85" s="131"/>
    </row>
    <row r="86" customFormat="false" ht="15.75" hidden="false" customHeight="false" outlineLevel="0" collapsed="false">
      <c r="B86" s="131"/>
      <c r="C86" s="131"/>
      <c r="D86" s="131"/>
      <c r="E86" s="131"/>
      <c r="F86" s="131"/>
    </row>
    <row r="87" customFormat="false" ht="15.75" hidden="false" customHeight="false" outlineLevel="0" collapsed="false">
      <c r="B87" s="131"/>
      <c r="C87" s="131"/>
      <c r="D87" s="131"/>
      <c r="E87" s="131"/>
      <c r="F87" s="131"/>
    </row>
    <row r="88" customFormat="false" ht="15.75" hidden="false" customHeight="false" outlineLevel="0" collapsed="false">
      <c r="B88" s="256"/>
      <c r="C88" s="255"/>
      <c r="D88" s="255"/>
      <c r="E88" s="255"/>
      <c r="F88" s="131"/>
    </row>
    <row r="89" customFormat="false" ht="15.75" hidden="false" customHeight="false" outlineLevel="0" collapsed="false">
      <c r="B89" s="257"/>
      <c r="C89" s="131"/>
      <c r="D89" s="131"/>
      <c r="E89" s="131"/>
      <c r="F89" s="131"/>
    </row>
    <row r="90" customFormat="false" ht="15.75" hidden="false" customHeight="false" outlineLevel="0" collapsed="false">
      <c r="B90" s="131"/>
      <c r="C90" s="131"/>
      <c r="D90" s="131"/>
      <c r="E90" s="131"/>
      <c r="F90" s="131"/>
    </row>
    <row r="91" customFormat="false" ht="15.75" hidden="false" customHeight="false" outlineLevel="0" collapsed="false">
      <c r="B91" s="131"/>
      <c r="C91" s="131"/>
      <c r="D91" s="131"/>
      <c r="E91" s="131"/>
      <c r="F91" s="131"/>
    </row>
    <row r="92" customFormat="false" ht="15.75" hidden="false" customHeight="false" outlineLevel="0" collapsed="false">
      <c r="B92" s="131"/>
      <c r="C92" s="131"/>
      <c r="D92" s="131"/>
      <c r="E92" s="131"/>
      <c r="F92" s="131"/>
    </row>
    <row r="93" customFormat="false" ht="15.75" hidden="false" customHeight="false" outlineLevel="0" collapsed="false">
      <c r="B93" s="131"/>
      <c r="C93" s="131"/>
      <c r="D93" s="131"/>
      <c r="E93" s="131"/>
      <c r="F93" s="131"/>
    </row>
    <row r="95" customFormat="false" ht="12" hidden="false" customHeight="true" outlineLevel="0" collapsed="false">
      <c r="B95" s="131"/>
      <c r="C95" s="131"/>
      <c r="D95" s="131"/>
      <c r="E95" s="131"/>
      <c r="F95" s="131"/>
    </row>
    <row r="96" customFormat="false" ht="15.75" hidden="false" customHeight="false" outlineLevel="0" collapsed="false">
      <c r="B96" s="131"/>
      <c r="C96" s="131"/>
      <c r="D96" s="131"/>
      <c r="E96" s="131"/>
      <c r="F96" s="131"/>
    </row>
    <row r="97" customFormat="false" ht="15.75" hidden="false" customHeight="false" outlineLevel="0" collapsed="false">
      <c r="B97" s="131"/>
      <c r="C97" s="131"/>
      <c r="D97" s="131"/>
      <c r="E97" s="131"/>
      <c r="F97" s="131"/>
    </row>
    <row r="98" customFormat="false" ht="15.75" hidden="false" customHeight="false" outlineLevel="0" collapsed="false">
      <c r="B98" s="131"/>
      <c r="C98" s="131"/>
      <c r="D98" s="131"/>
      <c r="E98" s="131"/>
      <c r="F98" s="131"/>
    </row>
    <row r="99" customFormat="false" ht="15.75" hidden="false" customHeight="false" outlineLevel="0" collapsed="false">
      <c r="B99" s="131"/>
      <c r="C99" s="131"/>
      <c r="D99" s="131"/>
      <c r="E99" s="131"/>
      <c r="F99" s="131"/>
    </row>
    <row r="100" customFormat="false" ht="15.75" hidden="false" customHeight="false" outlineLevel="0" collapsed="false">
      <c r="B100" s="131"/>
      <c r="C100" s="131"/>
      <c r="D100" s="131"/>
      <c r="E100" s="131"/>
      <c r="F100" s="131"/>
    </row>
    <row r="101" customFormat="false" ht="15.75" hidden="false" customHeight="false" outlineLevel="0" collapsed="false">
      <c r="B101" s="131"/>
      <c r="C101" s="131"/>
      <c r="D101" s="131"/>
      <c r="E101" s="131"/>
      <c r="F101" s="131"/>
    </row>
    <row r="102" customFormat="false" ht="15.75" hidden="false" customHeight="false" outlineLevel="0" collapsed="false">
      <c r="B102" s="131"/>
      <c r="C102" s="131"/>
      <c r="D102" s="131"/>
      <c r="E102" s="258"/>
      <c r="F102" s="258"/>
    </row>
    <row r="103" customFormat="false" ht="15.75" hidden="false" customHeight="false" outlineLevel="0" collapsed="false">
      <c r="B103" s="131"/>
      <c r="C103" s="131"/>
      <c r="D103" s="131"/>
      <c r="E103" s="131"/>
      <c r="F103" s="131"/>
    </row>
  </sheetData>
  <mergeCells count="52">
    <mergeCell ref="W10:X10"/>
    <mergeCell ref="Y10:Z10"/>
    <mergeCell ref="AA10:AB10"/>
    <mergeCell ref="AC10:AD10"/>
    <mergeCell ref="AE10:AF10"/>
    <mergeCell ref="AG10:AH10"/>
    <mergeCell ref="AI10:AJ10"/>
    <mergeCell ref="AK10:AL10"/>
    <mergeCell ref="AM10:AN10"/>
    <mergeCell ref="AO10:AP10"/>
    <mergeCell ref="AQ10:AR10"/>
    <mergeCell ref="AS10:AT10"/>
    <mergeCell ref="AU10:AV10"/>
    <mergeCell ref="AW10:AX10"/>
    <mergeCell ref="AY10:AZ10"/>
    <mergeCell ref="BA10:BB10"/>
    <mergeCell ref="BC10:BD10"/>
    <mergeCell ref="BE10:BF10"/>
    <mergeCell ref="BG10:BH10"/>
    <mergeCell ref="BI10:BJ10"/>
    <mergeCell ref="BK10:BL10"/>
    <mergeCell ref="BM10:BN10"/>
    <mergeCell ref="BO10:BP10"/>
    <mergeCell ref="BQ10:BR10"/>
    <mergeCell ref="BS10:BT10"/>
    <mergeCell ref="BU10:BV10"/>
    <mergeCell ref="BW10:BX10"/>
    <mergeCell ref="BY10:BZ10"/>
    <mergeCell ref="CA10:CB10"/>
    <mergeCell ref="CC10:CD10"/>
    <mergeCell ref="CE10:CF10"/>
    <mergeCell ref="CG10:CH10"/>
    <mergeCell ref="CI10:CJ10"/>
    <mergeCell ref="CK10:CL10"/>
    <mergeCell ref="CM10:CN10"/>
    <mergeCell ref="CO10:CP10"/>
    <mergeCell ref="CQ10:CR10"/>
    <mergeCell ref="CS10:CT10"/>
    <mergeCell ref="CU10:CV10"/>
    <mergeCell ref="CW10:CX10"/>
    <mergeCell ref="B63:K63"/>
    <mergeCell ref="L63:S63"/>
    <mergeCell ref="V63:AE63"/>
    <mergeCell ref="AF63:AM63"/>
    <mergeCell ref="B64:F64"/>
    <mergeCell ref="G64:K64"/>
    <mergeCell ref="L64:M64"/>
    <mergeCell ref="Q64:S64"/>
    <mergeCell ref="V64:Z64"/>
    <mergeCell ref="AA64:AE64"/>
    <mergeCell ref="AF64:AJ64"/>
    <mergeCell ref="AK64:AM6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">
              <controlPr defaultSize="0" locked="1" autoFill="0" autoLine="0" autoPict="0" print="true" altText="Check Box 1">
                <anchor moveWithCells="true" sizeWithCells="false">
                  <from>
                    <xdr:col>16</xdr:col>
                    <xdr:colOff>10080</xdr:colOff>
                    <xdr:row>8</xdr:row>
                    <xdr:rowOff>37800</xdr:rowOff>
                  </from>
                  <to>
                    <xdr:col>17</xdr:col>
                    <xdr:colOff>-613440</xdr:colOff>
                    <xdr:row>9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">
              <controlPr defaultSize="0" locked="1" autoFill="0" autoLine="0" autoPict="0" print="true" altText="Check Box 2">
                <anchor moveWithCells="true" sizeWithCells="false">
                  <from>
                    <xdr:col>16</xdr:col>
                    <xdr:colOff>10080</xdr:colOff>
                    <xdr:row>8</xdr:row>
                    <xdr:rowOff>29160</xdr:rowOff>
                  </from>
                  <to>
                    <xdr:col>17</xdr:col>
                    <xdr:colOff>-573120</xdr:colOff>
                    <xdr:row>9</xdr:row>
                    <xdr:rowOff>28800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2"/>
  <sheetViews>
    <sheetView showFormulas="false" showGridLines="true" showRowColHeaders="true" showZeros="true" rightToLeft="false" tabSelected="false" showOutlineSymbols="true" defaultGridColor="true" view="normal" topLeftCell="F1" colorId="64" zoomScale="75" zoomScaleNormal="75" zoomScalePageLayoutView="100" workbookViewId="0">
      <selection pane="topLeft" activeCell="N16" activeCellId="0" sqref="N16:O1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" width="12.56"/>
    <col collapsed="false" customWidth="true" hidden="false" outlineLevel="0" max="2" min="2" style="21" width="12.28"/>
    <col collapsed="false" customWidth="true" hidden="false" outlineLevel="0" max="3" min="3" style="21" width="9.99"/>
    <col collapsed="false" customWidth="true" hidden="false" outlineLevel="0" max="5" min="4" style="21" width="12.14"/>
    <col collapsed="false" customWidth="true" hidden="false" outlineLevel="0" max="6" min="6" style="21" width="10.13"/>
    <col collapsed="false" customWidth="true" hidden="false" outlineLevel="0" max="7" min="7" style="21" width="9.99"/>
    <col collapsed="false" customWidth="true" hidden="false" outlineLevel="0" max="8" min="8" style="21" width="11.85"/>
    <col collapsed="false" customWidth="true" hidden="false" outlineLevel="0" max="9" min="9" style="21" width="12.42"/>
    <col collapsed="false" customWidth="true" hidden="false" outlineLevel="0" max="10" min="10" style="21" width="17.85"/>
    <col collapsed="false" customWidth="true" hidden="false" outlineLevel="0" max="11" min="11" style="21" width="18.56"/>
    <col collapsed="false" customWidth="true" hidden="false" outlineLevel="0" max="12" min="12" style="21" width="9.7"/>
    <col collapsed="false" customWidth="true" hidden="false" outlineLevel="0" max="13" min="13" style="21" width="13.85"/>
    <col collapsed="false" customWidth="true" hidden="false" outlineLevel="0" max="15" min="14" style="21" width="9.85"/>
    <col collapsed="false" customWidth="true" hidden="false" outlineLevel="0" max="17" min="16" style="21" width="11.85"/>
    <col collapsed="false" customWidth="true" hidden="false" outlineLevel="0" max="18" min="18" style="21" width="11.28"/>
    <col collapsed="false" customWidth="true" hidden="false" outlineLevel="0" max="19" min="19" style="22" width="11.7"/>
    <col collapsed="false" customWidth="true" hidden="false" outlineLevel="0" max="20" min="20" style="23" width="12.85"/>
    <col collapsed="false" customWidth="false" hidden="false" outlineLevel="0" max="21" min="21" style="23" width="9.14"/>
    <col collapsed="false" customWidth="true" hidden="false" outlineLevel="0" max="22" min="22" style="21" width="13.41"/>
    <col collapsed="false" customWidth="true" hidden="false" outlineLevel="0" max="24" min="23" style="21" width="9.99"/>
    <col collapsed="false" customWidth="false" hidden="false" outlineLevel="0" max="25" min="25" style="21" width="9.14"/>
    <col collapsed="false" customWidth="true" hidden="false" outlineLevel="0" max="30" min="26" style="21" width="9.99"/>
    <col collapsed="false" customWidth="false" hidden="false" outlineLevel="0" max="31" min="31" style="21" width="9.14"/>
    <col collapsed="false" customWidth="true" hidden="false" outlineLevel="0" max="32" min="32" style="21" width="9.99"/>
    <col collapsed="false" customWidth="false" hidden="false" outlineLevel="0" max="33" min="33" style="21" width="9.14"/>
    <col collapsed="false" customWidth="true" hidden="false" outlineLevel="0" max="34" min="34" style="24" width="9.99"/>
    <col collapsed="false" customWidth="false" hidden="false" outlineLevel="0" max="35" min="35" style="24" width="9.14"/>
    <col collapsed="false" customWidth="true" hidden="false" outlineLevel="0" max="36" min="36" style="24" width="9.99"/>
    <col collapsed="false" customWidth="false" hidden="false" outlineLevel="0" max="37" min="37" style="24" width="9.14"/>
    <col collapsed="false" customWidth="true" hidden="false" outlineLevel="0" max="38" min="38" style="21" width="9.99"/>
    <col collapsed="false" customWidth="false" hidden="false" outlineLevel="0" max="39" min="39" style="21" width="9.14"/>
    <col collapsed="false" customWidth="true" hidden="false" outlineLevel="0" max="40" min="40" style="21" width="9.99"/>
    <col collapsed="false" customWidth="false" hidden="false" outlineLevel="0" max="41" min="41" style="21" width="9.14"/>
    <col collapsed="false" customWidth="true" hidden="false" outlineLevel="0" max="42" min="42" style="21" width="9.99"/>
    <col collapsed="false" customWidth="true" hidden="false" outlineLevel="0" max="52" min="43" style="21" width="10.13"/>
    <col collapsed="false" customWidth="false" hidden="false" outlineLevel="0" max="53" min="53" style="21" width="9.14"/>
    <col collapsed="false" customWidth="true" hidden="false" outlineLevel="0" max="54" min="54" style="21" width="9.99"/>
    <col collapsed="false" customWidth="false" hidden="false" outlineLevel="0" max="55" min="55" style="21" width="9.14"/>
    <col collapsed="false" customWidth="true" hidden="false" outlineLevel="0" max="56" min="56" style="21" width="9.99"/>
    <col collapsed="false" customWidth="false" hidden="false" outlineLevel="0" max="57" min="57" style="21" width="9.14"/>
    <col collapsed="false" customWidth="true" hidden="false" outlineLevel="0" max="58" min="58" style="21" width="9.99"/>
    <col collapsed="false" customWidth="false" hidden="false" outlineLevel="0" max="59" min="59" style="21" width="9.14"/>
    <col collapsed="false" customWidth="true" hidden="false" outlineLevel="0" max="60" min="60" style="21" width="9.99"/>
    <col collapsed="false" customWidth="false" hidden="false" outlineLevel="0" max="61" min="61" style="21" width="9.14"/>
    <col collapsed="false" customWidth="true" hidden="false" outlineLevel="0" max="62" min="62" style="21" width="9.99"/>
    <col collapsed="false" customWidth="false" hidden="false" outlineLevel="0" max="63" min="63" style="21" width="9.14"/>
    <col collapsed="false" customWidth="true" hidden="false" outlineLevel="0" max="64" min="64" style="21" width="9.99"/>
    <col collapsed="false" customWidth="false" hidden="false" outlineLevel="0" max="65" min="65" style="21" width="9.14"/>
    <col collapsed="false" customWidth="true" hidden="false" outlineLevel="0" max="66" min="66" style="21" width="9.99"/>
    <col collapsed="false" customWidth="false" hidden="false" outlineLevel="0" max="67" min="67" style="21" width="9.14"/>
    <col collapsed="false" customWidth="true" hidden="false" outlineLevel="0" max="68" min="68" style="21" width="9.99"/>
    <col collapsed="false" customWidth="false" hidden="false" outlineLevel="0" max="69" min="69" style="21" width="9.14"/>
    <col collapsed="false" customWidth="true" hidden="false" outlineLevel="0" max="70" min="70" style="21" width="9.99"/>
    <col collapsed="false" customWidth="false" hidden="false" outlineLevel="0" max="71" min="71" style="21" width="9.14"/>
    <col collapsed="false" customWidth="true" hidden="false" outlineLevel="0" max="72" min="72" style="21" width="9.99"/>
    <col collapsed="false" customWidth="false" hidden="false" outlineLevel="0" max="89" min="73" style="21" width="9.14"/>
    <col collapsed="false" customWidth="true" hidden="false" outlineLevel="0" max="90" min="90" style="21" width="10.99"/>
    <col collapsed="false" customWidth="true" hidden="false" outlineLevel="0" max="91" min="91" style="21" width="14.41"/>
    <col collapsed="false" customWidth="false" hidden="false" outlineLevel="0" max="97" min="92" style="21" width="9.14"/>
    <col collapsed="false" customWidth="true" hidden="false" outlineLevel="0" max="98" min="98" style="21" width="9.99"/>
    <col collapsed="false" customWidth="false" hidden="false" outlineLevel="0" max="99" min="99" style="21" width="9.14"/>
    <col collapsed="false" customWidth="true" hidden="false" outlineLevel="0" max="100" min="100" style="21" width="9.99"/>
    <col collapsed="false" customWidth="false" hidden="false" outlineLevel="0" max="101" min="101" style="21" width="9.14"/>
    <col collapsed="false" customWidth="true" hidden="false" outlineLevel="0" max="102" min="102" style="21" width="9.99"/>
    <col collapsed="false" customWidth="false" hidden="false" outlineLevel="0" max="105" min="103" style="21" width="9.14"/>
    <col collapsed="false" customWidth="true" hidden="false" outlineLevel="0" max="106" min="106" style="21" width="10.99"/>
    <col collapsed="false" customWidth="true" hidden="false" outlineLevel="0" max="107" min="107" style="21" width="14.41"/>
    <col collapsed="false" customWidth="false" hidden="false" outlineLevel="0" max="108" min="108" style="21" width="9.14"/>
    <col collapsed="false" customWidth="true" hidden="false" outlineLevel="0" max="109" min="109" style="21" width="17.28"/>
    <col collapsed="false" customWidth="false" hidden="false" outlineLevel="0" max="114" min="110" style="21" width="9.14"/>
    <col collapsed="false" customWidth="true" hidden="false" outlineLevel="0" max="115" min="115" style="21" width="10.99"/>
    <col collapsed="false" customWidth="false" hidden="false" outlineLevel="0" max="257" min="116" style="21" width="9.14"/>
  </cols>
  <sheetData>
    <row r="1" customFormat="false" ht="15.75" hidden="false" customHeight="false" outlineLevel="0" collapsed="false">
      <c r="AH1" s="21"/>
      <c r="AI1" s="21"/>
      <c r="AJ1" s="21"/>
      <c r="AK1" s="21"/>
    </row>
    <row r="2" customFormat="false" ht="25.5" hidden="false" customHeight="false" outlineLevel="0" collapsed="false">
      <c r="A2" s="259" t="s">
        <v>40</v>
      </c>
      <c r="N2" s="26"/>
      <c r="AH2" s="21"/>
      <c r="AI2" s="21"/>
      <c r="AJ2" s="21"/>
      <c r="AK2" s="21"/>
    </row>
    <row r="3" customFormat="false" ht="16.5" hidden="false" customHeight="false" outlineLevel="0" collapsed="false">
      <c r="N3" s="26"/>
      <c r="AH3" s="21"/>
      <c r="AI3" s="21"/>
      <c r="AJ3" s="21"/>
      <c r="AK3" s="21"/>
    </row>
    <row r="4" customFormat="false" ht="16.5" hidden="false" customHeight="false" outlineLevel="0" collapsed="false">
      <c r="I4" s="28" t="s">
        <v>41</v>
      </c>
      <c r="J4" s="29" t="s">
        <v>42</v>
      </c>
      <c r="K4" s="29"/>
      <c r="N4" s="26"/>
      <c r="S4" s="24"/>
      <c r="T4" s="24"/>
      <c r="AH4" s="21"/>
      <c r="AI4" s="21"/>
      <c r="AJ4" s="21"/>
      <c r="AK4" s="21"/>
    </row>
    <row r="5" customFormat="false" ht="13.5" hidden="false" customHeight="false" outlineLevel="0" collapsed="false">
      <c r="A5" s="31" t="s">
        <v>43</v>
      </c>
      <c r="B5" s="32" t="n">
        <f aca="false">[3]Top!$B$4</f>
        <v>37134</v>
      </c>
      <c r="I5" s="33" t="s">
        <v>44</v>
      </c>
      <c r="J5" s="34" t="s">
        <v>45</v>
      </c>
      <c r="K5" s="34" t="s">
        <v>46</v>
      </c>
      <c r="S5" s="24"/>
      <c r="T5" s="24"/>
      <c r="U5" s="35"/>
      <c r="AH5" s="21"/>
      <c r="AI5" s="21"/>
      <c r="AJ5" s="21"/>
      <c r="AK5" s="21"/>
    </row>
    <row r="6" customFormat="false" ht="16.5" hidden="false" customHeight="false" outlineLevel="0" collapsed="false">
      <c r="A6" s="36" t="s">
        <v>47</v>
      </c>
      <c r="B6" s="37" t="n">
        <f aca="false">[3]Top!$B$5</f>
        <v>37133</v>
      </c>
      <c r="E6" s="38"/>
      <c r="I6" s="39" t="n">
        <f aca="false">SUM(I12:I56)</f>
        <v>-2547.17135009774</v>
      </c>
      <c r="J6" s="39" t="n">
        <f aca="false">SUM(J12:J56)</f>
        <v>0</v>
      </c>
      <c r="K6" s="39" t="n">
        <f aca="false">SUM(K12:K56)</f>
        <v>-2547.17135009774</v>
      </c>
      <c r="S6" s="24"/>
      <c r="T6" s="24"/>
      <c r="U6" s="35"/>
      <c r="AH6" s="21"/>
      <c r="AI6" s="21"/>
      <c r="AJ6" s="21"/>
      <c r="AK6" s="21"/>
    </row>
    <row r="7" customFormat="false" ht="12.75" hidden="false" customHeight="false" outlineLevel="0" collapsed="false">
      <c r="N7" s="21" t="s">
        <v>39</v>
      </c>
      <c r="S7" s="24"/>
      <c r="T7" s="24"/>
      <c r="U7" s="35"/>
      <c r="AH7" s="21"/>
      <c r="AI7" s="21"/>
      <c r="AJ7" s="21"/>
      <c r="AK7" s="21"/>
    </row>
    <row r="8" customFormat="false" ht="13.5" hidden="false" customHeight="false" outlineLevel="0" collapsed="false">
      <c r="E8" s="0"/>
      <c r="P8" s="43"/>
      <c r="Q8" s="43"/>
      <c r="R8" s="43"/>
      <c r="S8" s="24"/>
      <c r="T8" s="24"/>
      <c r="U8" s="35"/>
      <c r="AH8" s="21"/>
      <c r="AI8" s="21"/>
      <c r="AJ8" s="21"/>
      <c r="AK8" s="21"/>
    </row>
    <row r="9" customFormat="false" ht="25.5" hidden="false" customHeight="true" outlineLevel="0" collapsed="false">
      <c r="L9" s="24"/>
      <c r="P9" s="43"/>
      <c r="Q9" s="45" t="b">
        <f aca="false">FALSE()</f>
        <v>0</v>
      </c>
      <c r="R9" s="43"/>
      <c r="S9" s="24"/>
      <c r="T9" s="24"/>
      <c r="U9" s="35"/>
      <c r="AH9" s="21"/>
      <c r="AI9" s="21"/>
      <c r="AJ9" s="21"/>
      <c r="AK9" s="21"/>
    </row>
    <row r="10" customFormat="false" ht="13.5" hidden="false" customHeight="false" outlineLevel="0" collapsed="false">
      <c r="A10" s="28"/>
      <c r="B10" s="28" t="s">
        <v>48</v>
      </c>
      <c r="C10" s="28" t="s">
        <v>49</v>
      </c>
      <c r="D10" s="28" t="s">
        <v>50</v>
      </c>
      <c r="E10" s="28" t="s">
        <v>51</v>
      </c>
      <c r="F10" s="28" t="s">
        <v>52</v>
      </c>
      <c r="G10" s="28" t="s">
        <v>49</v>
      </c>
      <c r="H10" s="28" t="s">
        <v>53</v>
      </c>
      <c r="I10" s="28" t="s">
        <v>41</v>
      </c>
      <c r="J10" s="29" t="s">
        <v>54</v>
      </c>
      <c r="K10" s="29"/>
      <c r="L10" s="24"/>
      <c r="M10" s="46"/>
      <c r="N10" s="46"/>
      <c r="O10" s="46"/>
      <c r="P10" s="28" t="s">
        <v>55</v>
      </c>
      <c r="Q10" s="28" t="s">
        <v>56</v>
      </c>
      <c r="R10" s="28" t="s">
        <v>53</v>
      </c>
      <c r="S10" s="24"/>
      <c r="T10" s="24"/>
      <c r="U10" s="35"/>
      <c r="V10" s="47"/>
      <c r="W10" s="28" t="n">
        <v>1</v>
      </c>
      <c r="X10" s="28"/>
      <c r="Y10" s="28" t="n">
        <v>2</v>
      </c>
      <c r="Z10" s="28"/>
      <c r="AA10" s="28" t="n">
        <v>3</v>
      </c>
      <c r="AB10" s="28"/>
      <c r="AC10" s="28" t="n">
        <v>4</v>
      </c>
      <c r="AD10" s="28"/>
      <c r="AE10" s="28" t="n">
        <v>5</v>
      </c>
      <c r="AF10" s="28"/>
      <c r="AG10" s="28" t="n">
        <v>6</v>
      </c>
      <c r="AH10" s="28"/>
      <c r="AI10" s="28" t="n">
        <v>7</v>
      </c>
      <c r="AJ10" s="28"/>
      <c r="AK10" s="28" t="n">
        <v>8</v>
      </c>
      <c r="AL10" s="28"/>
      <c r="AM10" s="28" t="n">
        <v>9</v>
      </c>
      <c r="AN10" s="28"/>
      <c r="AO10" s="28" t="n">
        <v>10</v>
      </c>
      <c r="AP10" s="28"/>
      <c r="AQ10" s="28" t="n">
        <v>11</v>
      </c>
      <c r="AR10" s="28"/>
      <c r="AS10" s="28" t="n">
        <v>12</v>
      </c>
      <c r="AT10" s="28"/>
      <c r="AU10" s="28" t="n">
        <v>13</v>
      </c>
      <c r="AV10" s="28"/>
      <c r="AW10" s="28" t="n">
        <v>14</v>
      </c>
      <c r="AX10" s="28"/>
      <c r="AY10" s="28" t="n">
        <v>15</v>
      </c>
      <c r="AZ10" s="28"/>
      <c r="BA10" s="28" t="n">
        <v>16</v>
      </c>
      <c r="BB10" s="28"/>
      <c r="BC10" s="28" t="n">
        <v>17</v>
      </c>
      <c r="BD10" s="28"/>
      <c r="BE10" s="28" t="n">
        <v>18</v>
      </c>
      <c r="BF10" s="28"/>
      <c r="BG10" s="28" t="n">
        <v>19</v>
      </c>
      <c r="BH10" s="28"/>
      <c r="BI10" s="28" t="n">
        <v>20</v>
      </c>
      <c r="BJ10" s="28"/>
      <c r="BK10" s="28" t="n">
        <v>21</v>
      </c>
      <c r="BL10" s="28"/>
      <c r="BM10" s="28" t="n">
        <v>22</v>
      </c>
      <c r="BN10" s="28"/>
      <c r="BO10" s="28" t="n">
        <v>23</v>
      </c>
      <c r="BP10" s="28"/>
      <c r="BQ10" s="28" t="n">
        <v>24</v>
      </c>
      <c r="BR10" s="28"/>
      <c r="BS10" s="28" t="n">
        <v>25</v>
      </c>
      <c r="BT10" s="28"/>
      <c r="BU10" s="28" t="n">
        <v>26</v>
      </c>
      <c r="BV10" s="28"/>
      <c r="BW10" s="28" t="n">
        <v>27</v>
      </c>
      <c r="BX10" s="28"/>
      <c r="BY10" s="28" t="n">
        <v>28</v>
      </c>
      <c r="BZ10" s="28"/>
      <c r="CA10" s="28" t="n">
        <v>29</v>
      </c>
      <c r="CB10" s="28"/>
      <c r="CC10" s="28" t="n">
        <v>30</v>
      </c>
      <c r="CD10" s="28"/>
      <c r="CE10" s="28" t="n">
        <v>31</v>
      </c>
      <c r="CF10" s="28"/>
      <c r="CG10" s="28" t="n">
        <v>32</v>
      </c>
      <c r="CH10" s="28"/>
      <c r="CI10" s="28" t="n">
        <v>33</v>
      </c>
      <c r="CJ10" s="28"/>
      <c r="CK10" s="28" t="n">
        <v>34</v>
      </c>
      <c r="CL10" s="28"/>
      <c r="CM10" s="28" t="n">
        <v>35</v>
      </c>
      <c r="CN10" s="28"/>
      <c r="CO10" s="28" t="n">
        <v>36</v>
      </c>
      <c r="CP10" s="28"/>
      <c r="CQ10" s="28" t="n">
        <v>37</v>
      </c>
      <c r="CR10" s="28"/>
      <c r="CS10" s="28" t="n">
        <v>38</v>
      </c>
      <c r="CT10" s="28"/>
      <c r="CU10" s="28" t="n">
        <v>39</v>
      </c>
      <c r="CV10" s="28"/>
      <c r="CW10" s="28" t="n">
        <v>40</v>
      </c>
      <c r="CX10" s="28"/>
      <c r="CY10" s="48" t="s">
        <v>57</v>
      </c>
      <c r="CZ10" s="49" t="s">
        <v>58</v>
      </c>
      <c r="DA10" s="50"/>
      <c r="DB10" s="50"/>
      <c r="DC10" s="50" t="s">
        <v>59</v>
      </c>
      <c r="DD10" s="50" t="s">
        <v>60</v>
      </c>
      <c r="DE10" s="50" t="s">
        <v>61</v>
      </c>
      <c r="DF10" s="50" t="s">
        <v>62</v>
      </c>
      <c r="DG10" s="50" t="s">
        <v>62</v>
      </c>
      <c r="DH10" s="50" t="s">
        <v>63</v>
      </c>
      <c r="DI10" s="50" t="s">
        <v>63</v>
      </c>
      <c r="DL10" s="51" t="s">
        <v>52</v>
      </c>
    </row>
    <row r="11" customFormat="false" ht="13.5" hidden="false" customHeight="false" outlineLevel="0" collapsed="false">
      <c r="A11" s="52" t="s">
        <v>64</v>
      </c>
      <c r="B11" s="34" t="s">
        <v>68</v>
      </c>
      <c r="C11" s="33" t="s">
        <v>66</v>
      </c>
      <c r="D11" s="33" t="s">
        <v>87</v>
      </c>
      <c r="E11" s="33" t="s">
        <v>68</v>
      </c>
      <c r="F11" s="33" t="s">
        <v>69</v>
      </c>
      <c r="G11" s="33" t="s">
        <v>70</v>
      </c>
      <c r="H11" s="33" t="s">
        <v>69</v>
      </c>
      <c r="I11" s="33" t="s">
        <v>44</v>
      </c>
      <c r="J11" s="34" t="s">
        <v>45</v>
      </c>
      <c r="K11" s="34" t="s">
        <v>46</v>
      </c>
      <c r="L11" s="24"/>
      <c r="M11" s="52" t="s">
        <v>64</v>
      </c>
      <c r="N11" s="52" t="s">
        <v>71</v>
      </c>
      <c r="O11" s="52" t="s">
        <v>72</v>
      </c>
      <c r="P11" s="33" t="s">
        <v>56</v>
      </c>
      <c r="Q11" s="33" t="s">
        <v>73</v>
      </c>
      <c r="R11" s="33" t="s">
        <v>69</v>
      </c>
      <c r="S11" s="24"/>
      <c r="T11" s="24"/>
      <c r="U11" s="35"/>
      <c r="V11" s="33" t="s">
        <v>64</v>
      </c>
      <c r="W11" s="53" t="s">
        <v>74</v>
      </c>
      <c r="X11" s="34" t="s">
        <v>69</v>
      </c>
      <c r="Y11" s="53" t="s">
        <v>74</v>
      </c>
      <c r="Z11" s="34" t="s">
        <v>69</v>
      </c>
      <c r="AA11" s="53" t="s">
        <v>74</v>
      </c>
      <c r="AB11" s="34" t="s">
        <v>69</v>
      </c>
      <c r="AC11" s="53" t="s">
        <v>74</v>
      </c>
      <c r="AD11" s="34" t="s">
        <v>69</v>
      </c>
      <c r="AE11" s="53" t="s">
        <v>74</v>
      </c>
      <c r="AF11" s="34" t="s">
        <v>69</v>
      </c>
      <c r="AG11" s="53" t="s">
        <v>74</v>
      </c>
      <c r="AH11" s="34" t="s">
        <v>69</v>
      </c>
      <c r="AI11" s="53" t="s">
        <v>74</v>
      </c>
      <c r="AJ11" s="34" t="s">
        <v>69</v>
      </c>
      <c r="AK11" s="53" t="s">
        <v>74</v>
      </c>
      <c r="AL11" s="34" t="s">
        <v>69</v>
      </c>
      <c r="AM11" s="53" t="s">
        <v>74</v>
      </c>
      <c r="AN11" s="34" t="s">
        <v>69</v>
      </c>
      <c r="AO11" s="53" t="s">
        <v>74</v>
      </c>
      <c r="AP11" s="34" t="s">
        <v>69</v>
      </c>
      <c r="AQ11" s="53" t="s">
        <v>74</v>
      </c>
      <c r="AR11" s="34" t="s">
        <v>69</v>
      </c>
      <c r="AS11" s="53" t="s">
        <v>74</v>
      </c>
      <c r="AT11" s="34" t="s">
        <v>69</v>
      </c>
      <c r="AU11" s="54" t="s">
        <v>74</v>
      </c>
      <c r="AV11" s="55" t="s">
        <v>69</v>
      </c>
      <c r="AW11" s="53" t="s">
        <v>74</v>
      </c>
      <c r="AX11" s="34" t="s">
        <v>69</v>
      </c>
      <c r="AY11" s="53" t="s">
        <v>74</v>
      </c>
      <c r="AZ11" s="34" t="s">
        <v>69</v>
      </c>
      <c r="BA11" s="53" t="s">
        <v>74</v>
      </c>
      <c r="BB11" s="34" t="s">
        <v>69</v>
      </c>
      <c r="BC11" s="53" t="s">
        <v>74</v>
      </c>
      <c r="BD11" s="34" t="s">
        <v>69</v>
      </c>
      <c r="BE11" s="53" t="s">
        <v>74</v>
      </c>
      <c r="BF11" s="34" t="s">
        <v>69</v>
      </c>
      <c r="BG11" s="53" t="s">
        <v>74</v>
      </c>
      <c r="BH11" s="34" t="s">
        <v>69</v>
      </c>
      <c r="BI11" s="53" t="s">
        <v>74</v>
      </c>
      <c r="BJ11" s="34" t="s">
        <v>69</v>
      </c>
      <c r="BK11" s="53" t="s">
        <v>74</v>
      </c>
      <c r="BL11" s="34" t="s">
        <v>69</v>
      </c>
      <c r="BM11" s="53" t="s">
        <v>74</v>
      </c>
      <c r="BN11" s="34" t="s">
        <v>69</v>
      </c>
      <c r="BO11" s="53" t="s">
        <v>74</v>
      </c>
      <c r="BP11" s="34" t="s">
        <v>69</v>
      </c>
      <c r="BQ11" s="53" t="s">
        <v>74</v>
      </c>
      <c r="BR11" s="34" t="s">
        <v>69</v>
      </c>
      <c r="BS11" s="53" t="s">
        <v>74</v>
      </c>
      <c r="BT11" s="34" t="s">
        <v>69</v>
      </c>
      <c r="BU11" s="53" t="s">
        <v>74</v>
      </c>
      <c r="BV11" s="34" t="s">
        <v>69</v>
      </c>
      <c r="BW11" s="53" t="s">
        <v>74</v>
      </c>
      <c r="BX11" s="34" t="s">
        <v>69</v>
      </c>
      <c r="BY11" s="53" t="s">
        <v>74</v>
      </c>
      <c r="BZ11" s="34" t="s">
        <v>69</v>
      </c>
      <c r="CA11" s="53" t="s">
        <v>74</v>
      </c>
      <c r="CB11" s="34" t="s">
        <v>69</v>
      </c>
      <c r="CC11" s="53" t="s">
        <v>74</v>
      </c>
      <c r="CD11" s="34" t="s">
        <v>69</v>
      </c>
      <c r="CE11" s="53" t="s">
        <v>74</v>
      </c>
      <c r="CF11" s="34" t="s">
        <v>69</v>
      </c>
      <c r="CG11" s="53" t="s">
        <v>74</v>
      </c>
      <c r="CH11" s="34" t="s">
        <v>69</v>
      </c>
      <c r="CI11" s="53" t="s">
        <v>74</v>
      </c>
      <c r="CJ11" s="34" t="s">
        <v>69</v>
      </c>
      <c r="CK11" s="53" t="s">
        <v>74</v>
      </c>
      <c r="CL11" s="34" t="s">
        <v>69</v>
      </c>
      <c r="CM11" s="53" t="s">
        <v>74</v>
      </c>
      <c r="CN11" s="34" t="s">
        <v>69</v>
      </c>
      <c r="CO11" s="53" t="s">
        <v>74</v>
      </c>
      <c r="CP11" s="34" t="s">
        <v>69</v>
      </c>
      <c r="CQ11" s="53" t="s">
        <v>74</v>
      </c>
      <c r="CR11" s="34" t="s">
        <v>69</v>
      </c>
      <c r="CS11" s="53" t="s">
        <v>74</v>
      </c>
      <c r="CT11" s="34" t="s">
        <v>69</v>
      </c>
      <c r="CU11" s="53" t="s">
        <v>74</v>
      </c>
      <c r="CV11" s="34" t="s">
        <v>69</v>
      </c>
      <c r="CW11" s="53" t="s">
        <v>74</v>
      </c>
      <c r="CX11" s="34" t="s">
        <v>69</v>
      </c>
      <c r="CY11" s="56" t="s">
        <v>74</v>
      </c>
      <c r="CZ11" s="57" t="s">
        <v>69</v>
      </c>
      <c r="DA11" s="50"/>
      <c r="DB11" s="50"/>
      <c r="DC11" s="50" t="s">
        <v>75</v>
      </c>
      <c r="DD11" s="50" t="s">
        <v>76</v>
      </c>
      <c r="DE11" s="50"/>
      <c r="DF11" s="50" t="n">
        <v>1</v>
      </c>
      <c r="DG11" s="50" t="n">
        <v>2</v>
      </c>
      <c r="DH11" s="50" t="n">
        <v>1</v>
      </c>
      <c r="DI11" s="50" t="n">
        <v>2</v>
      </c>
      <c r="DL11" s="51" t="s">
        <v>77</v>
      </c>
      <c r="DN11" s="51" t="s">
        <v>78</v>
      </c>
    </row>
    <row r="12" customFormat="false" ht="18.75" hidden="false" customHeight="false" outlineLevel="0" collapsed="false">
      <c r="A12" s="58" t="n">
        <f aca="false">'NYISO A'!A12</f>
        <v>37135</v>
      </c>
      <c r="B12" s="59" t="n">
        <f aca="false">[3]Nepool!$L3/16</f>
        <v>0</v>
      </c>
      <c r="C12" s="60" t="n">
        <f aca="false">CY12</f>
        <v>0</v>
      </c>
      <c r="D12" s="61" t="n">
        <f aca="false">($AP$68+IF(MONTH(A12)=MONTH(EOMONTH(TradeDate,1)),$AP$69,0))*VLOOKUP(A12,$DK$12:$DN$43,4)</f>
        <v>0</v>
      </c>
      <c r="E12" s="62" t="n">
        <f aca="false">B12+C12+D12</f>
        <v>0</v>
      </c>
      <c r="F12" s="63" t="n">
        <f aca="false">[3]Nepool!$C3</f>
        <v>32</v>
      </c>
      <c r="G12" s="63" t="n">
        <f aca="false">IF($Q$9,Q12,P12)</f>
        <v>13.75</v>
      </c>
      <c r="H12" s="64" t="n">
        <f aca="false">F12+G12</f>
        <v>45.75</v>
      </c>
      <c r="I12" s="65" t="n">
        <f aca="false">B12*G12*DD12</f>
        <v>0</v>
      </c>
      <c r="J12" s="66" t="n">
        <f aca="false">DH12+DI12</f>
        <v>0</v>
      </c>
      <c r="K12" s="66" t="n">
        <f aca="false">+J12+I12</f>
        <v>0</v>
      </c>
      <c r="L12" s="24"/>
      <c r="M12" s="67" t="n">
        <f aca="false">A12</f>
        <v>37135</v>
      </c>
      <c r="N12" s="92" t="n">
        <v>45.75</v>
      </c>
      <c r="O12" s="92" t="n">
        <v>45.75</v>
      </c>
      <c r="P12" s="69" t="n">
        <f aca="false">AVERAGE(N12:O12)-F12</f>
        <v>13.75</v>
      </c>
      <c r="Q12" s="70"/>
      <c r="R12" s="71" t="n">
        <f aca="false">H12</f>
        <v>45.75</v>
      </c>
      <c r="S12" s="24"/>
      <c r="T12" s="24"/>
      <c r="U12" s="72"/>
      <c r="V12" s="73" t="n">
        <f aca="false">A12</f>
        <v>37135</v>
      </c>
      <c r="W12" s="77"/>
      <c r="X12" s="97"/>
      <c r="Y12" s="77"/>
      <c r="Z12" s="78"/>
      <c r="AA12" s="77"/>
      <c r="AB12" s="78"/>
      <c r="AC12" s="77"/>
      <c r="AD12" s="78"/>
      <c r="AE12" s="77"/>
      <c r="AF12" s="78"/>
      <c r="AG12" s="77"/>
      <c r="AH12" s="78"/>
      <c r="AI12" s="77"/>
      <c r="AJ12" s="78"/>
      <c r="AK12" s="77"/>
      <c r="AL12" s="78"/>
      <c r="AM12" s="77"/>
      <c r="AN12" s="78"/>
      <c r="AO12" s="77"/>
      <c r="AP12" s="78"/>
      <c r="AQ12" s="77"/>
      <c r="AR12" s="78"/>
      <c r="AS12" s="77"/>
      <c r="AT12" s="78"/>
      <c r="AU12" s="139"/>
      <c r="AV12" s="140"/>
      <c r="AW12" s="77"/>
      <c r="AX12" s="78"/>
      <c r="AY12" s="81"/>
      <c r="AZ12" s="75"/>
      <c r="BA12" s="77"/>
      <c r="BB12" s="78"/>
      <c r="BC12" s="81"/>
      <c r="BD12" s="75"/>
      <c r="BE12" s="81"/>
      <c r="BF12" s="75"/>
      <c r="BG12" s="81"/>
      <c r="BH12" s="75"/>
      <c r="BI12" s="81"/>
      <c r="BJ12" s="75"/>
      <c r="BK12" s="81"/>
      <c r="BL12" s="75"/>
      <c r="BM12" s="81"/>
      <c r="BN12" s="75"/>
      <c r="BO12" s="81"/>
      <c r="BP12" s="75"/>
      <c r="BQ12" s="81"/>
      <c r="BR12" s="75"/>
      <c r="BS12" s="81"/>
      <c r="BT12" s="75"/>
      <c r="BU12" s="81"/>
      <c r="BV12" s="75"/>
      <c r="BW12" s="81"/>
      <c r="BX12" s="75"/>
      <c r="BY12" s="81"/>
      <c r="BZ12" s="75"/>
      <c r="CA12" s="81"/>
      <c r="CB12" s="75"/>
      <c r="CC12" s="81"/>
      <c r="CD12" s="75"/>
      <c r="CE12" s="81"/>
      <c r="CF12" s="75"/>
      <c r="CG12" s="81"/>
      <c r="CH12" s="75"/>
      <c r="CI12" s="81"/>
      <c r="CJ12" s="75"/>
      <c r="CK12" s="81"/>
      <c r="CL12" s="75"/>
      <c r="CM12" s="81"/>
      <c r="CN12" s="75"/>
      <c r="CO12" s="81"/>
      <c r="CP12" s="75"/>
      <c r="CQ12" s="81"/>
      <c r="CR12" s="75"/>
      <c r="CS12" s="81"/>
      <c r="CT12" s="75"/>
      <c r="CU12" s="81"/>
      <c r="CV12" s="75"/>
      <c r="CW12" s="81"/>
      <c r="CX12" s="75"/>
      <c r="CY12" s="82" t="n">
        <f aca="false">W12+Y12+AA12+AC12+AE12+AG12+AI12+AK12+AM12+AO12+AQ12+AS12+AU12+AW12+AY12+BA12+BC12+BE12+BG12+BI12+BK12+BM12+BO12+BQ12+BS12+BU12+BW12+BY12+CA12+CC12+CE12+CG12+CI12+CK12+CM12+CO12+CQ12+CS12+CU12+CW12</f>
        <v>0</v>
      </c>
      <c r="CZ12" s="83" t="n">
        <f aca="false">IF(AND(CY12=0,DC12=0),0,(DF12+DG12)/DC12)</f>
        <v>0</v>
      </c>
      <c r="DA12" s="84" t="n">
        <f aca="false">DC12*DD12</f>
        <v>0</v>
      </c>
      <c r="DB12" s="85" t="n">
        <f aca="false">V12</f>
        <v>37135</v>
      </c>
      <c r="DC12" s="84" t="n">
        <f aca="false">ABS(W12)+ABS(Y12)+ABS(AA12)+ABS(AC12)+ABS(AE12)+ABS(AG12)+ABS(AI12)+ABS(AK12)+ABS(AM12)+ABS(AO12)+ABS(AQ12)+ABS(AS12)+ABS(AU12)+ABS(AW12)+ABS(AY12)+ABS(BA12)+ABS(BC12)+ABS(BE12)+ABS(BG12)+ABS(BI12)+ABS(BK12)+ABS(BM12)+ABS(BO12)+ABS(BQ12)+ABS(BS12)+ABS(BU12)+ABS(BW12)+ABS(BY12)+ABS(CA12)+ABS(CC12)+ABS(CE12)+ABS(CG12)+ABS(CI12)+ABS(CK12)+ABS(CM12)+ABS(CO12)+ABS(CQ12)+ABS(CS12)+ABS(CU12)+ABS(CW12)</f>
        <v>0</v>
      </c>
      <c r="DD12" s="86" t="n">
        <v>16</v>
      </c>
      <c r="DE12" s="84" t="n">
        <v>1</v>
      </c>
      <c r="DF12" s="43" t="n">
        <f aca="false">(ABS(W12)*X12+ABS(Y12)*Z12+ABS(AA12)*AB12+ABS(AC12)*AD12+ABS(AE12)*AF12+ABS(AG12)*AH12+ABS(AI12)*AJ12+ABS(AK12)*AL12+ABS(AM12)*AN12+ABS(AO12)*AP12+ABS(AQ12)*AR12+ABS(AS12)*AT12+ABS(AU12)*AV12+ABS(AW12)*AX12+ABS(AY12)*AZ12+ABS(BA12)*BB12+ABS(BC12)*BD12+ABS(BE12)*BF12+ABS(BG12)*BH12+ABS(BI12)*BJ12)</f>
        <v>0</v>
      </c>
      <c r="DG12" s="43" t="n">
        <f aca="false">ABS(BK12)*BL12+ABS(BM12)*BN12+ABS(BO12)*BP12+ABS(BQ12)*BR12+ABS(BS12)*BT12+ABS(BU12)*BV12+ABS(BW12)*BX12+ABS(BY12)*BZ12+ABS(CA12)*CB12+ABS(CC12)*CD12+ABS(CE12)*CF12+ABS(CG12)*CH12+ABS(CI12)*CJ12+ABS(CK12)*CL12+ABS(CM12)*CN12+ABS(CO12)*CP12+ABS(CQ12)*CR12+ABS(CS12)*CT12+ABS(CU12)*CV12+ABS(CW12)*CX12</f>
        <v>0</v>
      </c>
      <c r="DH12" s="43" t="n">
        <f aca="false">((H12-X12)*W12+(H12-Z12)*Y12+(H12-AB12)*AA12+(H12-AD12)*AC12+(H12-AF12)*AE12+(H12-AH12)*AG12+(H12-AJ12)*AI12+(H12-AL12)*AK12+(H12-AN12)*AM12+(H12-AP12)*AO12+(H12-AR12)*AQ12+(H12-AT12)*AS12+(H12-AV12)*AU12+(H12-AX12)*AW12+(H12-AZ12)*AY12+(H12-BB12)*BA12+(H12-BD12)*BC12+(H12-BF12)*BE12+(H12-BH12)*BG12+(H12-BJ12)*BI12)*DD12*DE12</f>
        <v>0</v>
      </c>
      <c r="DI12" s="43" t="n">
        <f aca="false">(((H12-BL12)*BK12+(H12-BN12)*BM12+(H12-BP12)*BO12+(H12-BR12)*BQ12+(H12-BT12)*BS12+(H12-BV12)*BU12+(H12-BX12)*BW12+(H12-BZ12)*BY12+(H12-CB12)*CA12+(H12-CD12)*CC12+(H12-CF12)*CE12+(H12-CH12)*CG12+(H12-CJ12)*CH12+(H12-CL12)*CK12+(H12-CN12)*CM12+(H12-CP12)*CO12+(H12-CR12)*CQ12+(H12-CT12)*CS12+(H12-CV12)*CU12+(H12-CX12)*CW12)*DD12*DE12)</f>
        <v>0</v>
      </c>
      <c r="DK12" s="85" t="n">
        <v>36839</v>
      </c>
      <c r="DL12" s="21" t="n">
        <v>0</v>
      </c>
      <c r="DN12" s="21" t="n">
        <f aca="false">IF(AND(WEEKDAY(DK12)&gt;1,WEEKDAY(DK12)&lt;7),1,0)</f>
        <v>1</v>
      </c>
    </row>
    <row r="13" customFormat="false" ht="18.75" hidden="false" customHeight="false" outlineLevel="0" collapsed="false">
      <c r="A13" s="58" t="n">
        <f aca="false">'NYISO A'!A13</f>
        <v>37136</v>
      </c>
      <c r="B13" s="59" t="n">
        <f aca="false">[3]Nepool!$L4/16</f>
        <v>0</v>
      </c>
      <c r="C13" s="60" t="n">
        <f aca="false">CY13</f>
        <v>0</v>
      </c>
      <c r="D13" s="87" t="n">
        <f aca="false">(IF(MONTH(A13)=MONTH(EOMONTH(TradeDate,1)),$AP$69,0)*VLOOKUP(A13,$DK$12:$DN$43,4))</f>
        <v>0</v>
      </c>
      <c r="E13" s="62" t="n">
        <f aca="false">B13+C13+D13</f>
        <v>0</v>
      </c>
      <c r="F13" s="63" t="n">
        <f aca="false">[3]Nepool!$C4</f>
        <v>32</v>
      </c>
      <c r="G13" s="88" t="n">
        <f aca="false">IF($Q$9,Q13,P13)</f>
        <v>13.75</v>
      </c>
      <c r="H13" s="64" t="n">
        <f aca="false">F13+G13</f>
        <v>45.75</v>
      </c>
      <c r="I13" s="87" t="n">
        <f aca="false">B13*G13*DD13</f>
        <v>0</v>
      </c>
      <c r="J13" s="66" t="n">
        <f aca="false">DH13+DI13</f>
        <v>0</v>
      </c>
      <c r="K13" s="90" t="n">
        <f aca="false">+J13+I13</f>
        <v>0</v>
      </c>
      <c r="L13" s="24"/>
      <c r="M13" s="67" t="n">
        <f aca="false">A13</f>
        <v>37136</v>
      </c>
      <c r="N13" s="92" t="n">
        <v>45.75</v>
      </c>
      <c r="O13" s="92" t="n">
        <v>45.75</v>
      </c>
      <c r="P13" s="69" t="n">
        <f aca="false">AVERAGE(N13:O13)-F13</f>
        <v>13.75</v>
      </c>
      <c r="Q13" s="70"/>
      <c r="R13" s="91" t="n">
        <f aca="false">H13</f>
        <v>45.75</v>
      </c>
      <c r="S13" s="24"/>
      <c r="T13" s="24"/>
      <c r="U13" s="72"/>
      <c r="V13" s="73" t="n">
        <f aca="false">A13</f>
        <v>37136</v>
      </c>
      <c r="W13" s="77"/>
      <c r="X13" s="76"/>
      <c r="Y13" s="77"/>
      <c r="Z13" s="78"/>
      <c r="AA13" s="77"/>
      <c r="AB13" s="99"/>
      <c r="AC13" s="77"/>
      <c r="AD13" s="99"/>
      <c r="AE13" s="77"/>
      <c r="AF13" s="99"/>
      <c r="AG13" s="77"/>
      <c r="AH13" s="76"/>
      <c r="AI13" s="77"/>
      <c r="AJ13" s="99"/>
      <c r="AK13" s="77"/>
      <c r="AL13" s="76"/>
      <c r="AM13" s="93"/>
      <c r="AN13" s="76"/>
      <c r="AO13" s="93"/>
      <c r="AP13" s="97"/>
      <c r="AQ13" s="93"/>
      <c r="AR13" s="97"/>
      <c r="AS13" s="77"/>
      <c r="AT13" s="99"/>
      <c r="AU13" s="94"/>
      <c r="AV13" s="95"/>
      <c r="AW13" s="77"/>
      <c r="AX13" s="78"/>
      <c r="AY13" s="81"/>
      <c r="AZ13" s="75"/>
      <c r="BA13" s="77"/>
      <c r="BB13" s="78"/>
      <c r="BC13" s="81"/>
      <c r="BD13" s="75"/>
      <c r="BE13" s="81"/>
      <c r="BF13" s="75"/>
      <c r="BG13" s="81"/>
      <c r="BH13" s="75"/>
      <c r="BI13" s="81"/>
      <c r="BJ13" s="75"/>
      <c r="BK13" s="81"/>
      <c r="BL13" s="75"/>
      <c r="BM13" s="81"/>
      <c r="BN13" s="75"/>
      <c r="BO13" s="81"/>
      <c r="BP13" s="75"/>
      <c r="BQ13" s="81"/>
      <c r="BR13" s="75"/>
      <c r="BS13" s="81"/>
      <c r="BT13" s="75"/>
      <c r="BU13" s="81"/>
      <c r="BV13" s="75"/>
      <c r="BW13" s="81"/>
      <c r="BX13" s="75"/>
      <c r="BY13" s="81"/>
      <c r="BZ13" s="75"/>
      <c r="CA13" s="81"/>
      <c r="CB13" s="75"/>
      <c r="CC13" s="81"/>
      <c r="CD13" s="75"/>
      <c r="CE13" s="81"/>
      <c r="CF13" s="75"/>
      <c r="CG13" s="81"/>
      <c r="CH13" s="75"/>
      <c r="CI13" s="81"/>
      <c r="CJ13" s="75"/>
      <c r="CK13" s="81"/>
      <c r="CL13" s="75"/>
      <c r="CM13" s="81"/>
      <c r="CN13" s="75"/>
      <c r="CO13" s="81"/>
      <c r="CP13" s="75"/>
      <c r="CQ13" s="81"/>
      <c r="CR13" s="75"/>
      <c r="CS13" s="81"/>
      <c r="CT13" s="75"/>
      <c r="CU13" s="81"/>
      <c r="CV13" s="75"/>
      <c r="CW13" s="81"/>
      <c r="CX13" s="75"/>
      <c r="CY13" s="82" t="n">
        <f aca="false">W13+Y13+AA13+AC13+AE13+AG13+AI13+AK13+AM13+AO13+AQ13+AS13+AU13+AW13+AY13+BA13+BC13+BE13+BG13+BI13+BK13+BM13+BO13+BQ13+BS13+BU13+BW13+BY13+CA13+CC13+CE13+CG13+CI13+CK13+CM13+CO13+CQ13+CS13+CU13+CW13</f>
        <v>0</v>
      </c>
      <c r="CZ13" s="83" t="n">
        <f aca="false">IF(AND(CY13=0,DC13=0),0,(DF13+DG13)/DC13)</f>
        <v>0</v>
      </c>
      <c r="DA13" s="84" t="n">
        <f aca="false">DC13*DD13</f>
        <v>0</v>
      </c>
      <c r="DB13" s="85" t="n">
        <f aca="false">V13</f>
        <v>37136</v>
      </c>
      <c r="DC13" s="84" t="n">
        <f aca="false">ABS(W13)+ABS(Y13)+ABS(AA13)+ABS(AC13)+ABS(AE13)+ABS(AG13)+ABS(AI13)+ABS(AK13)+ABS(AM13)+ABS(AO13)+ABS(AQ13)+ABS(AS13)+ABS(AU13)+ABS(AW13)+ABS(AY13)+ABS(BA13)+ABS(BC13)+ABS(BE13)+ABS(BG13)+ABS(BI13)+ABS(BK13)+ABS(BM13)+ABS(BO13)+ABS(BQ13)+ABS(BS13)+ABS(BU13)+ABS(BW13)+ABS(BY13)+ABS(CA13)+ABS(CC13)+ABS(CE13)+ABS(CG13)+ABS(CI13)+ABS(CK13)+ABS(CM13)+ABS(CO13)+ABS(CQ13)+ABS(CS13)+ABS(CU13)+ABS(CW13)</f>
        <v>0</v>
      </c>
      <c r="DD13" s="86" t="n">
        <v>16</v>
      </c>
      <c r="DE13" s="84" t="n">
        <v>1</v>
      </c>
      <c r="DF13" s="43" t="n">
        <f aca="false">(ABS(W13)*X13+ABS(Y13)*Z13+ABS(AA13)*AB13+ABS(AC13)*AD13+ABS(AE13)*AF13+ABS(AG13)*AH13+ABS(AI13)*AJ13+ABS(AK13)*AL13+ABS(AM13)*AN13+ABS(AO13)*AP13+ABS(AQ13)*AR13+ABS(AS13)*AT13+ABS(AU13)*AV13+ABS(AW13)*AX13+ABS(AY13)*AZ13+ABS(BA13)*BB13+ABS(BC13)*BD13+ABS(BE13)*BF13+ABS(BG13)*BH13+ABS(BI13)*BJ13)</f>
        <v>0</v>
      </c>
      <c r="DG13" s="43" t="n">
        <f aca="false">ABS(BK13)*BL13+ABS(BM13)*BN13+ABS(BO13)*BP13+ABS(BQ13)*BR13+ABS(BS13)*BT13+ABS(BU13)*BV13+ABS(BW13)*BX13+ABS(BY13)*BZ13+ABS(CA13)*CB13+ABS(CC13)*CD13+ABS(CE13)*CF13+ABS(CG13)*CH13+ABS(CI13)*CJ13+ABS(CK13)*CL13+ABS(CM13)*CN13+ABS(CO13)*CP13+ABS(CQ13)*CR13+ABS(CS13)*CT13+ABS(CU13)*CV13+ABS(CW13)*CX13</f>
        <v>0</v>
      </c>
      <c r="DH13" s="43" t="n">
        <f aca="false">((H13-X13)*W13+(H13-Z13)*Y13+(H13-AB13)*AA13+(H13-AD13)*AC13+(H13-AF13)*AE13+(H13-AH13)*AG13+(H13-AJ13)*AI13+(H13-AL13)*AK13+(H13-AN13)*AM13+(H13-AP13)*AO13+(H13-AR13)*AQ13+(H13-AT13)*AS13+(H13-AV13)*AU13+(H13-AX13)*AW13+(H13-AZ13)*AY13+(H13-BB13)*BA13+(H13-BD13)*BC13+(H13-BF13)*BE13+(H13-BH13)*BG13+(H13-BJ13)*BI13)*DD13*DE13</f>
        <v>0</v>
      </c>
      <c r="DI13" s="43" t="n">
        <f aca="false">(((H13-BL13)*BK13+(H13-BN13)*BM13+(H13-BP13)*BO13+(H13-BR13)*BQ13+(H13-BT13)*BS13+(H13-BV13)*BU13+(H13-BX13)*BW13+(H13-BZ13)*BY13+(H13-CB13)*CA13+(H13-CD13)*CC13+(H13-CF13)*CE13+(H13-CH13)*CG13+(H13-CJ13)*CH13+(H13-CL13)*CK13+(H13-CN13)*CM13+(H13-CP13)*CO13+(H13-CR13)*CQ13+(H13-CT13)*CS13+(H13-CV13)*CU13+(H13-CX13)*CW13)*DD13*DE13)</f>
        <v>0</v>
      </c>
      <c r="DK13" s="85" t="n">
        <v>36840</v>
      </c>
      <c r="DL13" s="21" t="n">
        <v>-49.7253837585449</v>
      </c>
      <c r="DN13" s="21" t="n">
        <f aca="false">IF(AND(WEEKDAY(DK13)&gt;1,WEEKDAY(DK13)&lt;7),1,0)</f>
        <v>1</v>
      </c>
    </row>
    <row r="14" customFormat="false" ht="18.75" hidden="false" customHeight="false" outlineLevel="0" collapsed="false">
      <c r="A14" s="58" t="n">
        <f aca="false">'NYISO A'!A14</f>
        <v>37137</v>
      </c>
      <c r="B14" s="59" t="n">
        <f aca="false">[3]Nepool!$L5/16</f>
        <v>0</v>
      </c>
      <c r="C14" s="60" t="n">
        <f aca="false">CY14</f>
        <v>0</v>
      </c>
      <c r="D14" s="61" t="n">
        <f aca="false">(IF(MONTH(A14)=MONTH(EOMONTH(TradeDate,1)),$AP$69,0)*VLOOKUP(A14,$DK$12:$DN$43,4))</f>
        <v>0</v>
      </c>
      <c r="E14" s="62" t="n">
        <f aca="false">B14+C14+D14</f>
        <v>0</v>
      </c>
      <c r="F14" s="63" t="n">
        <f aca="false">[3]Nepool!$C5</f>
        <v>32</v>
      </c>
      <c r="G14" s="63" t="n">
        <f aca="false">IF($Q$9,Q14,P14)</f>
        <v>13.75</v>
      </c>
      <c r="H14" s="64" t="n">
        <f aca="false">F14+G14</f>
        <v>45.75</v>
      </c>
      <c r="I14" s="65" t="n">
        <f aca="false">B14*G14*DD14</f>
        <v>0</v>
      </c>
      <c r="J14" s="66" t="n">
        <f aca="false">DH14+DI14</f>
        <v>0</v>
      </c>
      <c r="K14" s="66" t="n">
        <f aca="false">+J14+I14</f>
        <v>0</v>
      </c>
      <c r="L14" s="24"/>
      <c r="M14" s="67" t="n">
        <f aca="false">A14</f>
        <v>37137</v>
      </c>
      <c r="N14" s="92" t="n">
        <v>45.75</v>
      </c>
      <c r="O14" s="92" t="n">
        <v>45.75</v>
      </c>
      <c r="P14" s="69" t="n">
        <f aca="false">AVERAGE(N14:O14)-F14</f>
        <v>13.75</v>
      </c>
      <c r="Q14" s="70"/>
      <c r="R14" s="91" t="n">
        <f aca="false">H14</f>
        <v>45.75</v>
      </c>
      <c r="S14" s="24"/>
      <c r="T14" s="24"/>
      <c r="U14" s="72"/>
      <c r="V14" s="73" t="n">
        <f aca="false">A14</f>
        <v>37137</v>
      </c>
      <c r="W14" s="77"/>
      <c r="X14" s="78"/>
      <c r="Y14" s="77"/>
      <c r="Z14" s="78"/>
      <c r="AA14" s="77"/>
      <c r="AB14" s="78"/>
      <c r="AC14" s="77"/>
      <c r="AD14" s="78"/>
      <c r="AE14" s="77"/>
      <c r="AF14" s="78"/>
      <c r="AG14" s="77"/>
      <c r="AH14" s="78"/>
      <c r="AI14" s="77"/>
      <c r="AJ14" s="78"/>
      <c r="AK14" s="77"/>
      <c r="AL14" s="78"/>
      <c r="AM14" s="77"/>
      <c r="AN14" s="78"/>
      <c r="AO14" s="77"/>
      <c r="AP14" s="78"/>
      <c r="AQ14" s="77"/>
      <c r="AR14" s="78"/>
      <c r="AS14" s="77"/>
      <c r="AT14" s="78"/>
      <c r="AU14" s="94"/>
      <c r="AV14" s="95"/>
      <c r="AW14" s="77"/>
      <c r="AX14" s="78"/>
      <c r="AY14" s="81"/>
      <c r="AZ14" s="75"/>
      <c r="BA14" s="77"/>
      <c r="BB14" s="78"/>
      <c r="BC14" s="81"/>
      <c r="BD14" s="75"/>
      <c r="BE14" s="81"/>
      <c r="BF14" s="75"/>
      <c r="BG14" s="81"/>
      <c r="BH14" s="75"/>
      <c r="BI14" s="81"/>
      <c r="BJ14" s="75"/>
      <c r="BK14" s="81"/>
      <c r="BL14" s="75"/>
      <c r="BM14" s="81"/>
      <c r="BN14" s="75"/>
      <c r="BO14" s="81"/>
      <c r="BP14" s="75"/>
      <c r="BQ14" s="81"/>
      <c r="BR14" s="75"/>
      <c r="BS14" s="81"/>
      <c r="BT14" s="75"/>
      <c r="BU14" s="81"/>
      <c r="BV14" s="75"/>
      <c r="BW14" s="81"/>
      <c r="BX14" s="75"/>
      <c r="BY14" s="81"/>
      <c r="BZ14" s="75"/>
      <c r="CA14" s="81"/>
      <c r="CB14" s="75"/>
      <c r="CC14" s="81"/>
      <c r="CD14" s="75"/>
      <c r="CE14" s="81"/>
      <c r="CF14" s="75"/>
      <c r="CG14" s="81"/>
      <c r="CH14" s="75"/>
      <c r="CI14" s="81"/>
      <c r="CJ14" s="75"/>
      <c r="CK14" s="81"/>
      <c r="CL14" s="75"/>
      <c r="CM14" s="81"/>
      <c r="CN14" s="75"/>
      <c r="CO14" s="81"/>
      <c r="CP14" s="75"/>
      <c r="CQ14" s="81"/>
      <c r="CR14" s="75"/>
      <c r="CS14" s="81"/>
      <c r="CT14" s="75"/>
      <c r="CU14" s="81"/>
      <c r="CV14" s="75"/>
      <c r="CW14" s="81"/>
      <c r="CX14" s="75"/>
      <c r="CY14" s="82" t="n">
        <f aca="false">W14+Y14+AA14+AC14+AE14+AG14+AI14+AK14+AM14+AO14+AQ14+AS14+AU14+AW14+AY14+BA14+BC14+BE14+BG14+BI14+BK14+BM14+BO14+BQ14+BS14+BU14+BW14+BY14+CA14+CC14+CE14+CG14+CI14+CK14+CM14+CO14+CQ14+CS14+CU14+CW14</f>
        <v>0</v>
      </c>
      <c r="CZ14" s="83" t="n">
        <f aca="false">IF(AND(CY14=0,DC14=0),0,(DF14+DG14)/DC14)</f>
        <v>0</v>
      </c>
      <c r="DA14" s="84" t="n">
        <f aca="false">DC14*DD14</f>
        <v>0</v>
      </c>
      <c r="DB14" s="85" t="n">
        <f aca="false">V14</f>
        <v>37137</v>
      </c>
      <c r="DC14" s="84" t="n">
        <f aca="false">ABS(W14)+ABS(Y14)+ABS(AA14)+ABS(AC14)+ABS(AE14)+ABS(AG14)+ABS(AI14)+ABS(AK14)+ABS(AM14)+ABS(AO14)+ABS(AQ14)+ABS(AS14)+ABS(AU14)+ABS(AW14)+ABS(AY14)+ABS(BA14)+ABS(BC14)+ABS(BE14)+ABS(BG14)+ABS(BI14)+ABS(BK14)+ABS(BM14)+ABS(BO14)+ABS(BQ14)+ABS(BS14)+ABS(BU14)+ABS(BW14)+ABS(BY14)+ABS(CA14)+ABS(CC14)+ABS(CE14)+ABS(CG14)+ABS(CI14)+ABS(CK14)+ABS(CM14)+ABS(CO14)+ABS(CQ14)+ABS(CS14)+ABS(CU14)+ABS(CW14)</f>
        <v>0</v>
      </c>
      <c r="DD14" s="86" t="n">
        <v>16</v>
      </c>
      <c r="DE14" s="84" t="n">
        <v>1</v>
      </c>
      <c r="DF14" s="43" t="n">
        <f aca="false">(ABS(W14)*X14+ABS(Y14)*Z14+ABS(AA14)*AB14+ABS(AC14)*AD14+ABS(AE14)*AF14+ABS(AG14)*AH14+ABS(AI14)*AJ14+ABS(AK14)*AL14+ABS(AM14)*AN14+ABS(AO14)*AP14+ABS(AQ14)*AR14+ABS(AS14)*AT14+ABS(AU14)*AV14+ABS(AW14)*AX14+ABS(AY14)*AZ14+ABS(BA14)*BB14+ABS(BC14)*BD14+ABS(BE14)*BF14+ABS(BG14)*BH14+ABS(BI14)*BJ14)</f>
        <v>0</v>
      </c>
      <c r="DG14" s="43" t="n">
        <f aca="false">ABS(BK14)*BL14+ABS(BM14)*BN14+ABS(BO14)*BP14+ABS(BQ14)*BR14+ABS(BS14)*BT14+ABS(BU14)*BV14+ABS(BW14)*BX14+ABS(BY14)*BZ14+ABS(CA14)*CB14+ABS(CC14)*CD14+ABS(CE14)*CF14+ABS(CG14)*CH14+ABS(CI14)*CJ14+ABS(CK14)*CL14+ABS(CM14)*CN14+ABS(CO14)*CP14+ABS(CQ14)*CR14+ABS(CS14)*CT14+ABS(CU14)*CV14+ABS(CW14)*CX14</f>
        <v>0</v>
      </c>
      <c r="DH14" s="43" t="n">
        <f aca="false">((H14-X14)*W14+(H14-Z14)*Y14+(H14-AB14)*AA14+(H14-AD14)*AC14+(H14-AF14)*AE14+(H14-AH14)*AG14+(H14-AJ14)*AI14+(H14-AL14)*AK14+(H14-AN14)*AM14+(H14-AP14)*AO14+(H14-AR14)*AQ14+(H14-AT14)*AS14+(H14-AV14)*AU14+(H14-AX14)*AW14+(H14-AZ14)*AY14+(H14-BB14)*BA14+(H14-BD14)*BC14+(H14-BF14)*BE14+(H14-BH14)*BG14+(H14-BJ14)*BI14)*DD14*DE14</f>
        <v>0</v>
      </c>
      <c r="DI14" s="43" t="n">
        <f aca="false">(((H14-BL14)*BK14+(H14-BN14)*BM14+(H14-BP14)*BO14+(H14-BR14)*BQ14+(H14-BT14)*BS14+(H14-BV14)*BU14+(H14-BX14)*BW14+(H14-BZ14)*BY14+(H14-CB14)*CA14+(H14-CD14)*CC14+(H14-CF14)*CE14+(H14-CH14)*CG14+(H14-CJ14)*CH14+(H14-CL14)*CK14+(H14-CN14)*CM14+(H14-CP14)*CO14+(H14-CR14)*CQ14+(H14-CT14)*CS14+(H14-CV14)*CU14+(H14-CX14)*CW14)*DD14*DE14)</f>
        <v>0</v>
      </c>
      <c r="DK14" s="85" t="n">
        <v>36841</v>
      </c>
      <c r="DL14" s="21" t="n">
        <v>0</v>
      </c>
      <c r="DN14" s="21" t="n">
        <f aca="false">IF(AND(WEEKDAY(DK14)&gt;1,WEEKDAY(DK14)&lt;7),1,0)</f>
        <v>0</v>
      </c>
    </row>
    <row r="15" customFormat="false" ht="18.75" hidden="false" customHeight="false" outlineLevel="0" collapsed="false">
      <c r="A15" s="58" t="n">
        <f aca="false">'NYISO A'!A15</f>
        <v>37138</v>
      </c>
      <c r="B15" s="59" t="n">
        <f aca="false">[3]Nepool!$L6/16</f>
        <v>149.248321533203</v>
      </c>
      <c r="C15" s="101" t="n">
        <f aca="false">CY15</f>
        <v>0</v>
      </c>
      <c r="D15" s="87" t="n">
        <f aca="false">(IF(MONTH(A15)=MONTH(EOMONTH(TradeDate,1)),$AP$69,0)*VLOOKUP(A15,$DK$12:$DN$43,4))</f>
        <v>0</v>
      </c>
      <c r="E15" s="62" t="n">
        <f aca="false">B15+C15+D15</f>
        <v>149.248321533203</v>
      </c>
      <c r="F15" s="63" t="n">
        <f aca="false">[3]Nepool!$C6</f>
        <v>44.5</v>
      </c>
      <c r="G15" s="88" t="n">
        <f aca="false">IF($Q$9,Q15,P15)</f>
        <v>0.5</v>
      </c>
      <c r="H15" s="89" t="n">
        <f aca="false">F15+G15</f>
        <v>45</v>
      </c>
      <c r="I15" s="87" t="n">
        <f aca="false">B15*G15*DD15</f>
        <v>1193.98657226563</v>
      </c>
      <c r="J15" s="66" t="n">
        <f aca="false">DH15+DI15</f>
        <v>0</v>
      </c>
      <c r="K15" s="90" t="n">
        <f aca="false">+J15+I15</f>
        <v>1193.98657226563</v>
      </c>
      <c r="L15" s="24"/>
      <c r="M15" s="67" t="n">
        <f aca="false">A15</f>
        <v>37138</v>
      </c>
      <c r="N15" s="92" t="n">
        <v>45</v>
      </c>
      <c r="O15" s="92" t="n">
        <v>45</v>
      </c>
      <c r="P15" s="69" t="n">
        <f aca="false">AVERAGE(N15:O15)-F15</f>
        <v>0.5</v>
      </c>
      <c r="Q15" s="70"/>
      <c r="R15" s="91" t="n">
        <f aca="false">H15</f>
        <v>45</v>
      </c>
      <c r="S15" s="24"/>
      <c r="T15" s="24"/>
      <c r="U15" s="72"/>
      <c r="V15" s="73" t="n">
        <f aca="false">A15</f>
        <v>37138</v>
      </c>
      <c r="W15" s="77"/>
      <c r="X15" s="78"/>
      <c r="Y15" s="77"/>
      <c r="Z15" s="78"/>
      <c r="AA15" s="77"/>
      <c r="AB15" s="78"/>
      <c r="AC15" s="77"/>
      <c r="AD15" s="78"/>
      <c r="AE15" s="77"/>
      <c r="AF15" s="78"/>
      <c r="AG15" s="77"/>
      <c r="AH15" s="78"/>
      <c r="AI15" s="77"/>
      <c r="AJ15" s="78"/>
      <c r="AK15" s="77"/>
      <c r="AL15" s="78"/>
      <c r="AM15" s="77"/>
      <c r="AN15" s="78"/>
      <c r="AO15" s="77"/>
      <c r="AP15" s="78"/>
      <c r="AQ15" s="77"/>
      <c r="AR15" s="78"/>
      <c r="AS15" s="77"/>
      <c r="AT15" s="78"/>
      <c r="AU15" s="94"/>
      <c r="AV15" s="95"/>
      <c r="AW15" s="77"/>
      <c r="AX15" s="78"/>
      <c r="AY15" s="81"/>
      <c r="AZ15" s="75"/>
      <c r="BA15" s="77"/>
      <c r="BB15" s="78"/>
      <c r="BC15" s="81"/>
      <c r="BD15" s="75"/>
      <c r="BE15" s="77"/>
      <c r="BF15" s="78"/>
      <c r="BG15" s="81"/>
      <c r="BH15" s="75"/>
      <c r="BI15" s="81"/>
      <c r="BJ15" s="75"/>
      <c r="BK15" s="81"/>
      <c r="BL15" s="75"/>
      <c r="BM15" s="81"/>
      <c r="BN15" s="75"/>
      <c r="BO15" s="81"/>
      <c r="BP15" s="75"/>
      <c r="BQ15" s="81"/>
      <c r="BR15" s="75"/>
      <c r="BS15" s="81"/>
      <c r="BT15" s="75"/>
      <c r="BU15" s="81"/>
      <c r="BV15" s="75"/>
      <c r="BW15" s="81"/>
      <c r="BX15" s="75"/>
      <c r="BY15" s="81"/>
      <c r="BZ15" s="75"/>
      <c r="CA15" s="81"/>
      <c r="CB15" s="75"/>
      <c r="CC15" s="81"/>
      <c r="CD15" s="75"/>
      <c r="CE15" s="81"/>
      <c r="CF15" s="75"/>
      <c r="CG15" s="81"/>
      <c r="CH15" s="75"/>
      <c r="CI15" s="81"/>
      <c r="CJ15" s="75"/>
      <c r="CK15" s="81"/>
      <c r="CL15" s="75"/>
      <c r="CM15" s="81"/>
      <c r="CN15" s="75"/>
      <c r="CO15" s="81"/>
      <c r="CP15" s="75"/>
      <c r="CQ15" s="81"/>
      <c r="CR15" s="75"/>
      <c r="CS15" s="81"/>
      <c r="CT15" s="75"/>
      <c r="CU15" s="81"/>
      <c r="CV15" s="75"/>
      <c r="CW15" s="81"/>
      <c r="CX15" s="75"/>
      <c r="CY15" s="82" t="n">
        <f aca="false">W15+Y15+AA15+AC15+AE15+AG15+AI15+AK15+AM15+AO15+AQ15+AS15+AU15+AW15+AY15+BA15+BC15+BE15+BG15+BI15+BK15+BM15+BO15+BQ15+BS15+BU15+BW15+BY15+CA15+CC15+CE15+CG15+CI15+CK15+CM15+CO15+CQ15+CS15+CU15+CW15</f>
        <v>0</v>
      </c>
      <c r="CZ15" s="83" t="n">
        <f aca="false">IF(AND(CY15=0,DC15=0),0,(DF15+DG15)/DC15)</f>
        <v>0</v>
      </c>
      <c r="DA15" s="84" t="n">
        <f aca="false">DC15*DD15</f>
        <v>0</v>
      </c>
      <c r="DB15" s="85" t="n">
        <f aca="false">V15</f>
        <v>37138</v>
      </c>
      <c r="DC15" s="84" t="n">
        <f aca="false">ABS(W15)+ABS(Y15)+ABS(AA15)+ABS(AC15)+ABS(AE15)+ABS(AG15)+ABS(AI15)+ABS(AK15)+ABS(AM15)+ABS(AO15)+ABS(AQ15)+ABS(AS15)+ABS(AU15)+ABS(AW15)+ABS(AY15)+ABS(BA15)+ABS(BC15)+ABS(BE15)+ABS(BG15)+ABS(BI15)+ABS(BK15)+ABS(BM15)+ABS(BO15)+ABS(BQ15)+ABS(BS15)+ABS(BU15)+ABS(BW15)+ABS(BY15)+ABS(CA15)+ABS(CC15)+ABS(CE15)+ABS(CG15)+ABS(CI15)+ABS(CK15)+ABS(CM15)+ABS(CO15)+ABS(CQ15)+ABS(CS15)+ABS(CU15)+ABS(CW15)</f>
        <v>0</v>
      </c>
      <c r="DD15" s="86" t="n">
        <v>16</v>
      </c>
      <c r="DE15" s="84" t="n">
        <v>1</v>
      </c>
      <c r="DF15" s="43" t="n">
        <f aca="false">(ABS(W15)*X15+ABS(Y15)*Z15+ABS(AA15)*AB15+ABS(AC15)*AD15+ABS(AE15)*AF15+ABS(AG15)*AH15+ABS(AI15)*AJ15+ABS(AK15)*AL15+ABS(AM15)*AN15+ABS(AO15)*AP15+ABS(AQ15)*AR15+ABS(AS15)*AT15+ABS(AU15)*AV15+ABS(AW15)*AX15+ABS(AY15)*AZ15+ABS(BA15)*BB15+ABS(BC15)*BD15+ABS(BE15)*BF15+ABS(BG15)*BH15+ABS(BI15)*BJ15)</f>
        <v>0</v>
      </c>
      <c r="DG15" s="43" t="n">
        <f aca="false">ABS(BK15)*BL15+ABS(BM15)*BN15+ABS(BO15)*BP15+ABS(BQ15)*BR15+ABS(BS15)*BT15+ABS(BU15)*BV15+ABS(BW15)*BX15+ABS(BY15)*BZ15+ABS(CA15)*CB15+ABS(CC15)*CD15+ABS(CE15)*CF15+ABS(CG15)*CH15+ABS(CI15)*CJ15+ABS(CK15)*CL15+ABS(CM15)*CN15+ABS(CO15)*CP15+ABS(CQ15)*CR15+ABS(CS15)*CT15+ABS(CU15)*CV15+ABS(CW15)*CX15</f>
        <v>0</v>
      </c>
      <c r="DH15" s="43" t="n">
        <f aca="false">((H15-X15)*W15+(H15-Z15)*Y15+(H15-AB15)*AA15+(H15-AD15)*AC15+(H15-AF15)*AE15+(H15-AH15)*AG15+(H15-AJ15)*AI15+(H15-AL15)*AK15+(H15-AN15)*AM15+(H15-AP15)*AO15+(H15-AR15)*AQ15+(H15-AT15)*AS15+(H15-AV15)*AU15+(H15-AX15)*AW15+(H15-AZ15)*AY15+(H15-BB15)*BA15+(H15-BD15)*BC15+(H15-BF15)*BE15+(H15-BH15)*BG15+(H15-BJ15)*BI15)*DD15*DE15</f>
        <v>0</v>
      </c>
      <c r="DI15" s="43" t="n">
        <f aca="false">(((H15-BL15)*BK15+(H15-BN15)*BM15+(H15-BP15)*BO15+(H15-BR15)*BQ15+(H15-BT15)*BS15+(H15-BV15)*BU15+(H15-BX15)*BW15+(H15-BZ15)*BY15+(H15-CB15)*CA15+(H15-CD15)*CC15+(H15-CF15)*CE15+(H15-CH15)*CG15+(H15-CJ15)*CH15+(H15-CL15)*CK15+(H15-CN15)*CM15+(H15-CP15)*CO15+(H15-CR15)*CQ15+(H15-CT15)*CS15+(H15-CV15)*CU15+(H15-CX15)*CW15)*DD15*DE15)</f>
        <v>0</v>
      </c>
      <c r="DK15" s="85" t="n">
        <v>36842</v>
      </c>
      <c r="DL15" s="21" t="n">
        <v>0</v>
      </c>
      <c r="DN15" s="21" t="n">
        <f aca="false">IF(AND(WEEKDAY(DK15)&gt;1,WEEKDAY(DK15)&lt;7),1,0)</f>
        <v>0</v>
      </c>
    </row>
    <row r="16" customFormat="false" ht="18.75" hidden="false" customHeight="false" outlineLevel="0" collapsed="false">
      <c r="A16" s="58" t="n">
        <f aca="false">'NYISO A'!A16</f>
        <v>37139</v>
      </c>
      <c r="B16" s="59" t="n">
        <f aca="false">[3]Nepool!$L7/16</f>
        <v>149.248321533203</v>
      </c>
      <c r="C16" s="60" t="n">
        <f aca="false">CY16</f>
        <v>0</v>
      </c>
      <c r="D16" s="61" t="n">
        <f aca="false">(IF(MONTH(A16)=MONTH(EOMONTH(TradeDate,1)),$AP$69,0)*VLOOKUP(A16,$DK$12:$DN$43,4))</f>
        <v>0</v>
      </c>
      <c r="E16" s="62" t="n">
        <f aca="false">B16+C16+D16</f>
        <v>149.248321533203</v>
      </c>
      <c r="F16" s="63" t="n">
        <f aca="false">[3]Nepool!$C7</f>
        <v>44.5</v>
      </c>
      <c r="G16" s="63" t="n">
        <f aca="false">IF($Q$9,Q16,P16)</f>
        <v>-0.5</v>
      </c>
      <c r="H16" s="64" t="n">
        <f aca="false">F16+G16</f>
        <v>44</v>
      </c>
      <c r="I16" s="65" t="n">
        <f aca="false">B16*G16*DD16</f>
        <v>-1193.98657226563</v>
      </c>
      <c r="J16" s="66" t="n">
        <f aca="false">DH16+DI16</f>
        <v>0</v>
      </c>
      <c r="K16" s="66" t="n">
        <f aca="false">+J16+I16</f>
        <v>-1193.98657226563</v>
      </c>
      <c r="L16" s="42" t="n">
        <f aca="false">+AVERAGE(N15:O16,N18:O19,N22:O26,N29:O33,N36:O40,N42:O42)</f>
        <v>40.186</v>
      </c>
      <c r="M16" s="67" t="n">
        <f aca="false">A16</f>
        <v>37139</v>
      </c>
      <c r="N16" s="92" t="n">
        <v>44</v>
      </c>
      <c r="O16" s="92" t="n">
        <v>44</v>
      </c>
      <c r="P16" s="69" t="n">
        <f aca="false">AVERAGE(N16:O16)-F16</f>
        <v>-0.5</v>
      </c>
      <c r="Q16" s="70"/>
      <c r="R16" s="91" t="n">
        <f aca="false">H16</f>
        <v>44</v>
      </c>
      <c r="S16" s="24"/>
      <c r="T16" s="24"/>
      <c r="U16" s="72"/>
      <c r="V16" s="73" t="n">
        <f aca="false">A16</f>
        <v>37139</v>
      </c>
      <c r="W16" s="77"/>
      <c r="X16" s="78"/>
      <c r="Y16" s="77"/>
      <c r="Z16" s="78"/>
      <c r="AA16" s="77"/>
      <c r="AB16" s="78"/>
      <c r="AC16" s="77"/>
      <c r="AD16" s="78"/>
      <c r="AE16" s="77"/>
      <c r="AF16" s="78"/>
      <c r="AG16" s="77"/>
      <c r="AH16" s="78"/>
      <c r="AI16" s="77"/>
      <c r="AJ16" s="78"/>
      <c r="AK16" s="77"/>
      <c r="AL16" s="78"/>
      <c r="AM16" s="77"/>
      <c r="AN16" s="78"/>
      <c r="AO16" s="77"/>
      <c r="AP16" s="78"/>
      <c r="AQ16" s="77"/>
      <c r="AR16" s="97"/>
      <c r="AS16" s="77"/>
      <c r="AT16" s="78"/>
      <c r="AU16" s="94"/>
      <c r="AV16" s="95"/>
      <c r="AW16" s="77"/>
      <c r="AX16" s="78"/>
      <c r="AY16" s="81"/>
      <c r="AZ16" s="75"/>
      <c r="BA16" s="77"/>
      <c r="BB16" s="78"/>
      <c r="BC16" s="81"/>
      <c r="BD16" s="75"/>
      <c r="BE16" s="77"/>
      <c r="BF16" s="78"/>
      <c r="BG16" s="81"/>
      <c r="BH16" s="75"/>
      <c r="BI16" s="81"/>
      <c r="BJ16" s="75"/>
      <c r="BK16" s="81"/>
      <c r="BL16" s="75"/>
      <c r="BM16" s="81"/>
      <c r="BN16" s="75"/>
      <c r="BO16" s="81"/>
      <c r="BP16" s="75"/>
      <c r="BQ16" s="81"/>
      <c r="BR16" s="75"/>
      <c r="BS16" s="81"/>
      <c r="BT16" s="75"/>
      <c r="BU16" s="81"/>
      <c r="BV16" s="75"/>
      <c r="BW16" s="81"/>
      <c r="BX16" s="75"/>
      <c r="BY16" s="81"/>
      <c r="BZ16" s="75"/>
      <c r="CA16" s="81"/>
      <c r="CB16" s="75"/>
      <c r="CC16" s="81"/>
      <c r="CD16" s="75"/>
      <c r="CE16" s="81"/>
      <c r="CF16" s="75"/>
      <c r="CG16" s="81"/>
      <c r="CH16" s="75"/>
      <c r="CI16" s="81"/>
      <c r="CJ16" s="75"/>
      <c r="CK16" s="81"/>
      <c r="CL16" s="75"/>
      <c r="CM16" s="81"/>
      <c r="CN16" s="75"/>
      <c r="CO16" s="81"/>
      <c r="CP16" s="75"/>
      <c r="CQ16" s="81"/>
      <c r="CR16" s="75"/>
      <c r="CS16" s="81"/>
      <c r="CT16" s="75"/>
      <c r="CU16" s="81"/>
      <c r="CV16" s="75"/>
      <c r="CW16" s="81"/>
      <c r="CX16" s="75"/>
      <c r="CY16" s="82" t="n">
        <f aca="false">W16+Y16+AA16+AC16+AE16+AG16+AI16+AK16+AM16+AO16+AQ16+AS16+AU16+AW16+AY16+BA16+BC16+BE16+BG16+BI16+BK16+BM16+BO16+BQ16+BS16+BU16+BW16+BY16+CA16+CC16+CE16+CG16+CI16+CK16+CM16+CO16+CQ16+CS16+CU16+CW16</f>
        <v>0</v>
      </c>
      <c r="CZ16" s="83" t="n">
        <f aca="false">IF(AND(CY16=0,DC16=0),0,(DF16+DG16)/DC16)</f>
        <v>0</v>
      </c>
      <c r="DA16" s="84" t="n">
        <f aca="false">DC16*DD16</f>
        <v>0</v>
      </c>
      <c r="DB16" s="85" t="n">
        <f aca="false">V16</f>
        <v>37139</v>
      </c>
      <c r="DC16" s="84" t="n">
        <f aca="false">ABS(W16)+ABS(Y16)+ABS(AA16)+ABS(AC16)+ABS(AE16)+ABS(AG16)+ABS(AI16)+ABS(AK16)+ABS(AM16)+ABS(AO16)+ABS(AQ16)+ABS(AS16)+ABS(AU16)+ABS(AW16)+ABS(AY16)+ABS(BA16)+ABS(BC16)+ABS(BE16)+ABS(BG16)+ABS(BI16)+ABS(BK16)+ABS(BM16)+ABS(BO16)+ABS(BQ16)+ABS(BS16)+ABS(BU16)+ABS(BW16)+ABS(BY16)+ABS(CA16)+ABS(CC16)+ABS(CE16)+ABS(CG16)+ABS(CI16)+ABS(CK16)+ABS(CM16)+ABS(CO16)+ABS(CQ16)+ABS(CS16)+ABS(CU16)+ABS(CW16)</f>
        <v>0</v>
      </c>
      <c r="DD16" s="86" t="n">
        <v>16</v>
      </c>
      <c r="DE16" s="84" t="n">
        <v>1</v>
      </c>
      <c r="DF16" s="43" t="n">
        <f aca="false">(ABS(W16)*X16+ABS(Y16)*Z16+ABS(AA16)*AB16+ABS(AC16)*AD16+ABS(AE16)*AF16+ABS(AG16)*AH16+ABS(AI16)*AJ16+ABS(AK16)*AL16+ABS(AM16)*AN16+ABS(AO16)*AP16+ABS(AQ16)*AR16+ABS(AS16)*AT16+ABS(AU16)*AV16+ABS(AW16)*AX16+ABS(AY16)*AZ16+ABS(BA16)*BB16+ABS(BC16)*BD16+ABS(BE16)*BF16+ABS(BG16)*BH16+ABS(BI16)*BJ16)</f>
        <v>0</v>
      </c>
      <c r="DG16" s="43" t="n">
        <f aca="false">ABS(BK16)*BL16+ABS(BM16)*BN16+ABS(BO16)*BP16+ABS(BQ16)*BR16+ABS(BS16)*BT16+ABS(BU16)*BV16+ABS(BW16)*BX16+ABS(BY16)*BZ16+ABS(CA16)*CB16+ABS(CC16)*CD16+ABS(CE16)*CF16+ABS(CG16)*CH16+ABS(CI16)*CJ16+ABS(CK16)*CL16+ABS(CM16)*CN16+ABS(CO16)*CP16+ABS(CQ16)*CR16+ABS(CS16)*CT16+ABS(CU16)*CV16+ABS(CW16)*CX16</f>
        <v>0</v>
      </c>
      <c r="DH16" s="43" t="n">
        <f aca="false">((H16-X16)*W16+(H16-Z16)*Y16+(H16-AB16)*AA16+(H16-AD16)*AC16+(H16-AF16)*AE16+(H16-AH16)*AG16+(H16-AJ16)*AI16+(H16-AL16)*AK16+(H16-AN16)*AM16+(H16-AP16)*AO16+(H16-AR16)*AQ16+(H16-AT16)*AS16+(H16-AV16)*AU16+(H16-AX16)*AW16+(H16-AZ16)*AY16+(H16-BB16)*BA16+(H16-BD16)*BC16+(H16-BF16)*BE16+(H16-BH16)*BG16+(H16-BJ16)*BI16)*DD16*DE16</f>
        <v>0</v>
      </c>
      <c r="DI16" s="43" t="n">
        <f aca="false">(((H16-BL16)*BK16+(H16-BN16)*BM16+(H16-BP16)*BO16+(H16-BR16)*BQ16+(H16-BT16)*BS16+(H16-BV16)*BU16+(H16-BX16)*BW16+(H16-BZ16)*BY16+(H16-CB16)*CA16+(H16-CD16)*CC16+(H16-CF16)*CE16+(H16-CH16)*CG16+(H16-CJ16)*CH16+(H16-CL16)*CK16+(H16-CN16)*CM16+(H16-CP16)*CO16+(H16-CR16)*CQ16+(H16-CT16)*CS16+(H16-CV16)*CU16+(H16-CX16)*CW16)*DD16*DE16)</f>
        <v>0</v>
      </c>
      <c r="DK16" s="85" t="n">
        <v>36843</v>
      </c>
      <c r="DL16" s="21" t="n">
        <v>-49.7253837585449</v>
      </c>
      <c r="DN16" s="21" t="n">
        <f aca="false">IF(AND(WEEKDAY(DK16)&gt;1,WEEKDAY(DK16)&lt;7),1,0)</f>
        <v>1</v>
      </c>
    </row>
    <row r="17" customFormat="false" ht="18.75" hidden="false" customHeight="false" outlineLevel="0" collapsed="false">
      <c r="A17" s="58" t="n">
        <f aca="false">'NYISO A'!A17</f>
        <v>37140</v>
      </c>
      <c r="B17" s="59" t="n">
        <f aca="false">[3]Nepool!$L8/16</f>
        <v>149.248321533203</v>
      </c>
      <c r="C17" s="101" t="n">
        <f aca="false">CY17</f>
        <v>0</v>
      </c>
      <c r="D17" s="87" t="n">
        <f aca="false">(IF(MONTH(A17)=MONTH(EOMONTH(TradeDate,1)),$AP$69,0)*VLOOKUP(A17,$DK$12:$DN$43,4))</f>
        <v>0</v>
      </c>
      <c r="E17" s="62" t="n">
        <f aca="false">B17+C17+D17</f>
        <v>149.248321533203</v>
      </c>
      <c r="F17" s="63" t="n">
        <f aca="false">[3]Nepool!$C8</f>
        <v>44.5</v>
      </c>
      <c r="G17" s="88" t="n">
        <f aca="false">IF($Q$9,Q17,P17)</f>
        <v>-0.5</v>
      </c>
      <c r="H17" s="89" t="n">
        <f aca="false">F17+G17</f>
        <v>44</v>
      </c>
      <c r="I17" s="87" t="n">
        <f aca="false">B17*G17*DD17</f>
        <v>-1193.98657226563</v>
      </c>
      <c r="J17" s="66" t="n">
        <f aca="false">DH17+DI17</f>
        <v>0</v>
      </c>
      <c r="K17" s="90" t="n">
        <f aca="false">+J17+I17</f>
        <v>-1193.98657226563</v>
      </c>
      <c r="L17" s="42"/>
      <c r="M17" s="67" t="n">
        <f aca="false">A17</f>
        <v>37140</v>
      </c>
      <c r="N17" s="92" t="n">
        <v>44</v>
      </c>
      <c r="O17" s="92" t="n">
        <v>44</v>
      </c>
      <c r="P17" s="69" t="n">
        <f aca="false">AVERAGE(N17:O17)-F17</f>
        <v>-0.5</v>
      </c>
      <c r="Q17" s="70"/>
      <c r="R17" s="91" t="n">
        <f aca="false">H17</f>
        <v>44</v>
      </c>
      <c r="S17" s="24"/>
      <c r="T17" s="24"/>
      <c r="U17" s="72"/>
      <c r="V17" s="73" t="n">
        <f aca="false">A17</f>
        <v>37140</v>
      </c>
      <c r="W17" s="77"/>
      <c r="X17" s="78"/>
      <c r="Y17" s="77"/>
      <c r="Z17" s="78"/>
      <c r="AA17" s="77"/>
      <c r="AB17" s="78"/>
      <c r="AC17" s="77"/>
      <c r="AD17" s="78"/>
      <c r="AE17" s="77"/>
      <c r="AF17" s="78"/>
      <c r="AG17" s="77"/>
      <c r="AH17" s="78"/>
      <c r="AI17" s="77"/>
      <c r="AJ17" s="78"/>
      <c r="AK17" s="77"/>
      <c r="AL17" s="78"/>
      <c r="AM17" s="77"/>
      <c r="AN17" s="78"/>
      <c r="AO17" s="77"/>
      <c r="AP17" s="78"/>
      <c r="AQ17" s="77"/>
      <c r="AR17" s="97"/>
      <c r="AS17" s="77"/>
      <c r="AT17" s="78"/>
      <c r="AU17" s="94"/>
      <c r="AV17" s="95"/>
      <c r="AW17" s="77"/>
      <c r="AX17" s="78"/>
      <c r="AY17" s="81"/>
      <c r="AZ17" s="75"/>
      <c r="BA17" s="77"/>
      <c r="BB17" s="78"/>
      <c r="BC17" s="81"/>
      <c r="BD17" s="75"/>
      <c r="BE17" s="77"/>
      <c r="BF17" s="78"/>
      <c r="BG17" s="81"/>
      <c r="BH17" s="75"/>
      <c r="BI17" s="81"/>
      <c r="BJ17" s="75"/>
      <c r="BK17" s="81"/>
      <c r="BL17" s="75"/>
      <c r="BM17" s="81"/>
      <c r="BN17" s="75"/>
      <c r="BO17" s="81"/>
      <c r="BP17" s="75"/>
      <c r="BQ17" s="81"/>
      <c r="BR17" s="75"/>
      <c r="BS17" s="81"/>
      <c r="BT17" s="75"/>
      <c r="BU17" s="81"/>
      <c r="BV17" s="75"/>
      <c r="BW17" s="81"/>
      <c r="BX17" s="75"/>
      <c r="BY17" s="81"/>
      <c r="BZ17" s="75"/>
      <c r="CA17" s="81"/>
      <c r="CB17" s="75"/>
      <c r="CC17" s="81"/>
      <c r="CD17" s="75"/>
      <c r="CE17" s="81"/>
      <c r="CF17" s="75"/>
      <c r="CG17" s="81"/>
      <c r="CH17" s="75"/>
      <c r="CI17" s="81"/>
      <c r="CJ17" s="75"/>
      <c r="CK17" s="81"/>
      <c r="CL17" s="75"/>
      <c r="CM17" s="81"/>
      <c r="CN17" s="75"/>
      <c r="CO17" s="81"/>
      <c r="CP17" s="75"/>
      <c r="CQ17" s="81"/>
      <c r="CR17" s="75"/>
      <c r="CS17" s="81"/>
      <c r="CT17" s="75"/>
      <c r="CU17" s="81"/>
      <c r="CV17" s="75"/>
      <c r="CW17" s="81"/>
      <c r="CX17" s="75"/>
      <c r="CY17" s="82" t="n">
        <f aca="false">W17+Y17+AA17+AC17+AE17+AG17+AI17+AK17+AM17+AO17+AQ17+AS17+AU17+AW17+AY17+BA17+BC17+BE17+BG17+BI17+BK17+BM17+BO17+BQ17+BS17+BU17+BW17+BY17+CA17+CC17+CE17+CG17+CI17+CK17+CM17+CO17+CQ17+CS17+CU17+CW17</f>
        <v>0</v>
      </c>
      <c r="CZ17" s="83" t="n">
        <f aca="false">IF(AND(CY17=0,DC17=0),0,(DF17+DG17)/DC17)</f>
        <v>0</v>
      </c>
      <c r="DA17" s="84" t="n">
        <f aca="false">DC17*DD17</f>
        <v>0</v>
      </c>
      <c r="DB17" s="85" t="n">
        <f aca="false">V17</f>
        <v>37140</v>
      </c>
      <c r="DC17" s="84" t="n">
        <f aca="false">ABS(W17)+ABS(Y17)+ABS(AA17)+ABS(AC17)+ABS(AE17)+ABS(AG17)+ABS(AI17)+ABS(AK17)+ABS(AM17)+ABS(AO17)+ABS(AQ17)+ABS(AS17)+ABS(AU17)+ABS(AW17)+ABS(AY17)+ABS(BA17)+ABS(BC17)+ABS(BE17)+ABS(BG17)+ABS(BI17)+ABS(BK17)+ABS(BM17)+ABS(BO17)+ABS(BQ17)+ABS(BS17)+ABS(BU17)+ABS(BW17)+ABS(BY17)+ABS(CA17)+ABS(CC17)+ABS(CE17)+ABS(CG17)+ABS(CI17)+ABS(CK17)+ABS(CM17)+ABS(CO17)+ABS(CQ17)+ABS(CS17)+ABS(CU17)+ABS(CW17)</f>
        <v>0</v>
      </c>
      <c r="DD17" s="86" t="n">
        <v>16</v>
      </c>
      <c r="DE17" s="84" t="n">
        <v>1</v>
      </c>
      <c r="DF17" s="43" t="n">
        <f aca="false">(ABS(W17)*X17+ABS(Y17)*Z17+ABS(AA17)*AB17+ABS(AC17)*AD17+ABS(AE17)*AF17+ABS(AG17)*AH17+ABS(AI17)*AJ17+ABS(AK17)*AL17+ABS(AM17)*AN17+ABS(AO17)*AP17+ABS(AQ17)*AR17+ABS(AS17)*AT17+ABS(AU17)*AV17+ABS(AW17)*AX17+ABS(AY17)*AZ17+ABS(BA17)*BB17+ABS(BC17)*BD17+ABS(BE17)*BF17+ABS(BG17)*BH17+ABS(BI17)*BJ17)</f>
        <v>0</v>
      </c>
      <c r="DG17" s="43" t="n">
        <f aca="false">ABS(BK17)*BL17+ABS(BM17)*BN17+ABS(BO17)*BP17+ABS(BQ17)*BR17+ABS(BS17)*BT17+ABS(BU17)*BV17+ABS(BW17)*BX17+ABS(BY17)*BZ17+ABS(CA17)*CB17+ABS(CC17)*CD17+ABS(CE17)*CF17+ABS(CG17)*CH17+ABS(CI17)*CJ17+ABS(CK17)*CL17+ABS(CM17)*CN17+ABS(CO17)*CP17+ABS(CQ17)*CR17+ABS(CS17)*CT17+ABS(CU17)*CV17+ABS(CW17)*CX17</f>
        <v>0</v>
      </c>
      <c r="DH17" s="43" t="n">
        <f aca="false">((H17-X17)*W17+(H17-Z17)*Y17+(H17-AB17)*AA17+(H17-AD17)*AC17+(H17-AF17)*AE17+(H17-AH17)*AG17+(H17-AJ17)*AI17+(H17-AL17)*AK17+(H17-AN17)*AM17+(H17-AP17)*AO17+(H17-AR17)*AQ17+(H17-AT17)*AS17+(H17-AV17)*AU17+(H17-AX17)*AW17+(H17-AZ17)*AY17+(H17-BB17)*BA17+(H17-BD17)*BC17+(H17-BF17)*BE17+(H17-BH17)*BG17+(H17-BJ17)*BI17)*DD17*DE17</f>
        <v>0</v>
      </c>
      <c r="DI17" s="43" t="n">
        <f aca="false">(((H17-BL17)*BK17+(H17-BN17)*BM17+(H17-BP17)*BO17+(H17-BR17)*BQ17+(H17-BT17)*BS17+(H17-BV17)*BU17+(H17-BX17)*BW17+(H17-BZ17)*BY17+(H17-CB17)*CA17+(H17-CD17)*CC17+(H17-CF17)*CE17+(H17-CH17)*CG17+(H17-CJ17)*CH17+(H17-CL17)*CK17+(H17-CN17)*CM17+(H17-CP17)*CO17+(H17-CR17)*CQ17+(H17-CT17)*CS17+(H17-CV17)*CU17+(H17-CX17)*CW17)*DD17*DE17)</f>
        <v>0</v>
      </c>
      <c r="DK17" s="85" t="n">
        <v>36844</v>
      </c>
      <c r="DL17" s="21" t="n">
        <v>-49.7253837585449</v>
      </c>
      <c r="DN17" s="21" t="n">
        <f aca="false">IF(AND(WEEKDAY(DK17)&gt;1,WEEKDAY(DK17)&lt;7),1,0)</f>
        <v>1</v>
      </c>
    </row>
    <row r="18" customFormat="false" ht="18.75" hidden="false" customHeight="false" outlineLevel="0" collapsed="false">
      <c r="A18" s="58" t="n">
        <f aca="false">'NYISO A'!A18</f>
        <v>37141</v>
      </c>
      <c r="B18" s="59" t="n">
        <f aca="false">[3]Nepool!$L9/16</f>
        <v>149.248321533203</v>
      </c>
      <c r="C18" s="60" t="n">
        <f aca="false">CY18</f>
        <v>0</v>
      </c>
      <c r="D18" s="61" t="n">
        <f aca="false">(IF(MONTH(A18)=MONTH(EOMONTH(TradeDate,1)),$AP$69,0)*VLOOKUP(A18,$DK$12:$DN$43,4))</f>
        <v>0</v>
      </c>
      <c r="E18" s="62" t="n">
        <f aca="false">B18+C18+D18</f>
        <v>149.248321533203</v>
      </c>
      <c r="F18" s="63" t="n">
        <f aca="false">[3]Nepool!$C9</f>
        <v>44.5</v>
      </c>
      <c r="G18" s="63" t="n">
        <f aca="false">IF($Q$9,Q18,P18)</f>
        <v>-0.5</v>
      </c>
      <c r="H18" s="64" t="n">
        <f aca="false">F18+G18</f>
        <v>44</v>
      </c>
      <c r="I18" s="65" t="n">
        <f aca="false">B18*G18*DD18</f>
        <v>-1193.98657226563</v>
      </c>
      <c r="J18" s="66" t="n">
        <f aca="false">DH18+DI18</f>
        <v>0</v>
      </c>
      <c r="K18" s="66" t="n">
        <f aca="false">+J18+I18</f>
        <v>-1193.98657226563</v>
      </c>
      <c r="M18" s="67" t="n">
        <f aca="false">A18</f>
        <v>37141</v>
      </c>
      <c r="N18" s="92" t="n">
        <v>44</v>
      </c>
      <c r="O18" s="92" t="n">
        <v>44</v>
      </c>
      <c r="P18" s="69" t="n">
        <f aca="false">AVERAGE(N18:O18)-F18</f>
        <v>-0.5</v>
      </c>
      <c r="Q18" s="70"/>
      <c r="R18" s="91" t="n">
        <f aca="false">H18</f>
        <v>44</v>
      </c>
      <c r="S18" s="24"/>
      <c r="T18" s="24"/>
      <c r="U18" s="72"/>
      <c r="V18" s="73" t="n">
        <f aca="false">A18</f>
        <v>37141</v>
      </c>
      <c r="W18" s="77"/>
      <c r="X18" s="78"/>
      <c r="Y18" s="77"/>
      <c r="Z18" s="78"/>
      <c r="AA18" s="77"/>
      <c r="AB18" s="99"/>
      <c r="AC18" s="77"/>
      <c r="AD18" s="99"/>
      <c r="AE18" s="77"/>
      <c r="AF18" s="99"/>
      <c r="AG18" s="77"/>
      <c r="AH18" s="99"/>
      <c r="AI18" s="77"/>
      <c r="AJ18" s="99"/>
      <c r="AK18" s="77"/>
      <c r="AL18" s="99"/>
      <c r="AM18" s="77"/>
      <c r="AN18" s="78"/>
      <c r="AO18" s="77"/>
      <c r="AP18" s="99"/>
      <c r="AQ18" s="77"/>
      <c r="AR18" s="97"/>
      <c r="AS18" s="77"/>
      <c r="AT18" s="78"/>
      <c r="AU18" s="94"/>
      <c r="AV18" s="95"/>
      <c r="AW18" s="77"/>
      <c r="AX18" s="78"/>
      <c r="AY18" s="81"/>
      <c r="AZ18" s="75"/>
      <c r="BA18" s="77"/>
      <c r="BB18" s="78"/>
      <c r="BC18" s="81"/>
      <c r="BD18" s="75"/>
      <c r="BE18" s="77"/>
      <c r="BF18" s="78"/>
      <c r="BG18" s="81"/>
      <c r="BH18" s="75"/>
      <c r="BI18" s="81"/>
      <c r="BJ18" s="75"/>
      <c r="BK18" s="81"/>
      <c r="BL18" s="75"/>
      <c r="BM18" s="81"/>
      <c r="BN18" s="75"/>
      <c r="BO18" s="81"/>
      <c r="BP18" s="75"/>
      <c r="BQ18" s="81"/>
      <c r="BR18" s="75"/>
      <c r="BS18" s="81"/>
      <c r="BT18" s="75"/>
      <c r="BU18" s="81"/>
      <c r="BV18" s="75"/>
      <c r="BW18" s="81"/>
      <c r="BX18" s="75"/>
      <c r="BY18" s="81"/>
      <c r="BZ18" s="75"/>
      <c r="CA18" s="81"/>
      <c r="CB18" s="75"/>
      <c r="CC18" s="81"/>
      <c r="CD18" s="75"/>
      <c r="CE18" s="81"/>
      <c r="CF18" s="75"/>
      <c r="CG18" s="81"/>
      <c r="CH18" s="75"/>
      <c r="CI18" s="81"/>
      <c r="CJ18" s="75"/>
      <c r="CK18" s="81"/>
      <c r="CL18" s="75"/>
      <c r="CM18" s="81"/>
      <c r="CN18" s="75"/>
      <c r="CO18" s="81"/>
      <c r="CP18" s="75"/>
      <c r="CQ18" s="81"/>
      <c r="CR18" s="75"/>
      <c r="CS18" s="81"/>
      <c r="CT18" s="75"/>
      <c r="CU18" s="81"/>
      <c r="CV18" s="75"/>
      <c r="CW18" s="81"/>
      <c r="CX18" s="75"/>
      <c r="CY18" s="82" t="n">
        <f aca="false">W18+Y18+AA18+AC18+AE18+AG18+AI18+AK18+AM18+AO18+AQ18+AS18+AU18+AW18+AY18+BA18+BC18+BE18+BG18+BI18+BK18+BM18+BO18+BQ18+BS18+BU18+BW18+BY18+CA18+CC18+CE18+CG18+CI18+CK18+CM18+CO18+CQ18+CS18+CU18+CW18</f>
        <v>0</v>
      </c>
      <c r="CZ18" s="83" t="n">
        <f aca="false">IF(AND(CY18=0,DC18=0),0,(DF18+DG18)/DC18)</f>
        <v>0</v>
      </c>
      <c r="DA18" s="84" t="n">
        <f aca="false">DC18*DD18</f>
        <v>0</v>
      </c>
      <c r="DB18" s="85" t="n">
        <f aca="false">V18</f>
        <v>37141</v>
      </c>
      <c r="DC18" s="84" t="n">
        <f aca="false">ABS(W18)+ABS(Y18)+ABS(AA18)+ABS(AC18)+ABS(AE18)+ABS(AG18)+ABS(AI18)+ABS(AK18)+ABS(AM18)+ABS(AO18)+ABS(AQ18)+ABS(AS18)+ABS(AU18)+ABS(AW18)+ABS(AY18)+ABS(BA18)+ABS(BC18)+ABS(BE18)+ABS(BG18)+ABS(BI18)+ABS(BK18)+ABS(BM18)+ABS(BO18)+ABS(BQ18)+ABS(BS18)+ABS(BU18)+ABS(BW18)+ABS(BY18)+ABS(CA18)+ABS(CC18)+ABS(CE18)+ABS(CG18)+ABS(CI18)+ABS(CK18)+ABS(CM18)+ABS(CO18)+ABS(CQ18)+ABS(CS18)+ABS(CU18)+ABS(CW18)</f>
        <v>0</v>
      </c>
      <c r="DD18" s="86" t="n">
        <v>16</v>
      </c>
      <c r="DE18" s="84" t="n">
        <v>1</v>
      </c>
      <c r="DF18" s="43" t="n">
        <f aca="false">(ABS(W18)*X18+ABS(Y18)*Z18+ABS(AA18)*AB18+ABS(AC18)*AD18+ABS(AE18)*AF18+ABS(AG18)*AH18+ABS(AI18)*AJ18+ABS(AK18)*AL18+ABS(AM18)*AN18+ABS(AO18)*AP18+ABS(AQ18)*AR18+ABS(AS18)*AT18+ABS(AU18)*AV18+ABS(AW18)*AX18+ABS(AY18)*AZ18+ABS(BA18)*BB18+ABS(BC18)*BD18+ABS(BE18)*BF18+ABS(BG18)*BH18+ABS(BI18)*BJ18)</f>
        <v>0</v>
      </c>
      <c r="DG18" s="43" t="n">
        <f aca="false">ABS(BK18)*BL18+ABS(BM18)*BN18+ABS(BO18)*BP18+ABS(BQ18)*BR18+ABS(BS18)*BT18+ABS(BU18)*BV18+ABS(BW18)*BX18+ABS(BY18)*BZ18+ABS(CA18)*CB18+ABS(CC18)*CD18+ABS(CE18)*CF18+ABS(CG18)*CH18+ABS(CI18)*CJ18+ABS(CK18)*CL18+ABS(CM18)*CN18+ABS(CO18)*CP18+ABS(CQ18)*CR18+ABS(CS18)*CT18+ABS(CU18)*CV18+ABS(CW18)*CX18</f>
        <v>0</v>
      </c>
      <c r="DH18" s="43" t="n">
        <f aca="false">((H18-X18)*W18+(H18-Z18)*Y18+(H18-AB18)*AA18+(H18-AD18)*AC18+(H18-AF18)*AE18+(H18-AH18)*AG18+(H18-AJ18)*AI18+(H18-AL18)*AK18+(H18-AN18)*AM18+(H18-AP18)*AO18+(H18-AR18)*AQ18+(H18-AT18)*AS18+(H18-AV18)*AU18+(H18-AX18)*AW18+(H18-AZ18)*AY18+(H18-BB18)*BA18+(H18-BD18)*BC18+(H18-BF18)*BE18+(H18-BH18)*BG18+(H18-BJ18)*BI18)*DD18*DE18</f>
        <v>0</v>
      </c>
      <c r="DI18" s="43" t="n">
        <f aca="false">(((H18-BL18)*BK18+(H18-BN18)*BM18+(H18-BP18)*BO18+(H18-BR18)*BQ18+(H18-BT18)*BS18+(H18-BV18)*BU18+(H18-BX18)*BW18+(H18-BZ18)*BY18+(H18-CB18)*CA18+(H18-CD18)*CC18+(H18-CF18)*CE18+(H18-CH18)*CG18+(H18-CJ18)*CH18+(H18-CL18)*CK18+(H18-CN18)*CM18+(H18-CP18)*CO18+(H18-CR18)*CQ18+(H18-CT18)*CS18+(H18-CV18)*CU18+(H18-CX18)*CW18)*DD18*DE18)</f>
        <v>0</v>
      </c>
      <c r="DK18" s="85" t="n">
        <v>36845</v>
      </c>
      <c r="DL18" s="21" t="n">
        <v>-49.7253837585449</v>
      </c>
      <c r="DN18" s="21" t="n">
        <f aca="false">IF(AND(WEEKDAY(DK18)&gt;1,WEEKDAY(DK18)&lt;7),1,0)</f>
        <v>1</v>
      </c>
    </row>
    <row r="19" customFormat="false" ht="18.75" hidden="false" customHeight="false" outlineLevel="0" collapsed="false">
      <c r="A19" s="58" t="n">
        <f aca="false">'NYISO A'!A19</f>
        <v>37142</v>
      </c>
      <c r="B19" s="59" t="n">
        <f aca="false">[3]Nepool!$L10/16</f>
        <v>0</v>
      </c>
      <c r="C19" s="101" t="n">
        <f aca="false">CY19</f>
        <v>0</v>
      </c>
      <c r="D19" s="87" t="n">
        <f aca="false">(IF(MONTH(A19)=MONTH(EOMONTH(TradeDate,1)),$AP$69,0)*VLOOKUP(A19,$DK$12:$DN$43,4))</f>
        <v>0</v>
      </c>
      <c r="E19" s="62" t="n">
        <f aca="false">B19+C19+D19</f>
        <v>0</v>
      </c>
      <c r="F19" s="63" t="n">
        <f aca="false">[3]Nepool!$C10</f>
        <v>30</v>
      </c>
      <c r="G19" s="88" t="n">
        <f aca="false">IF($Q$9,Q19,P19)</f>
        <v>14</v>
      </c>
      <c r="H19" s="89" t="n">
        <f aca="false">F19+G19</f>
        <v>44</v>
      </c>
      <c r="I19" s="87" t="n">
        <f aca="false">B19*G19*DD19</f>
        <v>0</v>
      </c>
      <c r="J19" s="66" t="n">
        <f aca="false">DH19+DI19</f>
        <v>0</v>
      </c>
      <c r="K19" s="90" t="n">
        <f aca="false">+J19+I19</f>
        <v>0</v>
      </c>
      <c r="L19" s="42"/>
      <c r="M19" s="67" t="n">
        <f aca="false">A19</f>
        <v>37142</v>
      </c>
      <c r="N19" s="92" t="n">
        <v>44</v>
      </c>
      <c r="O19" s="92" t="n">
        <v>44</v>
      </c>
      <c r="P19" s="69" t="n">
        <f aca="false">AVERAGE(N19:O19)-F19</f>
        <v>14</v>
      </c>
      <c r="Q19" s="70"/>
      <c r="R19" s="91" t="n">
        <f aca="false">H19</f>
        <v>44</v>
      </c>
      <c r="S19" s="24"/>
      <c r="T19" s="24"/>
      <c r="U19" s="72"/>
      <c r="V19" s="73" t="n">
        <f aca="false">A19</f>
        <v>37142</v>
      </c>
      <c r="W19" s="77"/>
      <c r="X19" s="78"/>
      <c r="Y19" s="77"/>
      <c r="Z19" s="78"/>
      <c r="AA19" s="77"/>
      <c r="AB19" s="99"/>
      <c r="AC19" s="77"/>
      <c r="AD19" s="99"/>
      <c r="AE19" s="77"/>
      <c r="AF19" s="99"/>
      <c r="AG19" s="77"/>
      <c r="AH19" s="99"/>
      <c r="AI19" s="77"/>
      <c r="AJ19" s="99"/>
      <c r="AK19" s="77"/>
      <c r="AL19" s="99"/>
      <c r="AM19" s="77"/>
      <c r="AN19" s="78"/>
      <c r="AO19" s="77"/>
      <c r="AP19" s="99"/>
      <c r="AQ19" s="77"/>
      <c r="AR19" s="97"/>
      <c r="AS19" s="77"/>
      <c r="AT19" s="99"/>
      <c r="AU19" s="94"/>
      <c r="AV19" s="95"/>
      <c r="AW19" s="77"/>
      <c r="AX19" s="99"/>
      <c r="AY19" s="81"/>
      <c r="AZ19" s="75"/>
      <c r="BA19" s="77"/>
      <c r="BB19" s="99"/>
      <c r="BC19" s="81"/>
      <c r="BD19" s="75"/>
      <c r="BE19" s="77"/>
      <c r="BF19" s="99"/>
      <c r="BG19" s="81"/>
      <c r="BH19" s="75"/>
      <c r="BI19" s="81"/>
      <c r="BJ19" s="75"/>
      <c r="BK19" s="81"/>
      <c r="BL19" s="75"/>
      <c r="BM19" s="81"/>
      <c r="BN19" s="75"/>
      <c r="BO19" s="81"/>
      <c r="BP19" s="75"/>
      <c r="BQ19" s="81"/>
      <c r="BR19" s="75"/>
      <c r="BS19" s="81"/>
      <c r="BT19" s="75"/>
      <c r="BU19" s="81"/>
      <c r="BV19" s="75"/>
      <c r="BW19" s="81"/>
      <c r="BX19" s="75"/>
      <c r="BY19" s="81"/>
      <c r="BZ19" s="75"/>
      <c r="CA19" s="81"/>
      <c r="CB19" s="75"/>
      <c r="CC19" s="81"/>
      <c r="CD19" s="75"/>
      <c r="CE19" s="81"/>
      <c r="CF19" s="75"/>
      <c r="CG19" s="81"/>
      <c r="CH19" s="75"/>
      <c r="CI19" s="81"/>
      <c r="CJ19" s="75"/>
      <c r="CK19" s="81"/>
      <c r="CL19" s="75"/>
      <c r="CM19" s="81"/>
      <c r="CN19" s="75"/>
      <c r="CO19" s="81"/>
      <c r="CP19" s="75"/>
      <c r="CQ19" s="81"/>
      <c r="CR19" s="75"/>
      <c r="CS19" s="81"/>
      <c r="CT19" s="75"/>
      <c r="CU19" s="81"/>
      <c r="CV19" s="75"/>
      <c r="CW19" s="81"/>
      <c r="CX19" s="75"/>
      <c r="CY19" s="82" t="n">
        <f aca="false">W19+Y19+AA19+AC19+AE19+AG19+AI19+AK19+AM19+AO19+AQ19+AS19+AU19+AW19+AY19+BA19+BC19+BE19+BG19+BI19+BK19+BM19+BO19+BQ19+BS19+BU19+BW19+BY19+CA19+CC19+CE19+CG19+CI19+CK19+CM19+CO19+CQ19+CS19+CU19+CW19</f>
        <v>0</v>
      </c>
      <c r="CZ19" s="83" t="n">
        <f aca="false">IF(AND(CY19=0,DC19=0),0,(DF19+DG19)/DC19)</f>
        <v>0</v>
      </c>
      <c r="DA19" s="84" t="n">
        <f aca="false">DC19*DD19</f>
        <v>0</v>
      </c>
      <c r="DB19" s="85" t="n">
        <f aca="false">V19</f>
        <v>37142</v>
      </c>
      <c r="DC19" s="84" t="n">
        <f aca="false">ABS(W19)+ABS(Y19)+ABS(AA19)+ABS(AC19)+ABS(AE19)+ABS(AG19)+ABS(AI19)+ABS(AK19)+ABS(AM19)+ABS(AO19)+ABS(AQ19)+ABS(AS19)+ABS(AU19)+ABS(AW19)+ABS(AY19)+ABS(BA19)+ABS(BC19)+ABS(BE19)+ABS(BG19)+ABS(BI19)+ABS(BK19)+ABS(BM19)+ABS(BO19)+ABS(BQ19)+ABS(BS19)+ABS(BU19)+ABS(BW19)+ABS(BY19)+ABS(CA19)+ABS(CC19)+ABS(CE19)+ABS(CG19)+ABS(CI19)+ABS(CK19)+ABS(CM19)+ABS(CO19)+ABS(CQ19)+ABS(CS19)+ABS(CU19)+ABS(CW19)</f>
        <v>0</v>
      </c>
      <c r="DD19" s="86" t="n">
        <v>16</v>
      </c>
      <c r="DE19" s="84" t="n">
        <v>1</v>
      </c>
      <c r="DF19" s="43" t="n">
        <f aca="false">(ABS(W19)*X19+ABS(Y19)*Z19+ABS(AA19)*AB19+ABS(AC19)*AD19+ABS(AE19)*AF19+ABS(AG19)*AH19+ABS(AI19)*AJ19+ABS(AK19)*AL19+ABS(AM19)*AN19+ABS(AO19)*AP19+ABS(AQ19)*AR19+ABS(AS19)*AT19+ABS(AU19)*AV19+ABS(AW19)*AX19+ABS(AY19)*AZ19+ABS(BA19)*BB19+ABS(BC19)*BD19+ABS(BE19)*BF19+ABS(BG19)*BH19+ABS(BI19)*BJ19)</f>
        <v>0</v>
      </c>
      <c r="DG19" s="43" t="n">
        <f aca="false">ABS(BK19)*BL19+ABS(BM19)*BN19+ABS(BO19)*BP19+ABS(BQ19)*BR19+ABS(BS19)*BT19+ABS(BU19)*BV19+ABS(BW19)*BX19+ABS(BY19)*BZ19+ABS(CA19)*CB19+ABS(CC19)*CD19+ABS(CE19)*CF19+ABS(CG19)*CH19+ABS(CI19)*CJ19+ABS(CK19)*CL19+ABS(CM19)*CN19+ABS(CO19)*CP19+ABS(CQ19)*CR19+ABS(CS19)*CT19+ABS(CU19)*CV19+ABS(CW19)*CX19</f>
        <v>0</v>
      </c>
      <c r="DH19" s="43" t="n">
        <f aca="false">((H19-X19)*W19+(H19-Z19)*Y19+(H19-AB19)*AA19+(H19-AD19)*AC19+(H19-AF19)*AE19+(H19-AH19)*AG19+(H19-AJ19)*AI19+(H19-AL19)*AK19+(H19-AN19)*AM19+(H19-AP19)*AO19+(H19-AR19)*AQ19+(H19-AT19)*AS19+(H19-AV19)*AU19+(H19-AX19)*AW19+(H19-AZ19)*AY19+(H19-BB19)*BA19+(H19-BD19)*BC19+(H19-BF19)*BE19+(H19-BH19)*BG19+(H19-BJ19)*BI19)*DD19*DE19</f>
        <v>0</v>
      </c>
      <c r="DI19" s="43" t="n">
        <f aca="false">(((H19-BL19)*BK19+(H19-BN19)*BM19+(H19-BP19)*BO19+(H19-BR19)*BQ19+(H19-BT19)*BS19+(H19-BV19)*BU19+(H19-BX19)*BW19+(H19-BZ19)*BY19+(H19-CB19)*CA19+(H19-CD19)*CC19+(H19-CF19)*CE19+(H19-CH19)*CG19+(H19-CJ19)*CH19+(H19-CL19)*CK19+(H19-CN19)*CM19+(H19-CP19)*CO19+(H19-CR19)*CQ19+(H19-CT19)*CS19+(H19-CV19)*CU19+(H19-CX19)*CW19)*DD19*DE19)</f>
        <v>0</v>
      </c>
      <c r="DK19" s="85" t="n">
        <v>36846</v>
      </c>
      <c r="DL19" s="21" t="n">
        <v>-49.7253837585449</v>
      </c>
      <c r="DN19" s="21" t="n">
        <f aca="false">IF(AND(WEEKDAY(DK19)&gt;1,WEEKDAY(DK19)&lt;7),1,0)</f>
        <v>1</v>
      </c>
    </row>
    <row r="20" customFormat="false" ht="18.75" hidden="false" customHeight="false" outlineLevel="0" collapsed="false">
      <c r="A20" s="58" t="n">
        <f aca="false">'NYISO A'!A20</f>
        <v>37143</v>
      </c>
      <c r="B20" s="59" t="n">
        <f aca="false">[3]Nepool!$L11/16</f>
        <v>0</v>
      </c>
      <c r="C20" s="60" t="n">
        <f aca="false">CY20</f>
        <v>0</v>
      </c>
      <c r="D20" s="61" t="n">
        <f aca="false">(IF(MONTH(A20)=MONTH(EOMONTH(TradeDate,1)),$AP$69,0)*VLOOKUP(A20,$DK$12:$DN$43,4))</f>
        <v>0</v>
      </c>
      <c r="E20" s="62" t="n">
        <f aca="false">B20+C20+D20</f>
        <v>0</v>
      </c>
      <c r="F20" s="63" t="n">
        <f aca="false">[3]Nepool!$C11</f>
        <v>30</v>
      </c>
      <c r="G20" s="63" t="n">
        <f aca="false">IF($Q$9,Q20,P20)</f>
        <v>8.5</v>
      </c>
      <c r="H20" s="64" t="n">
        <f aca="false">F20+G20</f>
        <v>38.5</v>
      </c>
      <c r="I20" s="65" t="n">
        <f aca="false">B20*G20*DD20</f>
        <v>0</v>
      </c>
      <c r="J20" s="66" t="n">
        <f aca="false">DH20+DI20</f>
        <v>0</v>
      </c>
      <c r="K20" s="66" t="n">
        <f aca="false">+J20+I20</f>
        <v>0</v>
      </c>
      <c r="L20" s="42"/>
      <c r="M20" s="67" t="n">
        <f aca="false">A20</f>
        <v>37143</v>
      </c>
      <c r="N20" s="92" t="n">
        <v>38.5</v>
      </c>
      <c r="O20" s="92" t="n">
        <v>38.5</v>
      </c>
      <c r="P20" s="69" t="n">
        <f aca="false">AVERAGE(N20:O20)-F20</f>
        <v>8.5</v>
      </c>
      <c r="Q20" s="70"/>
      <c r="R20" s="91" t="n">
        <f aca="false">H20</f>
        <v>38.5</v>
      </c>
      <c r="S20" s="24"/>
      <c r="T20" s="24"/>
      <c r="U20" s="72"/>
      <c r="V20" s="73" t="n">
        <f aca="false">A20</f>
        <v>37143</v>
      </c>
      <c r="W20" s="77"/>
      <c r="X20" s="78"/>
      <c r="Y20" s="77"/>
      <c r="Z20" s="99"/>
      <c r="AA20" s="77"/>
      <c r="AB20" s="99"/>
      <c r="AC20" s="77"/>
      <c r="AD20" s="99"/>
      <c r="AE20" s="77"/>
      <c r="AF20" s="78"/>
      <c r="AG20" s="77"/>
      <c r="AH20" s="78"/>
      <c r="AI20" s="77"/>
      <c r="AJ20" s="78"/>
      <c r="AK20" s="77"/>
      <c r="AL20" s="78"/>
      <c r="AM20" s="77"/>
      <c r="AN20" s="78"/>
      <c r="AO20" s="77"/>
      <c r="AP20" s="99"/>
      <c r="AQ20" s="77"/>
      <c r="AR20" s="97"/>
      <c r="AS20" s="77"/>
      <c r="AT20" s="78"/>
      <c r="AU20" s="94"/>
      <c r="AV20" s="95"/>
      <c r="AW20" s="77"/>
      <c r="AX20" s="99"/>
      <c r="AY20" s="81"/>
      <c r="AZ20" s="75"/>
      <c r="BA20" s="77"/>
      <c r="BB20" s="99"/>
      <c r="BC20" s="81"/>
      <c r="BD20" s="75"/>
      <c r="BE20" s="77"/>
      <c r="BF20" s="99"/>
      <c r="BG20" s="81"/>
      <c r="BH20" s="75"/>
      <c r="BI20" s="81"/>
      <c r="BJ20" s="75"/>
      <c r="BK20" s="81"/>
      <c r="BL20" s="75"/>
      <c r="BM20" s="81"/>
      <c r="BN20" s="75"/>
      <c r="BO20" s="81"/>
      <c r="BP20" s="75"/>
      <c r="BQ20" s="81"/>
      <c r="BR20" s="75"/>
      <c r="BS20" s="81"/>
      <c r="BT20" s="75"/>
      <c r="BU20" s="81"/>
      <c r="BV20" s="75"/>
      <c r="BW20" s="81"/>
      <c r="BX20" s="75"/>
      <c r="BY20" s="81"/>
      <c r="BZ20" s="75"/>
      <c r="CA20" s="81"/>
      <c r="CB20" s="75"/>
      <c r="CC20" s="81"/>
      <c r="CD20" s="75"/>
      <c r="CE20" s="81"/>
      <c r="CF20" s="75"/>
      <c r="CG20" s="81"/>
      <c r="CH20" s="75"/>
      <c r="CI20" s="81"/>
      <c r="CJ20" s="75"/>
      <c r="CK20" s="81"/>
      <c r="CL20" s="75"/>
      <c r="CM20" s="81"/>
      <c r="CN20" s="75"/>
      <c r="CO20" s="81"/>
      <c r="CP20" s="75"/>
      <c r="CQ20" s="81"/>
      <c r="CR20" s="75"/>
      <c r="CS20" s="81"/>
      <c r="CT20" s="75"/>
      <c r="CU20" s="81"/>
      <c r="CV20" s="75"/>
      <c r="CW20" s="81"/>
      <c r="CX20" s="75"/>
      <c r="CY20" s="82" t="n">
        <f aca="false">W20+Y20+AA20+AC20+AE20+AG20+AI20+AK20+AM20+AO20+AQ20+AS20+AU20+AW20+AY20+BA20+BC20+BE20+BG20+BI20+BK20+BM20+BO20+BQ20+BS20+BU20+BW20+BY20+CA20+CC20+CE20+CG20+CI20+CK20+CM20+CO20+CQ20+CS20+CU20+CW20</f>
        <v>0</v>
      </c>
      <c r="CZ20" s="83" t="n">
        <f aca="false">IF(AND(CY20=0,DC20=0),0,(DF20+DG20)/DC20)</f>
        <v>0</v>
      </c>
      <c r="DA20" s="84" t="n">
        <f aca="false">DC20*DD20</f>
        <v>0</v>
      </c>
      <c r="DB20" s="85" t="n">
        <f aca="false">V20</f>
        <v>37143</v>
      </c>
      <c r="DC20" s="84" t="n">
        <f aca="false">ABS(W20)+ABS(Y20)+ABS(AA20)+ABS(AC20)+ABS(AE20)+ABS(AG20)+ABS(AI20)+ABS(AK20)+ABS(AM20)+ABS(AO20)+ABS(AQ20)+ABS(AS20)+ABS(AU20)+ABS(AW20)+ABS(AY20)+ABS(BA20)+ABS(BC20)+ABS(BE20)+ABS(BG20)+ABS(BI20)+ABS(BK20)+ABS(BM20)+ABS(BO20)+ABS(BQ20)+ABS(BS20)+ABS(BU20)+ABS(BW20)+ABS(BY20)+ABS(CA20)+ABS(CC20)+ABS(CE20)+ABS(CG20)+ABS(CI20)+ABS(CK20)+ABS(CM20)+ABS(CO20)+ABS(CQ20)+ABS(CS20)+ABS(CU20)+ABS(CW20)</f>
        <v>0</v>
      </c>
      <c r="DD20" s="86" t="n">
        <v>16</v>
      </c>
      <c r="DE20" s="84" t="n">
        <v>1</v>
      </c>
      <c r="DF20" s="43" t="n">
        <f aca="false">(ABS(W20)*X20+ABS(Y20)*Z20+ABS(AA20)*AB20+ABS(AC20)*AD20+ABS(AE20)*AF20+ABS(AG20)*AH20+ABS(AI20)*AJ20+ABS(AK20)*AL20+ABS(AM20)*AN20+ABS(AO20)*AP20+ABS(AQ20)*AR20+ABS(AS20)*AT20+ABS(AU20)*AV20+ABS(AW20)*AX20+ABS(AY20)*AZ20+ABS(BA20)*BB20+ABS(BC20)*BD20+ABS(BE20)*BF20+ABS(BG20)*BH20+ABS(BI20)*BJ20)</f>
        <v>0</v>
      </c>
      <c r="DG20" s="43" t="n">
        <f aca="false">ABS(BK20)*BL20+ABS(BM20)*BN20+ABS(BO20)*BP20+ABS(BQ20)*BR20+ABS(BS20)*BT20+ABS(BU20)*BV20+ABS(BW20)*BX20+ABS(BY20)*BZ20+ABS(CA20)*CB20+ABS(CC20)*CD20+ABS(CE20)*CF20+ABS(CG20)*CH20+ABS(CI20)*CJ20+ABS(CK20)*CL20+ABS(CM20)*CN20+ABS(CO20)*CP20+ABS(CQ20)*CR20+ABS(CS20)*CT20+ABS(CU20)*CV20+ABS(CW20)*CX20</f>
        <v>0</v>
      </c>
      <c r="DH20" s="43" t="n">
        <f aca="false">((H20-X20)*W20+(H20-Z20)*Y20+(H20-AB20)*AA20+(H20-AD20)*AC20+(H20-AF20)*AE20+(H20-AH20)*AG20+(H20-AJ20)*AI20+(H20-AL20)*AK20+(H20-AN20)*AM20+(H20-AP20)*AO20+(H20-AR20)*AQ20+(H20-AT20)*AS20+(H20-AV20)*AU20+(H20-AX20)*AW20+(H20-AZ20)*AY20+(H20-BB20)*BA20+(H20-BD20)*BC20+(H20-BF20)*BE20+(H20-BH20)*BG20+(H20-BJ20)*BI20)*DD20*DE20</f>
        <v>0</v>
      </c>
      <c r="DI20" s="43" t="n">
        <f aca="false">(((H20-BL20)*BK20+(H20-BN20)*BM20+(H20-BP20)*BO20+(H20-BR20)*BQ20+(H20-BT20)*BS20+(H20-BV20)*BU20+(H20-BX20)*BW20+(H20-BZ20)*BY20+(H20-CB20)*CA20+(H20-CD20)*CC20+(H20-CF20)*CE20+(H20-CH20)*CG20+(H20-CJ20)*CH20+(H20-CL20)*CK20+(H20-CN20)*CM20+(H20-CP20)*CO20+(H20-CR20)*CQ20+(H20-CT20)*CS20+(H20-CV20)*CU20+(H20-CX20)*CW20)*DD20*DE20)</f>
        <v>0</v>
      </c>
      <c r="DK20" s="85" t="n">
        <v>36847</v>
      </c>
      <c r="DL20" s="21" t="n">
        <v>-49.7253837585449</v>
      </c>
      <c r="DN20" s="21" t="n">
        <f aca="false">IF(AND(WEEKDAY(DK20)&gt;1,WEEKDAY(DK20)&lt;7),1,0)</f>
        <v>1</v>
      </c>
    </row>
    <row r="21" customFormat="false" ht="18.75" hidden="false" customHeight="false" outlineLevel="0" collapsed="false">
      <c r="A21" s="58" t="n">
        <f aca="false">'NYISO A'!A21</f>
        <v>37144</v>
      </c>
      <c r="B21" s="59" t="n">
        <f aca="false">[3]Nepool!$L12/16</f>
        <v>-198.997756958008</v>
      </c>
      <c r="C21" s="101" t="n">
        <f aca="false">CY21</f>
        <v>0</v>
      </c>
      <c r="D21" s="87" t="n">
        <f aca="false">(IF(MONTH(A21)=MONTH(EOMONTH(TradeDate,1)),$AP$69,0)*VLOOKUP(A21,$DK$12:$DN$43,4))</f>
        <v>0</v>
      </c>
      <c r="E21" s="62" t="n">
        <f aca="false">B21+C21+D21</f>
        <v>-198.997756958008</v>
      </c>
      <c r="F21" s="63" t="n">
        <f aca="false">[3]Nepool!$C12</f>
        <v>40.5</v>
      </c>
      <c r="G21" s="88" t="n">
        <f aca="false">IF($Q$9,Q21,P21)</f>
        <v>-1.33</v>
      </c>
      <c r="H21" s="89" t="n">
        <f aca="false">F21+G21</f>
        <v>39.17</v>
      </c>
      <c r="I21" s="87" t="n">
        <f aca="false">B21*G21*DD21</f>
        <v>4234.6722680664</v>
      </c>
      <c r="J21" s="66" t="n">
        <f aca="false">DH21+DI21</f>
        <v>0</v>
      </c>
      <c r="K21" s="90" t="n">
        <f aca="false">+J21+I21</f>
        <v>4234.6722680664</v>
      </c>
      <c r="L21" s="42"/>
      <c r="M21" s="67" t="n">
        <f aca="false">A21</f>
        <v>37144</v>
      </c>
      <c r="N21" s="92" t="n">
        <v>39.17</v>
      </c>
      <c r="O21" s="92" t="n">
        <v>39.17</v>
      </c>
      <c r="P21" s="69" t="n">
        <f aca="false">AVERAGE(N21:O21)-F21</f>
        <v>-1.33</v>
      </c>
      <c r="Q21" s="70"/>
      <c r="R21" s="91" t="n">
        <f aca="false">H21</f>
        <v>39.17</v>
      </c>
      <c r="S21" s="24"/>
      <c r="T21" s="24"/>
      <c r="U21" s="72"/>
      <c r="V21" s="73" t="n">
        <f aca="false">A21</f>
        <v>37144</v>
      </c>
      <c r="W21" s="77"/>
      <c r="X21" s="78"/>
      <c r="Y21" s="77"/>
      <c r="Z21" s="99"/>
      <c r="AA21" s="77"/>
      <c r="AB21" s="99"/>
      <c r="AC21" s="77"/>
      <c r="AD21" s="78"/>
      <c r="AE21" s="77"/>
      <c r="AF21" s="78"/>
      <c r="AG21" s="77"/>
      <c r="AH21" s="78"/>
      <c r="AI21" s="77"/>
      <c r="AJ21" s="78"/>
      <c r="AK21" s="77"/>
      <c r="AL21" s="78"/>
      <c r="AM21" s="77"/>
      <c r="AN21" s="78"/>
      <c r="AO21" s="77"/>
      <c r="AP21" s="78"/>
      <c r="AQ21" s="77"/>
      <c r="AR21" s="97"/>
      <c r="AS21" s="77"/>
      <c r="AT21" s="78"/>
      <c r="AU21" s="94"/>
      <c r="AV21" s="95"/>
      <c r="AW21" s="77"/>
      <c r="AX21" s="99"/>
      <c r="AY21" s="81"/>
      <c r="AZ21" s="75"/>
      <c r="BA21" s="77"/>
      <c r="BB21" s="99"/>
      <c r="BC21" s="81"/>
      <c r="BD21" s="75"/>
      <c r="BE21" s="77"/>
      <c r="BF21" s="99"/>
      <c r="BG21" s="81"/>
      <c r="BH21" s="75"/>
      <c r="BI21" s="81"/>
      <c r="BJ21" s="75"/>
      <c r="BK21" s="81"/>
      <c r="BL21" s="75"/>
      <c r="BM21" s="81"/>
      <c r="BN21" s="75"/>
      <c r="BO21" s="81"/>
      <c r="BP21" s="75"/>
      <c r="BQ21" s="81"/>
      <c r="BR21" s="75"/>
      <c r="BS21" s="81"/>
      <c r="BT21" s="75"/>
      <c r="BU21" s="81"/>
      <c r="BV21" s="75"/>
      <c r="BW21" s="81"/>
      <c r="BX21" s="75"/>
      <c r="BY21" s="81"/>
      <c r="BZ21" s="75"/>
      <c r="CA21" s="81"/>
      <c r="CB21" s="75"/>
      <c r="CC21" s="81"/>
      <c r="CD21" s="75"/>
      <c r="CE21" s="81"/>
      <c r="CF21" s="75"/>
      <c r="CG21" s="81"/>
      <c r="CH21" s="75"/>
      <c r="CI21" s="81"/>
      <c r="CJ21" s="75"/>
      <c r="CK21" s="81"/>
      <c r="CL21" s="75"/>
      <c r="CM21" s="81"/>
      <c r="CN21" s="75"/>
      <c r="CO21" s="81"/>
      <c r="CP21" s="75"/>
      <c r="CQ21" s="81"/>
      <c r="CR21" s="75"/>
      <c r="CS21" s="81"/>
      <c r="CT21" s="75"/>
      <c r="CU21" s="81"/>
      <c r="CV21" s="75"/>
      <c r="CW21" s="81"/>
      <c r="CX21" s="75"/>
      <c r="CY21" s="82" t="n">
        <f aca="false">W21+Y21+AA21+AC21+AE21+AG21+AI21+AK21+AM21+AO21+AQ21+AS21+AU21+AW21+AY21+BA21+BC21+BE21+BG21+BI21+BK21+BM21+BO21+BQ21+BS21+BU21+BW21+BY21+CA21+CC21+CE21+CG21+CI21+CK21+CM21+CO21+CQ21+CS21+CU21+CW21</f>
        <v>0</v>
      </c>
      <c r="CZ21" s="83" t="n">
        <f aca="false">IF(AND(CY21=0,DC21=0),0,(DF21+DG21)/DC21)</f>
        <v>0</v>
      </c>
      <c r="DA21" s="84" t="n">
        <f aca="false">DC21*DD21</f>
        <v>0</v>
      </c>
      <c r="DB21" s="85" t="n">
        <f aca="false">V21</f>
        <v>37144</v>
      </c>
      <c r="DC21" s="84" t="n">
        <f aca="false">ABS(W21)+ABS(Y21)+ABS(AA21)+ABS(AC21)+ABS(AE21)+ABS(AG21)+ABS(AI21)+ABS(AK21)+ABS(AM21)+ABS(AO21)+ABS(AQ21)+ABS(AS21)+ABS(AU21)+ABS(AW21)+ABS(AY21)+ABS(BA21)+ABS(BC21)+ABS(BE21)+ABS(BG21)+ABS(BI21)+ABS(BK21)+ABS(BM21)+ABS(BO21)+ABS(BQ21)+ABS(BS21)+ABS(BU21)+ABS(BW21)+ABS(BY21)+ABS(CA21)+ABS(CC21)+ABS(CE21)+ABS(CG21)+ABS(CI21)+ABS(CK21)+ABS(CM21)+ABS(CO21)+ABS(CQ21)+ABS(CS21)+ABS(CU21)+ABS(CW21)</f>
        <v>0</v>
      </c>
      <c r="DD21" s="86" t="n">
        <v>16</v>
      </c>
      <c r="DE21" s="84" t="n">
        <v>1</v>
      </c>
      <c r="DF21" s="43" t="n">
        <f aca="false">(ABS(W21)*X21+ABS(Y21)*Z21+ABS(AA21)*AB21+ABS(AC21)*AD21+ABS(AE21)*AF21+ABS(AG21)*AH21+ABS(AI21)*AJ21+ABS(AK21)*AL21+ABS(AM21)*AN21+ABS(AO21)*AP21+ABS(AQ21)*AR21+ABS(AS21)*AT21+ABS(AU21)*AV21+ABS(AW21)*AX21+ABS(AY21)*AZ21+ABS(BA21)*BB21+ABS(BC21)*BD21+ABS(BE21)*BF21+ABS(BG21)*BH21+ABS(BI21)*BJ21)</f>
        <v>0</v>
      </c>
      <c r="DG21" s="43" t="n">
        <f aca="false">ABS(BK21)*BL21+ABS(BM21)*BN21+ABS(BO21)*BP21+ABS(BQ21)*BR21+ABS(BS21)*BT21+ABS(BU21)*BV21+ABS(BW21)*BX21+ABS(BY21)*BZ21+ABS(CA21)*CB21+ABS(CC21)*CD21+ABS(CE21)*CF21+ABS(CG21)*CH21+ABS(CI21)*CJ21+ABS(CK21)*CL21+ABS(CM21)*CN21+ABS(CO21)*CP21+ABS(CQ21)*CR21+ABS(CS21)*CT21+ABS(CU21)*CV21+ABS(CW21)*CX21</f>
        <v>0</v>
      </c>
      <c r="DH21" s="43" t="n">
        <f aca="false">((H21-X21)*W21+(H21-Z21)*Y21+(H21-AB21)*AA21+(H21-AD21)*AC21+(H21-AF21)*AE21+(H21-AH21)*AG21+(H21-AJ21)*AI21+(H21-AL21)*AK21+(H21-AN21)*AM21+(H21-AP21)*AO21+(H21-AR21)*AQ21+(H21-AT21)*AS21+(H21-AV21)*AU21+(H21-AX21)*AW21+(H21-AZ21)*AY21+(H21-BB21)*BA21+(H21-BD21)*BC21+(H21-BF21)*BE21+(H21-BH21)*BG21+(H21-BJ21)*BI21)*DD21*DE21</f>
        <v>0</v>
      </c>
      <c r="DI21" s="43" t="n">
        <f aca="false">(((H21-BL21)*BK21+(H21-BN21)*BM21+(H21-BP21)*BO21+(H21-BR21)*BQ21+(H21-BT21)*BS21+(H21-BV21)*BU21+(H21-BX21)*BW21+(H21-BZ21)*BY21+(H21-CB21)*CA21+(H21-CD21)*CC21+(H21-CF21)*CE21+(H21-CH21)*CG21+(H21-CJ21)*CH21+(H21-CL21)*CK21+(H21-CN21)*CM21+(H21-CP21)*CO21+(H21-CR21)*CQ21+(H21-CT21)*CS21+(H21-CV21)*CU21+(H21-CX21)*CW21)*DD21*DE21)</f>
        <v>0</v>
      </c>
      <c r="DK21" s="85" t="n">
        <v>36848</v>
      </c>
      <c r="DL21" s="21" t="n">
        <v>0</v>
      </c>
      <c r="DN21" s="21" t="n">
        <f aca="false">IF(AND(WEEKDAY(DK21)&gt;1,WEEKDAY(DK21)&lt;7),1,0)</f>
        <v>0</v>
      </c>
    </row>
    <row r="22" customFormat="false" ht="18.75" hidden="false" customHeight="false" outlineLevel="0" collapsed="false">
      <c r="A22" s="58" t="n">
        <f aca="false">'NYISO A'!A22</f>
        <v>37145</v>
      </c>
      <c r="B22" s="59" t="n">
        <f aca="false">[3]Nepool!$L13/16</f>
        <v>-198.997756958008</v>
      </c>
      <c r="C22" s="60" t="n">
        <f aca="false">CY22</f>
        <v>0</v>
      </c>
      <c r="D22" s="61" t="n">
        <f aca="false">(IF(MONTH(A22)=MONTH(EOMONTH(TradeDate,1)),$AP$69,0)*VLOOKUP(A22,$DK$12:$DN$43,4))</f>
        <v>0</v>
      </c>
      <c r="E22" s="62" t="n">
        <f aca="false">B22+C22+D22</f>
        <v>-198.997756958008</v>
      </c>
      <c r="F22" s="63" t="n">
        <f aca="false">[3]Nepool!$C13</f>
        <v>40.5</v>
      </c>
      <c r="G22" s="63" t="n">
        <f aca="false">IF($Q$9,Q22,P22)</f>
        <v>-1.33</v>
      </c>
      <c r="H22" s="64" t="n">
        <f aca="false">F22+G22</f>
        <v>39.17</v>
      </c>
      <c r="I22" s="65" t="n">
        <f aca="false">B22*G22*DD22</f>
        <v>4234.6722680664</v>
      </c>
      <c r="J22" s="66" t="n">
        <f aca="false">DH22+DI22</f>
        <v>0</v>
      </c>
      <c r="K22" s="66" t="n">
        <f aca="false">+J22+I22</f>
        <v>4234.6722680664</v>
      </c>
      <c r="L22" s="24"/>
      <c r="M22" s="67" t="n">
        <f aca="false">A22</f>
        <v>37145</v>
      </c>
      <c r="N22" s="92" t="n">
        <v>39.17</v>
      </c>
      <c r="O22" s="92" t="n">
        <v>39.17</v>
      </c>
      <c r="P22" s="69" t="n">
        <f aca="false">AVERAGE(N22:O22)-F22</f>
        <v>-1.33</v>
      </c>
      <c r="Q22" s="70"/>
      <c r="R22" s="91" t="n">
        <f aca="false">H22</f>
        <v>39.17</v>
      </c>
      <c r="S22" s="24"/>
      <c r="T22" s="24"/>
      <c r="U22" s="72"/>
      <c r="V22" s="73" t="n">
        <f aca="false">A22</f>
        <v>37145</v>
      </c>
      <c r="W22" s="77"/>
      <c r="X22" s="78"/>
      <c r="Y22" s="77"/>
      <c r="Z22" s="78"/>
      <c r="AA22" s="77"/>
      <c r="AB22" s="78"/>
      <c r="AC22" s="77"/>
      <c r="AD22" s="78"/>
      <c r="AE22" s="77"/>
      <c r="AF22" s="78"/>
      <c r="AG22" s="77"/>
      <c r="AH22" s="78"/>
      <c r="AI22" s="77"/>
      <c r="AJ22" s="78"/>
      <c r="AK22" s="77"/>
      <c r="AL22" s="78"/>
      <c r="AM22" s="77"/>
      <c r="AN22" s="78"/>
      <c r="AO22" s="77"/>
      <c r="AP22" s="78"/>
      <c r="AQ22" s="77"/>
      <c r="AR22" s="78"/>
      <c r="AS22" s="77"/>
      <c r="AT22" s="78"/>
      <c r="AU22" s="94"/>
      <c r="AV22" s="95"/>
      <c r="AW22" s="77"/>
      <c r="AX22" s="78"/>
      <c r="AY22" s="81"/>
      <c r="AZ22" s="75"/>
      <c r="BA22" s="77"/>
      <c r="BB22" s="78"/>
      <c r="BC22" s="81"/>
      <c r="BD22" s="75"/>
      <c r="BE22" s="77"/>
      <c r="BF22" s="78"/>
      <c r="BG22" s="81"/>
      <c r="BH22" s="75"/>
      <c r="BI22" s="81"/>
      <c r="BJ22" s="75"/>
      <c r="BK22" s="81"/>
      <c r="BL22" s="75"/>
      <c r="BM22" s="81"/>
      <c r="BN22" s="75"/>
      <c r="BO22" s="81"/>
      <c r="BP22" s="75"/>
      <c r="BQ22" s="81"/>
      <c r="BR22" s="75"/>
      <c r="BS22" s="81"/>
      <c r="BT22" s="75"/>
      <c r="BU22" s="81"/>
      <c r="BV22" s="75"/>
      <c r="BW22" s="81"/>
      <c r="BX22" s="75"/>
      <c r="BY22" s="81"/>
      <c r="BZ22" s="75"/>
      <c r="CA22" s="81"/>
      <c r="CB22" s="75"/>
      <c r="CC22" s="81"/>
      <c r="CD22" s="75"/>
      <c r="CE22" s="81"/>
      <c r="CF22" s="75"/>
      <c r="CG22" s="81"/>
      <c r="CH22" s="75"/>
      <c r="CI22" s="81"/>
      <c r="CJ22" s="75"/>
      <c r="CK22" s="81"/>
      <c r="CL22" s="75"/>
      <c r="CM22" s="81"/>
      <c r="CN22" s="75"/>
      <c r="CO22" s="81"/>
      <c r="CP22" s="75"/>
      <c r="CQ22" s="81"/>
      <c r="CR22" s="75"/>
      <c r="CS22" s="81"/>
      <c r="CT22" s="75"/>
      <c r="CU22" s="81"/>
      <c r="CV22" s="75"/>
      <c r="CW22" s="81"/>
      <c r="CX22" s="75"/>
      <c r="CY22" s="82" t="n">
        <f aca="false">W22+Y22+AA22+AC22+AE22+AG22+AI22+AK22+AM22+AO22+AQ22+AS22+AU22+AW22+AY22+BA22+BC22+BE22+BG22+BI22+BK22+BM22+BO22+BQ22+BS22+BU22+BW22+BY22+CA22+CC22+CE22+CG22+CI22+CK22+CM22+CO22+CQ22+CS22+CU22+CW22</f>
        <v>0</v>
      </c>
      <c r="CZ22" s="83" t="n">
        <f aca="false">IF(AND(CY22=0,DC22=0),0,(DF22+DG22)/DC22)</f>
        <v>0</v>
      </c>
      <c r="DA22" s="84" t="n">
        <f aca="false">DC22*DD22</f>
        <v>0</v>
      </c>
      <c r="DB22" s="85" t="n">
        <f aca="false">V22</f>
        <v>37145</v>
      </c>
      <c r="DC22" s="84" t="n">
        <f aca="false">ABS(W22)+ABS(Y22)+ABS(AA22)+ABS(AC22)+ABS(AE22)+ABS(AG22)+ABS(AI22)+ABS(AK22)+ABS(AM22)+ABS(AO22)+ABS(AQ22)+ABS(AS22)+ABS(AU22)+ABS(AW22)+ABS(AY22)+ABS(BA22)+ABS(BC22)+ABS(BE22)+ABS(BG22)+ABS(BI22)+ABS(BK22)+ABS(BM22)+ABS(BO22)+ABS(BQ22)+ABS(BS22)+ABS(BU22)+ABS(BW22)+ABS(BY22)+ABS(CA22)+ABS(CC22)+ABS(CE22)+ABS(CG22)+ABS(CI22)+ABS(CK22)+ABS(CM22)+ABS(CO22)+ABS(CQ22)+ABS(CS22)+ABS(CU22)+ABS(CW22)</f>
        <v>0</v>
      </c>
      <c r="DD22" s="86" t="n">
        <v>16</v>
      </c>
      <c r="DE22" s="84" t="n">
        <v>1</v>
      </c>
      <c r="DF22" s="43" t="n">
        <f aca="false">(ABS(W22)*X22+ABS(Y22)*Z22+ABS(AA22)*AB22+ABS(AC22)*AD22+ABS(AE22)*AF22+ABS(AG22)*AH22+ABS(AI22)*AJ22+ABS(AK22)*AL22+ABS(AM22)*AN22+ABS(AO22)*AP22+ABS(AQ22)*AR22+ABS(AS22)*AT22+ABS(AU22)*AV22+ABS(AW22)*AX22+ABS(AY22)*AZ22+ABS(BA22)*BB22+ABS(BC22)*BD22+ABS(BE22)*BF22+ABS(BG22)*BH22+ABS(BI22)*BJ22)</f>
        <v>0</v>
      </c>
      <c r="DG22" s="43" t="n">
        <f aca="false">ABS(BK22)*BL22+ABS(BM22)*BN22+ABS(BO22)*BP22+ABS(BQ22)*BR22+ABS(BS22)*BT22+ABS(BU22)*BV22+ABS(BW22)*BX22+ABS(BY22)*BZ22+ABS(CA22)*CB22+ABS(CC22)*CD22+ABS(CE22)*CF22+ABS(CG22)*CH22+ABS(CI22)*CJ22+ABS(CK22)*CL22+ABS(CM22)*CN22+ABS(CO22)*CP22+ABS(CQ22)*CR22+ABS(CS22)*CT22+ABS(CU22)*CV22+ABS(CW22)*CX22</f>
        <v>0</v>
      </c>
      <c r="DH22" s="43" t="n">
        <f aca="false">((H22-X22)*W22+(H22-Z22)*Y22+(H22-AB22)*AA22+(H22-AD22)*AC22+(H22-AF22)*AE22+(H22-AH22)*AG22+(H22-AJ22)*AI22+(H22-AL22)*AK22+(H22-AN22)*AM22+(H22-AP22)*AO22+(H22-AR22)*AQ22+(H22-AT22)*AS22+(H22-AV22)*AU22+(H22-AX22)*AW22+(H22-AZ22)*AY22+(H22-BB22)*BA22+(H22-BD22)*BC22+(H22-BF22)*BE22+(H22-BH22)*BG22+(H22-BJ22)*BI22)*DD22*DE22</f>
        <v>0</v>
      </c>
      <c r="DI22" s="43" t="n">
        <f aca="false">(((H22-BL22)*BK22+(H22-BN22)*BM22+(H22-BP22)*BO22+(H22-BR22)*BQ22+(H22-BT22)*BS22+(H22-BV22)*BU22+(H22-BX22)*BW22+(H22-BZ22)*BY22+(H22-CB22)*CA22+(H22-CD22)*CC22+(H22-CF22)*CE22+(H22-CH22)*CG22+(H22-CJ22)*CH22+(H22-CL22)*CK22+(H22-CN22)*CM22+(H22-CP22)*CO22+(H22-CR22)*CQ22+(H22-CT22)*CS22+(H22-CV22)*CU22+(H22-CX22)*CW22)*DD22*DE22)</f>
        <v>0</v>
      </c>
      <c r="DK22" s="85" t="n">
        <v>36849</v>
      </c>
      <c r="DL22" s="21" t="n">
        <v>0</v>
      </c>
      <c r="DN22" s="21" t="n">
        <f aca="false">IF(AND(WEEKDAY(DK22)&gt;1,WEEKDAY(DK22)&lt;7),1,0)</f>
        <v>0</v>
      </c>
    </row>
    <row r="23" customFormat="false" ht="18.75" hidden="false" customHeight="false" outlineLevel="0" collapsed="false">
      <c r="A23" s="58" t="n">
        <f aca="false">'NYISO A'!A23</f>
        <v>37146</v>
      </c>
      <c r="B23" s="59" t="n">
        <f aca="false">[3]Nepool!$L14/16</f>
        <v>-198.997756958008</v>
      </c>
      <c r="C23" s="101" t="n">
        <f aca="false">CY23</f>
        <v>0</v>
      </c>
      <c r="D23" s="87" t="n">
        <f aca="false">(IF(MONTH(A23)=MONTH(EOMONTH(TradeDate,1)),$AP$69,0)*VLOOKUP(A23,$DK$12:$DN$43,4))</f>
        <v>0</v>
      </c>
      <c r="E23" s="62" t="n">
        <f aca="false">B23+C23+D23</f>
        <v>-198.997756958008</v>
      </c>
      <c r="F23" s="63" t="n">
        <f aca="false">[3]Nepool!$C14</f>
        <v>40.5</v>
      </c>
      <c r="G23" s="88" t="n">
        <f aca="false">IF($Q$9,Q23,P23)</f>
        <v>-1.33</v>
      </c>
      <c r="H23" s="89" t="n">
        <f aca="false">F23+G23</f>
        <v>39.17</v>
      </c>
      <c r="I23" s="87" t="n">
        <f aca="false">B23*G23*DD23</f>
        <v>4234.6722680664</v>
      </c>
      <c r="J23" s="66" t="n">
        <f aca="false">DH23+DI23</f>
        <v>0</v>
      </c>
      <c r="K23" s="90" t="n">
        <f aca="false">+J23+I23</f>
        <v>4234.6722680664</v>
      </c>
      <c r="L23" s="24"/>
      <c r="M23" s="67" t="n">
        <f aca="false">A23</f>
        <v>37146</v>
      </c>
      <c r="N23" s="92" t="n">
        <v>39.17</v>
      </c>
      <c r="O23" s="92" t="n">
        <v>39.17</v>
      </c>
      <c r="P23" s="69" t="n">
        <f aca="false">AVERAGE(N23:O23)-F23</f>
        <v>-1.33</v>
      </c>
      <c r="Q23" s="70"/>
      <c r="R23" s="91" t="n">
        <f aca="false">H23</f>
        <v>39.17</v>
      </c>
      <c r="S23" s="24"/>
      <c r="T23" s="24"/>
      <c r="U23" s="72"/>
      <c r="V23" s="73" t="n">
        <f aca="false">A23</f>
        <v>37146</v>
      </c>
      <c r="W23" s="77"/>
      <c r="X23" s="78"/>
      <c r="Y23" s="77"/>
      <c r="Z23" s="78"/>
      <c r="AA23" s="77"/>
      <c r="AB23" s="78"/>
      <c r="AC23" s="77"/>
      <c r="AD23" s="78"/>
      <c r="AE23" s="77"/>
      <c r="AF23" s="78"/>
      <c r="AG23" s="77"/>
      <c r="AH23" s="78"/>
      <c r="AI23" s="77"/>
      <c r="AJ23" s="78"/>
      <c r="AK23" s="77"/>
      <c r="AL23" s="78"/>
      <c r="AM23" s="77"/>
      <c r="AN23" s="78"/>
      <c r="AO23" s="77"/>
      <c r="AP23" s="78"/>
      <c r="AQ23" s="77"/>
      <c r="AR23" s="78"/>
      <c r="AS23" s="77"/>
      <c r="AT23" s="78"/>
      <c r="AU23" s="94"/>
      <c r="AV23" s="95"/>
      <c r="AW23" s="77"/>
      <c r="AX23" s="78"/>
      <c r="AY23" s="81"/>
      <c r="AZ23" s="75"/>
      <c r="BA23" s="77"/>
      <c r="BB23" s="78"/>
      <c r="BC23" s="81"/>
      <c r="BD23" s="75"/>
      <c r="BE23" s="77"/>
      <c r="BF23" s="78"/>
      <c r="BG23" s="81"/>
      <c r="BH23" s="75"/>
      <c r="BI23" s="81"/>
      <c r="BJ23" s="75"/>
      <c r="BK23" s="81"/>
      <c r="BL23" s="75"/>
      <c r="BM23" s="81"/>
      <c r="BN23" s="75"/>
      <c r="BO23" s="81"/>
      <c r="BP23" s="75"/>
      <c r="BQ23" s="81"/>
      <c r="BR23" s="75"/>
      <c r="BS23" s="81"/>
      <c r="BT23" s="75"/>
      <c r="BU23" s="81"/>
      <c r="BV23" s="75"/>
      <c r="BW23" s="81"/>
      <c r="BX23" s="75"/>
      <c r="BY23" s="81"/>
      <c r="BZ23" s="75"/>
      <c r="CA23" s="81"/>
      <c r="CB23" s="75"/>
      <c r="CC23" s="81"/>
      <c r="CD23" s="75"/>
      <c r="CE23" s="81"/>
      <c r="CF23" s="75"/>
      <c r="CG23" s="81"/>
      <c r="CH23" s="75"/>
      <c r="CI23" s="81"/>
      <c r="CJ23" s="75"/>
      <c r="CK23" s="81"/>
      <c r="CL23" s="75"/>
      <c r="CM23" s="81"/>
      <c r="CN23" s="75"/>
      <c r="CO23" s="81"/>
      <c r="CP23" s="75"/>
      <c r="CQ23" s="81"/>
      <c r="CR23" s="75"/>
      <c r="CS23" s="81"/>
      <c r="CT23" s="75"/>
      <c r="CU23" s="81"/>
      <c r="CV23" s="75"/>
      <c r="CW23" s="81"/>
      <c r="CX23" s="75"/>
      <c r="CY23" s="82" t="n">
        <f aca="false">W23+Y23+AA23+AC23+AE23+AG23+AI23+AK23+AM23+AO23+AQ23+AS23+AU23+AW23+AY23+BA23+BC23+BE23+BG23+BI23+BK23+BM23+BO23+BQ23+BS23+BU23+BW23+BY23+CA23+CC23+CE23+CG23+CI23+CK23+CM23+CO23+CQ23+CS23+CU23+CW23</f>
        <v>0</v>
      </c>
      <c r="CZ23" s="83" t="n">
        <f aca="false">IF(AND(CY23=0,DC23=0),0,(DF23+DG23)/DC23)</f>
        <v>0</v>
      </c>
      <c r="DA23" s="84" t="n">
        <f aca="false">DC23*DD23</f>
        <v>0</v>
      </c>
      <c r="DB23" s="85" t="n">
        <f aca="false">V23</f>
        <v>37146</v>
      </c>
      <c r="DC23" s="84" t="n">
        <f aca="false">ABS(W23)+ABS(Y23)+ABS(AA23)+ABS(AC23)+ABS(AE23)+ABS(AG23)+ABS(AI23)+ABS(AK23)+ABS(AM23)+ABS(AO23)+ABS(AQ23)+ABS(AS23)+ABS(AU23)+ABS(AW23)+ABS(AY23)+ABS(BA23)+ABS(BC23)+ABS(BE23)+ABS(BG23)+ABS(BI23)+ABS(BK23)+ABS(BM23)+ABS(BO23)+ABS(BQ23)+ABS(BS23)+ABS(BU23)+ABS(BW23)+ABS(BY23)+ABS(CA23)+ABS(CC23)+ABS(CE23)+ABS(CG23)+ABS(CI23)+ABS(CK23)+ABS(CM23)+ABS(CO23)+ABS(CQ23)+ABS(CS23)+ABS(CU23)+ABS(CW23)</f>
        <v>0</v>
      </c>
      <c r="DD23" s="86" t="n">
        <v>16</v>
      </c>
      <c r="DE23" s="84" t="n">
        <v>1</v>
      </c>
      <c r="DF23" s="43" t="n">
        <f aca="false">(ABS(W23)*X23+ABS(Y23)*Z23+ABS(AA23)*AB23+ABS(AC23)*AD23+ABS(AE23)*AF23+ABS(AG23)*AH23+ABS(AI23)*AJ23+ABS(AK23)*AL23+ABS(AM23)*AN23+ABS(AO23)*AP23+ABS(AQ23)*AR23+ABS(AS23)*AT23+ABS(AU23)*AV23+ABS(AW23)*AX23+ABS(AY23)*AZ23+ABS(BA23)*BB23+ABS(BC23)*BD23+ABS(BE23)*BF23+ABS(BG23)*BH23+ABS(BI23)*BJ23)</f>
        <v>0</v>
      </c>
      <c r="DG23" s="43" t="n">
        <f aca="false">ABS(BK23)*BL23+ABS(BM23)*BN23+ABS(BO23)*BP23+ABS(BQ23)*BR23+ABS(BS23)*BT23+ABS(BU23)*BV23+ABS(BW23)*BX23+ABS(BY23)*BZ23+ABS(CA23)*CB23+ABS(CC23)*CD23+ABS(CE23)*CF23+ABS(CG23)*CH23+ABS(CI23)*CJ23+ABS(CK23)*CL23+ABS(CM23)*CN23+ABS(CO23)*CP23+ABS(CQ23)*CR23+ABS(CS23)*CT23+ABS(CU23)*CV23+ABS(CW23)*CX23</f>
        <v>0</v>
      </c>
      <c r="DH23" s="43" t="n">
        <f aca="false">((H23-X23)*W23+(H23-Z23)*Y23+(H23-AB23)*AA23+(H23-AD23)*AC23+(H23-AF23)*AE23+(H23-AH23)*AG23+(H23-AJ23)*AI23+(H23-AL23)*AK23+(H23-AN23)*AM23+(H23-AP23)*AO23+(H23-AR23)*AQ23+(H23-AT23)*AS23+(H23-AV23)*AU23+(H23-AX23)*AW23+(H23-AZ23)*AY23+(H23-BB23)*BA23+(H23-BD23)*BC23+(H23-BF23)*BE23+(H23-BH23)*BG23+(H23-BJ23)*BI23)*DD23*DE23</f>
        <v>0</v>
      </c>
      <c r="DI23" s="43" t="n">
        <f aca="false">(((H23-BL23)*BK23+(H23-BN23)*BM23+(H23-BP23)*BO23+(H23-BR23)*BQ23+(H23-BT23)*BS23+(H23-BV23)*BU23+(H23-BX23)*BW23+(H23-BZ23)*BY23+(H23-CB23)*CA23+(H23-CD23)*CC23+(H23-CF23)*CE23+(H23-CH23)*CG23+(H23-CJ23)*CH23+(H23-CL23)*CK23+(H23-CN23)*CM23+(H23-CP23)*CO23+(H23-CR23)*CQ23+(H23-CT23)*CS23+(H23-CV23)*CU23+(H23-CX23)*CW23)*DD23*DE23)</f>
        <v>0</v>
      </c>
      <c r="DK23" s="85" t="n">
        <v>36850</v>
      </c>
      <c r="DL23" s="21" t="n">
        <v>-49.7253837585449</v>
      </c>
      <c r="DM23" s="21" t="n">
        <f aca="false">[5]NEPOOL!$L10</f>
        <v>-1189.7</v>
      </c>
      <c r="DN23" s="21" t="n">
        <f aca="false">IF(AND(WEEKDAY(DK23)&gt;1,WEEKDAY(DK23)&lt;7),1,0)</f>
        <v>1</v>
      </c>
    </row>
    <row r="24" customFormat="false" ht="18.75" hidden="false" customHeight="false" outlineLevel="0" collapsed="false">
      <c r="A24" s="58" t="n">
        <f aca="false">'NYISO A'!A24</f>
        <v>37147</v>
      </c>
      <c r="B24" s="59" t="n">
        <f aca="false">[3]Nepool!$L15/16</f>
        <v>-198.997756958008</v>
      </c>
      <c r="C24" s="60" t="n">
        <f aca="false">CY24</f>
        <v>0</v>
      </c>
      <c r="D24" s="61" t="n">
        <f aca="false">(IF(MONTH(A24)=MONTH(EOMONTH(TradeDate,1)),$AP$69,0)*VLOOKUP(A24,$DK$12:$DN$43,4))</f>
        <v>0</v>
      </c>
      <c r="E24" s="62" t="n">
        <f aca="false">B24+C24+D24</f>
        <v>-198.997756958008</v>
      </c>
      <c r="F24" s="63" t="n">
        <f aca="false">[3]Nepool!$C15</f>
        <v>40.5</v>
      </c>
      <c r="G24" s="63" t="n">
        <f aca="false">IF($Q$9,Q24,P24)</f>
        <v>-1.33</v>
      </c>
      <c r="H24" s="64" t="n">
        <f aca="false">F24+G24</f>
        <v>39.17</v>
      </c>
      <c r="I24" s="65" t="n">
        <f aca="false">B24*G24*DD24</f>
        <v>4234.6722680664</v>
      </c>
      <c r="J24" s="66" t="n">
        <f aca="false">DH24+DI24</f>
        <v>0</v>
      </c>
      <c r="K24" s="66" t="n">
        <f aca="false">+J24+I24</f>
        <v>4234.6722680664</v>
      </c>
      <c r="L24" s="315"/>
      <c r="M24" s="67" t="n">
        <f aca="false">A24</f>
        <v>37147</v>
      </c>
      <c r="N24" s="92" t="n">
        <v>39.17</v>
      </c>
      <c r="O24" s="92" t="n">
        <v>39.17</v>
      </c>
      <c r="P24" s="69" t="n">
        <f aca="false">AVERAGE(N24:O24)-F24</f>
        <v>-1.33</v>
      </c>
      <c r="Q24" s="70"/>
      <c r="R24" s="91" t="n">
        <f aca="false">H24</f>
        <v>39.17</v>
      </c>
      <c r="S24" s="24"/>
      <c r="T24" s="24"/>
      <c r="U24" s="72"/>
      <c r="V24" s="73" t="n">
        <f aca="false">A24</f>
        <v>37147</v>
      </c>
      <c r="W24" s="77"/>
      <c r="X24" s="78"/>
      <c r="Y24" s="77"/>
      <c r="Z24" s="78"/>
      <c r="AA24" s="77"/>
      <c r="AB24" s="78"/>
      <c r="AC24" s="77"/>
      <c r="AD24" s="78"/>
      <c r="AE24" s="77"/>
      <c r="AF24" s="78"/>
      <c r="AG24" s="77"/>
      <c r="AH24" s="78"/>
      <c r="AI24" s="77"/>
      <c r="AJ24" s="78"/>
      <c r="AK24" s="77"/>
      <c r="AL24" s="78"/>
      <c r="AM24" s="77"/>
      <c r="AN24" s="78"/>
      <c r="AO24" s="77"/>
      <c r="AP24" s="78"/>
      <c r="AQ24" s="77"/>
      <c r="AR24" s="97"/>
      <c r="AS24" s="77"/>
      <c r="AT24" s="78"/>
      <c r="AU24" s="94"/>
      <c r="AV24" s="95"/>
      <c r="AW24" s="77"/>
      <c r="AX24" s="78"/>
      <c r="AY24" s="81"/>
      <c r="AZ24" s="75"/>
      <c r="BA24" s="77"/>
      <c r="BB24" s="78"/>
      <c r="BC24" s="81"/>
      <c r="BD24" s="75"/>
      <c r="BE24" s="77"/>
      <c r="BF24" s="78"/>
      <c r="BG24" s="81"/>
      <c r="BH24" s="75"/>
      <c r="BI24" s="81"/>
      <c r="BJ24" s="75"/>
      <c r="BK24" s="81"/>
      <c r="BL24" s="75"/>
      <c r="BM24" s="81"/>
      <c r="BN24" s="75"/>
      <c r="BO24" s="81"/>
      <c r="BP24" s="75"/>
      <c r="BQ24" s="81"/>
      <c r="BR24" s="75"/>
      <c r="BS24" s="81"/>
      <c r="BT24" s="75"/>
      <c r="BU24" s="81"/>
      <c r="BV24" s="75"/>
      <c r="BW24" s="81"/>
      <c r="BX24" s="75"/>
      <c r="BY24" s="81"/>
      <c r="BZ24" s="75"/>
      <c r="CA24" s="81"/>
      <c r="CB24" s="75"/>
      <c r="CC24" s="81"/>
      <c r="CD24" s="75"/>
      <c r="CE24" s="81"/>
      <c r="CF24" s="75"/>
      <c r="CG24" s="81"/>
      <c r="CH24" s="75"/>
      <c r="CI24" s="81"/>
      <c r="CJ24" s="75"/>
      <c r="CK24" s="81"/>
      <c r="CL24" s="75"/>
      <c r="CM24" s="81"/>
      <c r="CN24" s="75"/>
      <c r="CO24" s="81"/>
      <c r="CP24" s="75"/>
      <c r="CQ24" s="81"/>
      <c r="CR24" s="75"/>
      <c r="CS24" s="81"/>
      <c r="CT24" s="75"/>
      <c r="CU24" s="81"/>
      <c r="CV24" s="75"/>
      <c r="CW24" s="81"/>
      <c r="CX24" s="75"/>
      <c r="CY24" s="82" t="n">
        <f aca="false">W24+Y24+AA24+AC24+AE24+AG24+AI24+AK24+AM24+AO24+AQ24+AS24+AU24+AW24+AY24+BA24+BC24+BE24+BG24+BI24+BK24+BM24+BO24+BQ24+BS24+BU24+BW24+BY24+CA24+CC24+CE24+CG24+CI24+CK24+CM24+CO24+CQ24+CS24+CU24+CW24</f>
        <v>0</v>
      </c>
      <c r="CZ24" s="83" t="n">
        <f aca="false">IF(AND(CY24=0,DC24=0),0,(DF24+DG24)/DC24)</f>
        <v>0</v>
      </c>
      <c r="DA24" s="84" t="n">
        <f aca="false">DC24*DD24</f>
        <v>0</v>
      </c>
      <c r="DB24" s="85" t="n">
        <f aca="false">V24</f>
        <v>37147</v>
      </c>
      <c r="DC24" s="84" t="n">
        <f aca="false">ABS(W24)+ABS(Y24)+ABS(AA24)+ABS(AC24)+ABS(AE24)+ABS(AG24)+ABS(AI24)+ABS(AK24)+ABS(AM24)+ABS(AO24)+ABS(AQ24)+ABS(AS24)+ABS(AU24)+ABS(AW24)+ABS(AY24)+ABS(BA24)+ABS(BC24)+ABS(BE24)+ABS(BG24)+ABS(BI24)+ABS(BK24)+ABS(BM24)+ABS(BO24)+ABS(BQ24)+ABS(BS24)+ABS(BU24)+ABS(BW24)+ABS(BY24)+ABS(CA24)+ABS(CC24)+ABS(CE24)+ABS(CG24)+ABS(CI24)+ABS(CK24)+ABS(CM24)+ABS(CO24)+ABS(CQ24)+ABS(CS24)+ABS(CU24)+ABS(CW24)</f>
        <v>0</v>
      </c>
      <c r="DD24" s="86" t="n">
        <v>16</v>
      </c>
      <c r="DE24" s="84" t="n">
        <v>1</v>
      </c>
      <c r="DF24" s="43" t="n">
        <f aca="false">(ABS(W24)*X24+ABS(Y24)*Z24+ABS(AA24)*AB24+ABS(AC24)*AD24+ABS(AE24)*AF24+ABS(AG24)*AH24+ABS(AI24)*AJ24+ABS(AK24)*AL24+ABS(AM24)*AN24+ABS(AO24)*AP24+ABS(AQ24)*AR24+ABS(AS24)*AT24+ABS(AU24)*AV24+ABS(AW24)*AX24+ABS(AY24)*AZ24+ABS(BA24)*BB24+ABS(BC24)*BD24+ABS(BE24)*BF24+ABS(BG24)*BH24+ABS(BI24)*BJ24)</f>
        <v>0</v>
      </c>
      <c r="DG24" s="43" t="n">
        <f aca="false">ABS(BK24)*BL24+ABS(BM24)*BN24+ABS(BO24)*BP24+ABS(BQ24)*BR24+ABS(BS24)*BT24+ABS(BU24)*BV24+ABS(BW24)*BX24+ABS(BY24)*BZ24+ABS(CA24)*CB24+ABS(CC24)*CD24+ABS(CE24)*CF24+ABS(CG24)*CH24+ABS(CI24)*CJ24+ABS(CK24)*CL24+ABS(CM24)*CN24+ABS(CO24)*CP24+ABS(CQ24)*CR24+ABS(CS24)*CT24+ABS(CU24)*CV24+ABS(CW24)*CX24</f>
        <v>0</v>
      </c>
      <c r="DH24" s="43" t="n">
        <f aca="false">((H24-X24)*W24+(H24-Z24)*Y24+(H24-AB24)*AA24+(H24-AD24)*AC24+(H24-AF24)*AE24+(H24-AH24)*AG24+(H24-AJ24)*AI24+(H24-AL24)*AK24+(H24-AN24)*AM24+(H24-AP24)*AO24+(H24-AR24)*AQ24+(H24-AT24)*AS24+(H24-AV24)*AU24+(H24-AX24)*AW24+(H24-AZ24)*AY24+(H24-BB24)*BA24+(H24-BD24)*BC24+(H24-BF24)*BE24+(H24-BH24)*BG24+(H24-BJ24)*BI24)*DD24*DE24</f>
        <v>0</v>
      </c>
      <c r="DI24" s="43" t="n">
        <f aca="false">(((H24-BL24)*BK24+(H24-BN24)*BM24+(H24-BP24)*BO24+(H24-BR24)*BQ24+(H24-BT24)*BS24+(H24-BV24)*BU24+(H24-BX24)*BW24+(H24-BZ24)*BY24+(H24-CB24)*CA24+(H24-CD24)*CC24+(H24-CF24)*CE24+(H24-CH24)*CG24+(H24-CJ24)*CH24+(H24-CL24)*CK24+(H24-CN24)*CM24+(H24-CP24)*CO24+(H24-CR24)*CQ24+(H24-CT24)*CS24+(H24-CV24)*CU24+(H24-CX24)*CW24)*DD24*DE24)</f>
        <v>0</v>
      </c>
      <c r="DK24" s="85" t="n">
        <v>36851</v>
      </c>
      <c r="DL24" s="21" t="n">
        <v>-49.7253837585449</v>
      </c>
      <c r="DM24" s="21" t="n">
        <f aca="false">[5]NEPOOL!$L11</f>
        <v>-1189.7</v>
      </c>
      <c r="DN24" s="21" t="n">
        <f aca="false">IF(AND(WEEKDAY(DK24)&gt;1,WEEKDAY(DK24)&lt;7),1,0)</f>
        <v>1</v>
      </c>
    </row>
    <row r="25" customFormat="false" ht="18.75" hidden="false" customHeight="false" outlineLevel="0" collapsed="false">
      <c r="A25" s="58" t="n">
        <f aca="false">'NYISO A'!A25</f>
        <v>37148</v>
      </c>
      <c r="B25" s="59" t="n">
        <f aca="false">[3]Nepool!$L16/16</f>
        <v>-198.997756958008</v>
      </c>
      <c r="C25" s="101" t="n">
        <f aca="false">CY25</f>
        <v>0</v>
      </c>
      <c r="D25" s="87" t="n">
        <f aca="false">(IF(MONTH(A25)=MONTH(EOMONTH(TradeDate,1)),$AP$69,0)*VLOOKUP(A25,$DK$12:$DN$43,4))</f>
        <v>0</v>
      </c>
      <c r="E25" s="62" t="n">
        <f aca="false">B25+C25+D25</f>
        <v>-198.997756958008</v>
      </c>
      <c r="F25" s="63" t="n">
        <f aca="false">[3]Nepool!$C16</f>
        <v>40.5</v>
      </c>
      <c r="G25" s="88" t="n">
        <f aca="false">IF($Q$9,Q25,P25)</f>
        <v>-1.33</v>
      </c>
      <c r="H25" s="89" t="n">
        <f aca="false">F25+G25</f>
        <v>39.17</v>
      </c>
      <c r="I25" s="87" t="n">
        <f aca="false">B25*G25*DD25</f>
        <v>4234.6722680664</v>
      </c>
      <c r="J25" s="66" t="n">
        <f aca="false">DH25+DI25</f>
        <v>0</v>
      </c>
      <c r="K25" s="90" t="n">
        <f aca="false">+J25+I25</f>
        <v>4234.6722680664</v>
      </c>
      <c r="L25" s="24"/>
      <c r="M25" s="67" t="n">
        <f aca="false">A25</f>
        <v>37148</v>
      </c>
      <c r="N25" s="92" t="n">
        <v>39.17</v>
      </c>
      <c r="O25" s="92" t="n">
        <v>39.17</v>
      </c>
      <c r="P25" s="69" t="n">
        <f aca="false">AVERAGE(N25:O25)-F25</f>
        <v>-1.33</v>
      </c>
      <c r="Q25" s="70"/>
      <c r="R25" s="91" t="n">
        <f aca="false">H25</f>
        <v>39.17</v>
      </c>
      <c r="S25" s="24"/>
      <c r="T25" s="24"/>
      <c r="U25" s="72"/>
      <c r="V25" s="73" t="n">
        <f aca="false">A25</f>
        <v>37148</v>
      </c>
      <c r="W25" s="77"/>
      <c r="X25" s="78"/>
      <c r="Y25" s="77"/>
      <c r="Z25" s="78"/>
      <c r="AA25" s="77"/>
      <c r="AB25" s="78"/>
      <c r="AC25" s="77"/>
      <c r="AD25" s="78"/>
      <c r="AE25" s="77"/>
      <c r="AF25" s="78"/>
      <c r="AG25" s="77"/>
      <c r="AH25" s="78"/>
      <c r="AI25" s="77"/>
      <c r="AJ25" s="78"/>
      <c r="AK25" s="77"/>
      <c r="AL25" s="78"/>
      <c r="AM25" s="77"/>
      <c r="AN25" s="78"/>
      <c r="AO25" s="77"/>
      <c r="AP25" s="78"/>
      <c r="AQ25" s="77"/>
      <c r="AR25" s="97"/>
      <c r="AS25" s="77"/>
      <c r="AT25" s="78"/>
      <c r="AU25" s="94"/>
      <c r="AV25" s="95"/>
      <c r="AW25" s="77"/>
      <c r="AX25" s="78"/>
      <c r="AY25" s="81"/>
      <c r="AZ25" s="75"/>
      <c r="BA25" s="77"/>
      <c r="BB25" s="78"/>
      <c r="BC25" s="81"/>
      <c r="BD25" s="75"/>
      <c r="BE25" s="77"/>
      <c r="BF25" s="78"/>
      <c r="BG25" s="81"/>
      <c r="BH25" s="75"/>
      <c r="BI25" s="81"/>
      <c r="BJ25" s="75"/>
      <c r="BK25" s="81"/>
      <c r="BL25" s="75"/>
      <c r="BM25" s="81"/>
      <c r="BN25" s="75"/>
      <c r="BO25" s="81"/>
      <c r="BP25" s="75"/>
      <c r="BQ25" s="81"/>
      <c r="BR25" s="75"/>
      <c r="BS25" s="81"/>
      <c r="BT25" s="75"/>
      <c r="BU25" s="81"/>
      <c r="BV25" s="75"/>
      <c r="BW25" s="81"/>
      <c r="BX25" s="75"/>
      <c r="BY25" s="81"/>
      <c r="BZ25" s="75"/>
      <c r="CA25" s="81"/>
      <c r="CB25" s="75"/>
      <c r="CC25" s="81"/>
      <c r="CD25" s="75"/>
      <c r="CE25" s="81"/>
      <c r="CF25" s="75"/>
      <c r="CG25" s="81"/>
      <c r="CH25" s="75"/>
      <c r="CI25" s="81"/>
      <c r="CJ25" s="75"/>
      <c r="CK25" s="81"/>
      <c r="CL25" s="75"/>
      <c r="CM25" s="81"/>
      <c r="CN25" s="75"/>
      <c r="CO25" s="81"/>
      <c r="CP25" s="75"/>
      <c r="CQ25" s="81"/>
      <c r="CR25" s="75"/>
      <c r="CS25" s="81"/>
      <c r="CT25" s="75"/>
      <c r="CU25" s="81"/>
      <c r="CV25" s="75"/>
      <c r="CW25" s="81"/>
      <c r="CX25" s="75"/>
      <c r="CY25" s="82" t="n">
        <f aca="false">W25+Y25+AA25+AC25+AE25+AG25+AI25+AK25+AM25+AO25+AQ25+AS25+AU25+AW25+AY25+BA25+BC25+BE25+BG25+BI25+BK25+BM25+BO25+BQ25+BS25+BU25+BW25+BY25+CA25+CC25+CE25+CG25+CI25+CK25+CM25+CO25+CQ25+CS25+CU25+CW25</f>
        <v>0</v>
      </c>
      <c r="CZ25" s="83" t="n">
        <f aca="false">IF(AND(CY25=0,DC25=0),0,(DF25+DG25)/DC25)</f>
        <v>0</v>
      </c>
      <c r="DA25" s="84" t="n">
        <f aca="false">DC25*DD25</f>
        <v>0</v>
      </c>
      <c r="DB25" s="85" t="n">
        <f aca="false">V25</f>
        <v>37148</v>
      </c>
      <c r="DC25" s="84" t="n">
        <f aca="false">ABS(W25)+ABS(Y25)+ABS(AA25)+ABS(AC25)+ABS(AE25)+ABS(AG25)+ABS(AI25)+ABS(AK25)+ABS(AM25)+ABS(AO25)+ABS(AQ25)+ABS(AS25)+ABS(AU25)+ABS(AW25)+ABS(AY25)+ABS(BA25)+ABS(BC25)+ABS(BE25)+ABS(BG25)+ABS(BI25)+ABS(BK25)+ABS(BM25)+ABS(BO25)+ABS(BQ25)+ABS(BS25)+ABS(BU25)+ABS(BW25)+ABS(BY25)+ABS(CA25)+ABS(CC25)+ABS(CE25)+ABS(CG25)+ABS(CI25)+ABS(CK25)+ABS(CM25)+ABS(CO25)+ABS(CQ25)+ABS(CS25)+ABS(CU25)+ABS(CW25)</f>
        <v>0</v>
      </c>
      <c r="DD25" s="86" t="n">
        <v>16</v>
      </c>
      <c r="DE25" s="84" t="n">
        <v>1</v>
      </c>
      <c r="DF25" s="43" t="n">
        <f aca="false">(ABS(W25)*X25+ABS(Y25)*Z25+ABS(AA25)*AB25+ABS(AC25)*AD25+ABS(AE25)*AF25+ABS(AG25)*AH25+ABS(AI25)*AJ25+ABS(AK25)*AL25+ABS(AM25)*AN25+ABS(AO25)*AP25+ABS(AQ25)*AR25+ABS(AS25)*AT25+ABS(AU25)*AV25+ABS(AW25)*AX25+ABS(AY25)*AZ25+ABS(BA25)*BB25+ABS(BC25)*BD25+ABS(BE25)*BF25+ABS(BG25)*BH25+ABS(BI25)*BJ25)</f>
        <v>0</v>
      </c>
      <c r="DG25" s="43" t="n">
        <f aca="false">ABS(BK25)*BL25+ABS(BM25)*BN25+ABS(BO25)*BP25+ABS(BQ25)*BR25+ABS(BS25)*BT25+ABS(BU25)*BV25+ABS(BW25)*BX25+ABS(BY25)*BZ25+ABS(CA25)*CB25+ABS(CC25)*CD25+ABS(CE25)*CF25+ABS(CG25)*CH25+ABS(CI25)*CJ25+ABS(CK25)*CL25+ABS(CM25)*CN25+ABS(CO25)*CP25+ABS(CQ25)*CR25+ABS(CS25)*CT25+ABS(CU25)*CV25+ABS(CW25)*CX25</f>
        <v>0</v>
      </c>
      <c r="DH25" s="43" t="n">
        <f aca="false">((H25-X25)*W25+(H25-Z25)*Y25+(H25-AB25)*AA25+(H25-AD25)*AC25+(H25-AF25)*AE25+(H25-AH25)*AG25+(H25-AJ25)*AI25+(H25-AL25)*AK25+(H25-AN25)*AM25+(H25-AP25)*AO25+(H25-AR25)*AQ25+(H25-AT25)*AS25+(H25-AV25)*AU25+(H25-AX25)*AW25+(H25-AZ25)*AY25+(H25-BB25)*BA25+(H25-BD25)*BC25+(H25-BF25)*BE25+(H25-BH25)*BG25+(H25-BJ25)*BI25)*DD25*DE25</f>
        <v>0</v>
      </c>
      <c r="DI25" s="43" t="n">
        <f aca="false">(((H25-BL25)*BK25+(H25-BN25)*BM25+(H25-BP25)*BO25+(H25-BR25)*BQ25+(H25-BT25)*BS25+(H25-BV25)*BU25+(H25-BX25)*BW25+(H25-BZ25)*BY25+(H25-CB25)*CA25+(H25-CD25)*CC25+(H25-CF25)*CE25+(H25-CH25)*CG25+(H25-CJ25)*CH25+(H25-CL25)*CK25+(H25-CN25)*CM25+(H25-CP25)*CO25+(H25-CR25)*CQ25+(H25-CT25)*CS25+(H25-CV25)*CU25+(H25-CX25)*CW25)*DD25*DE25)</f>
        <v>0</v>
      </c>
      <c r="DK25" s="85" t="n">
        <v>36852</v>
      </c>
      <c r="DL25" s="21" t="n">
        <v>-49.7253837585449</v>
      </c>
      <c r="DM25" s="21" t="n">
        <f aca="false">[5]NEPOOL!$L12</f>
        <v>-1189.7</v>
      </c>
      <c r="DN25" s="21" t="n">
        <f aca="false">IF(AND(WEEKDAY(DK25)&gt;1,WEEKDAY(DK25)&lt;7),1,0)</f>
        <v>1</v>
      </c>
    </row>
    <row r="26" customFormat="false" ht="18.75" hidden="false" customHeight="false" outlineLevel="0" collapsed="false">
      <c r="A26" s="58" t="n">
        <f aca="false">'NYISO A'!A26</f>
        <v>37149</v>
      </c>
      <c r="B26" s="59" t="n">
        <f aca="false">[3]Nepool!$L17/16</f>
        <v>0</v>
      </c>
      <c r="C26" s="60" t="n">
        <f aca="false">CY26</f>
        <v>0</v>
      </c>
      <c r="D26" s="61" t="n">
        <f aca="false">(IF(MONTH(A26)=MONTH(EOMONTH(TradeDate,1)),$AP$69,0)*VLOOKUP(A26,$DK$12:$DN$43,4))</f>
        <v>0</v>
      </c>
      <c r="E26" s="62" t="n">
        <f aca="false">B26+C26+D26</f>
        <v>0</v>
      </c>
      <c r="F26" s="63" t="n">
        <f aca="false">[3]Nepool!$C17</f>
        <v>35</v>
      </c>
      <c r="G26" s="63" t="n">
        <f aca="false">IF($Q$9,Q26,P26)</f>
        <v>4.17</v>
      </c>
      <c r="H26" s="64" t="n">
        <f aca="false">F26+G26</f>
        <v>39.17</v>
      </c>
      <c r="I26" s="65" t="n">
        <f aca="false">B26*G26*DD26</f>
        <v>0</v>
      </c>
      <c r="J26" s="66" t="n">
        <f aca="false">DH26+DI26</f>
        <v>0</v>
      </c>
      <c r="K26" s="66" t="n">
        <f aca="false">+J26+I26</f>
        <v>0</v>
      </c>
      <c r="L26" s="24"/>
      <c r="M26" s="67" t="n">
        <f aca="false">A26</f>
        <v>37149</v>
      </c>
      <c r="N26" s="92" t="n">
        <v>39.17</v>
      </c>
      <c r="O26" s="92" t="n">
        <v>39.17</v>
      </c>
      <c r="P26" s="69" t="n">
        <f aca="false">AVERAGE(N26:O26)-F26</f>
        <v>4.17</v>
      </c>
      <c r="Q26" s="70"/>
      <c r="R26" s="91" t="n">
        <f aca="false">H26</f>
        <v>39.17</v>
      </c>
      <c r="S26" s="24"/>
      <c r="T26" s="24"/>
      <c r="U26" s="72"/>
      <c r="V26" s="73" t="n">
        <f aca="false">A26</f>
        <v>37149</v>
      </c>
      <c r="W26" s="77"/>
      <c r="X26" s="78"/>
      <c r="Y26" s="77"/>
      <c r="Z26" s="78"/>
      <c r="AA26" s="77"/>
      <c r="AB26" s="78"/>
      <c r="AC26" s="77"/>
      <c r="AD26" s="78"/>
      <c r="AE26" s="77"/>
      <c r="AF26" s="78"/>
      <c r="AG26" s="77"/>
      <c r="AH26" s="78"/>
      <c r="AI26" s="77"/>
      <c r="AJ26" s="78"/>
      <c r="AK26" s="77"/>
      <c r="AL26" s="78"/>
      <c r="AM26" s="77"/>
      <c r="AN26" s="78"/>
      <c r="AO26" s="77"/>
      <c r="AP26" s="78"/>
      <c r="AQ26" s="77"/>
      <c r="AR26" s="97"/>
      <c r="AS26" s="77"/>
      <c r="AT26" s="78"/>
      <c r="AU26" s="94"/>
      <c r="AV26" s="95"/>
      <c r="AW26" s="77"/>
      <c r="AX26" s="78"/>
      <c r="AY26" s="81"/>
      <c r="AZ26" s="75"/>
      <c r="BA26" s="77"/>
      <c r="BB26" s="99"/>
      <c r="BC26" s="81"/>
      <c r="BD26" s="75"/>
      <c r="BE26" s="77"/>
      <c r="BF26" s="78"/>
      <c r="BG26" s="81"/>
      <c r="BH26" s="75"/>
      <c r="BI26" s="81"/>
      <c r="BJ26" s="75"/>
      <c r="BK26" s="81"/>
      <c r="BL26" s="75"/>
      <c r="BM26" s="81"/>
      <c r="BN26" s="75"/>
      <c r="BO26" s="81"/>
      <c r="BP26" s="75"/>
      <c r="BQ26" s="81"/>
      <c r="BR26" s="75"/>
      <c r="BS26" s="81"/>
      <c r="BT26" s="75"/>
      <c r="BU26" s="81"/>
      <c r="BV26" s="75"/>
      <c r="BW26" s="81"/>
      <c r="BX26" s="75"/>
      <c r="BY26" s="81"/>
      <c r="BZ26" s="75"/>
      <c r="CA26" s="81"/>
      <c r="CB26" s="75"/>
      <c r="CC26" s="81"/>
      <c r="CD26" s="75"/>
      <c r="CE26" s="81"/>
      <c r="CF26" s="75"/>
      <c r="CG26" s="81"/>
      <c r="CH26" s="75"/>
      <c r="CI26" s="81"/>
      <c r="CJ26" s="75"/>
      <c r="CK26" s="81"/>
      <c r="CL26" s="75"/>
      <c r="CM26" s="81"/>
      <c r="CN26" s="75"/>
      <c r="CO26" s="81"/>
      <c r="CP26" s="75"/>
      <c r="CQ26" s="81"/>
      <c r="CR26" s="75"/>
      <c r="CS26" s="81"/>
      <c r="CT26" s="75"/>
      <c r="CU26" s="81"/>
      <c r="CV26" s="75"/>
      <c r="CW26" s="81"/>
      <c r="CX26" s="75"/>
      <c r="CY26" s="82" t="n">
        <f aca="false">W26+Y26+AA26+AC26+AE26+AG26+AI26+AK26+AM26+AO26+AQ26+AS26+AU26+AW26+AY26+BA26+BC26+BE26+BG26+BI26+BK26+BM26+BO26+BQ26+BS26+BU26+BW26+BY26+CA26+CC26+CE26+CG26+CI26+CK26+CM26+CO26+CQ26+CS26+CU26+CW26</f>
        <v>0</v>
      </c>
      <c r="CZ26" s="83" t="n">
        <f aca="false">IF(AND(CY26=0,DC26=0),0,(DF26+DG26)/DC26)</f>
        <v>0</v>
      </c>
      <c r="DA26" s="84" t="n">
        <f aca="false">DC26*DD26</f>
        <v>0</v>
      </c>
      <c r="DB26" s="85" t="n">
        <f aca="false">V26</f>
        <v>37149</v>
      </c>
      <c r="DC26" s="84" t="n">
        <f aca="false">ABS(W26)+ABS(Y26)+ABS(AA26)+ABS(AC26)+ABS(AE26)+ABS(AG26)+ABS(AI26)+ABS(AK26)+ABS(AM26)+ABS(AO26)+ABS(AQ26)+ABS(AS26)+ABS(AU26)+ABS(AW26)+ABS(AY26)+ABS(BA26)+ABS(BC26)+ABS(BE26)+ABS(BG26)+ABS(BI26)+ABS(BK26)+ABS(BM26)+ABS(BO26)+ABS(BQ26)+ABS(BS26)+ABS(BU26)+ABS(BW26)+ABS(BY26)+ABS(CA26)+ABS(CC26)+ABS(CE26)+ABS(CG26)+ABS(CI26)+ABS(CK26)+ABS(CM26)+ABS(CO26)+ABS(CQ26)+ABS(CS26)+ABS(CU26)+ABS(CW26)</f>
        <v>0</v>
      </c>
      <c r="DD26" s="86" t="n">
        <v>16</v>
      </c>
      <c r="DE26" s="84" t="n">
        <v>1</v>
      </c>
      <c r="DF26" s="43" t="n">
        <f aca="false">(ABS(W26)*X26+ABS(Y26)*Z26+ABS(AA26)*AB26+ABS(AC26)*AD26+ABS(AE26)*AF26+ABS(AG26)*AH26+ABS(AI26)*AJ26+ABS(AK26)*AL26+ABS(AM26)*AN26+ABS(AO26)*AP26+ABS(AQ26)*AR26+ABS(AS26)*AT26+ABS(AU26)*AV26+ABS(AW26)*AX26+ABS(AY26)*AZ26+ABS(BA26)*BB26+ABS(BC26)*BD26+ABS(BE26)*BF26+ABS(BG26)*BH26+ABS(BI26)*BJ26)</f>
        <v>0</v>
      </c>
      <c r="DG26" s="43" t="n">
        <f aca="false">ABS(BK26)*BL26+ABS(BM26)*BN26+ABS(BO26)*BP26+ABS(BQ26)*BR26+ABS(BS26)*BT26+ABS(BU26)*BV26+ABS(BW26)*BX26+ABS(BY26)*BZ26+ABS(CA26)*CB26+ABS(CC26)*CD26+ABS(CE26)*CF26+ABS(CG26)*CH26+ABS(CI26)*CJ26+ABS(CK26)*CL26+ABS(CM26)*CN26+ABS(CO26)*CP26+ABS(CQ26)*CR26+ABS(CS26)*CT26+ABS(CU26)*CV26+ABS(CW26)*CX26</f>
        <v>0</v>
      </c>
      <c r="DH26" s="43" t="n">
        <f aca="false">((H26-X26)*W26+(H26-Z26)*Y26+(H26-AB26)*AA26+(H26-AD26)*AC26+(H26-AF26)*AE26+(H26-AH26)*AG26+(H26-AJ26)*AI26+(H26-AL26)*AK26+(H26-AN26)*AM26+(H26-AP26)*AO26+(H26-AR26)*AQ26+(H26-AT26)*AS26+(H26-AV26)*AU26+(H26-AX26)*AW26+(H26-AZ26)*AY26+(H26-BB26)*BA26+(H26-BD26)*BC26+(H26-BF26)*BE26+(H26-BH26)*BG26+(H26-BJ26)*BI26)*DD26*DE26</f>
        <v>0</v>
      </c>
      <c r="DI26" s="43" t="n">
        <f aca="false">(((H26-BL26)*BK26+(H26-BN26)*BM26+(H26-BP26)*BO26+(H26-BR26)*BQ26+(H26-BT26)*BS26+(H26-BV26)*BU26+(H26-BX26)*BW26+(H26-BZ26)*BY26+(H26-CB26)*CA26+(H26-CD26)*CC26+(H26-CF26)*CE26+(H26-CH26)*CG26+(H26-CJ26)*CH26+(H26-CL26)*CK26+(H26-CN26)*CM26+(H26-CP26)*CO26+(H26-CR26)*CQ26+(H26-CT26)*CS26+(H26-CV26)*CU26+(H26-CX26)*CW26)*DD26*DE26)</f>
        <v>0</v>
      </c>
      <c r="DK26" s="85" t="n">
        <v>36853</v>
      </c>
      <c r="DL26" s="21" t="n">
        <v>0</v>
      </c>
      <c r="DM26" s="21" t="n">
        <f aca="false">[5]NEPOOL!$L13</f>
        <v>-1189.7</v>
      </c>
      <c r="DN26" s="21" t="n">
        <f aca="false">IF(AND(WEEKDAY(DK26)&gt;1,WEEKDAY(DK26)&lt;7),1,0)</f>
        <v>1</v>
      </c>
    </row>
    <row r="27" customFormat="false" ht="18.75" hidden="false" customHeight="false" outlineLevel="0" collapsed="false">
      <c r="A27" s="58" t="n">
        <f aca="false">'NYISO A'!A27</f>
        <v>37150</v>
      </c>
      <c r="B27" s="59" t="n">
        <f aca="false">[3]Nepool!$L18/16</f>
        <v>0</v>
      </c>
      <c r="C27" s="101" t="n">
        <f aca="false">CY27</f>
        <v>0</v>
      </c>
      <c r="D27" s="87" t="n">
        <f aca="false">(IF(MONTH(A27)=MONTH(EOMONTH(TradeDate,1)),$AP$69,0)*VLOOKUP(A27,$DK$12:$DN$43,4))</f>
        <v>0</v>
      </c>
      <c r="E27" s="62" t="n">
        <f aca="false">B27+C27+D27</f>
        <v>0</v>
      </c>
      <c r="F27" s="63" t="n">
        <f aca="false">[3]Nepool!$C18</f>
        <v>35</v>
      </c>
      <c r="G27" s="88" t="n">
        <f aca="false">IF($Q$9,Q27,P27)</f>
        <v>4.17</v>
      </c>
      <c r="H27" s="89" t="n">
        <f aca="false">F27+G27</f>
        <v>39.17</v>
      </c>
      <c r="I27" s="87" t="n">
        <f aca="false">B27*G27*DD27</f>
        <v>0</v>
      </c>
      <c r="J27" s="66" t="n">
        <f aca="false">DH27+DI27</f>
        <v>0</v>
      </c>
      <c r="K27" s="90" t="n">
        <f aca="false">+J27+I27</f>
        <v>0</v>
      </c>
      <c r="L27" s="24"/>
      <c r="M27" s="67" t="n">
        <f aca="false">A27</f>
        <v>37150</v>
      </c>
      <c r="N27" s="92" t="n">
        <v>39.17</v>
      </c>
      <c r="O27" s="92" t="n">
        <v>39.17</v>
      </c>
      <c r="P27" s="69" t="n">
        <f aca="false">AVERAGE(N27:O27)-F27</f>
        <v>4.17</v>
      </c>
      <c r="Q27" s="70"/>
      <c r="R27" s="91" t="n">
        <f aca="false">H27</f>
        <v>39.17</v>
      </c>
      <c r="S27" s="24"/>
      <c r="T27" s="24"/>
      <c r="U27" s="72"/>
      <c r="V27" s="73" t="n">
        <f aca="false">A27</f>
        <v>37150</v>
      </c>
      <c r="W27" s="77"/>
      <c r="X27" s="78"/>
      <c r="Y27" s="77"/>
      <c r="Z27" s="78"/>
      <c r="AA27" s="77"/>
      <c r="AB27" s="78"/>
      <c r="AC27" s="77"/>
      <c r="AD27" s="78"/>
      <c r="AE27" s="77"/>
      <c r="AF27" s="78"/>
      <c r="AG27" s="77"/>
      <c r="AH27" s="78"/>
      <c r="AI27" s="77"/>
      <c r="AJ27" s="78"/>
      <c r="AK27" s="77"/>
      <c r="AL27" s="78"/>
      <c r="AM27" s="77"/>
      <c r="AN27" s="78"/>
      <c r="AO27" s="77"/>
      <c r="AP27" s="78"/>
      <c r="AQ27" s="77"/>
      <c r="AR27" s="97"/>
      <c r="AS27" s="77"/>
      <c r="AT27" s="78"/>
      <c r="AU27" s="94"/>
      <c r="AV27" s="95"/>
      <c r="AW27" s="77"/>
      <c r="AX27" s="78"/>
      <c r="AY27" s="81"/>
      <c r="AZ27" s="75"/>
      <c r="BA27" s="77"/>
      <c r="BB27" s="78"/>
      <c r="BC27" s="81"/>
      <c r="BD27" s="75"/>
      <c r="BE27" s="77"/>
      <c r="BF27" s="78"/>
      <c r="BG27" s="81"/>
      <c r="BH27" s="75"/>
      <c r="BI27" s="81"/>
      <c r="BJ27" s="75"/>
      <c r="BK27" s="81"/>
      <c r="BL27" s="75"/>
      <c r="BM27" s="81"/>
      <c r="BN27" s="75"/>
      <c r="BO27" s="81"/>
      <c r="BP27" s="75"/>
      <c r="BQ27" s="81"/>
      <c r="BR27" s="75"/>
      <c r="BS27" s="81"/>
      <c r="BT27" s="75"/>
      <c r="BU27" s="81"/>
      <c r="BV27" s="75"/>
      <c r="BW27" s="81"/>
      <c r="BX27" s="75"/>
      <c r="BY27" s="81"/>
      <c r="BZ27" s="75"/>
      <c r="CA27" s="81"/>
      <c r="CB27" s="75"/>
      <c r="CC27" s="81"/>
      <c r="CD27" s="75"/>
      <c r="CE27" s="81"/>
      <c r="CF27" s="75"/>
      <c r="CG27" s="81"/>
      <c r="CH27" s="75"/>
      <c r="CI27" s="81"/>
      <c r="CJ27" s="75"/>
      <c r="CK27" s="81"/>
      <c r="CL27" s="75"/>
      <c r="CM27" s="81"/>
      <c r="CN27" s="75"/>
      <c r="CO27" s="81"/>
      <c r="CP27" s="75"/>
      <c r="CQ27" s="81"/>
      <c r="CR27" s="75"/>
      <c r="CS27" s="81"/>
      <c r="CT27" s="75"/>
      <c r="CU27" s="81"/>
      <c r="CV27" s="75"/>
      <c r="CW27" s="81"/>
      <c r="CX27" s="75"/>
      <c r="CY27" s="82" t="n">
        <f aca="false">W27+Y27+AA27+AC27+AE27+AG27+AI27+AK27+AM27+AO27+AQ27+AS27+AU27+AW27+AY27+BA27+BC27+BE27+BG27+BI27+BK27+BM27+BO27+BQ27+BS27+BU27+BW27+BY27+CA27+CC27+CE27+CG27+CI27+CK27+CM27+CO27+CQ27+CS27+CU27+CW27</f>
        <v>0</v>
      </c>
      <c r="CZ27" s="83" t="n">
        <f aca="false">IF(AND(CY27=0,DC27=0),0,(DF27+DG27)/DC27)</f>
        <v>0</v>
      </c>
      <c r="DA27" s="84" t="n">
        <f aca="false">DC27*DD27</f>
        <v>0</v>
      </c>
      <c r="DB27" s="85" t="n">
        <f aca="false">V27</f>
        <v>37150</v>
      </c>
      <c r="DC27" s="84" t="n">
        <f aca="false">ABS(W27)+ABS(Y27)+ABS(AA27)+ABS(AC27)+ABS(AE27)+ABS(AG27)+ABS(AI27)+ABS(AK27)+ABS(AM27)+ABS(AO27)+ABS(AQ27)+ABS(AS27)+ABS(AU27)+ABS(AW27)+ABS(AY27)+ABS(BA27)+ABS(BC27)+ABS(BE27)+ABS(BG27)+ABS(BI27)+ABS(BK27)+ABS(BM27)+ABS(BO27)+ABS(BQ27)+ABS(BS27)+ABS(BU27)+ABS(BW27)+ABS(BY27)+ABS(CA27)+ABS(CC27)+ABS(CE27)+ABS(CG27)+ABS(CI27)+ABS(CK27)+ABS(CM27)+ABS(CO27)+ABS(CQ27)+ABS(CS27)+ABS(CU27)+ABS(CW27)</f>
        <v>0</v>
      </c>
      <c r="DD27" s="86" t="n">
        <v>16</v>
      </c>
      <c r="DE27" s="84" t="n">
        <v>1</v>
      </c>
      <c r="DF27" s="43" t="n">
        <f aca="false">(ABS(W27)*X27+ABS(Y27)*Z27+ABS(AA27)*AB27+ABS(AC27)*AD27+ABS(AE27)*AF27+ABS(AG27)*AH27+ABS(AI27)*AJ27+ABS(AK27)*AL27+ABS(AM27)*AN27+ABS(AO27)*AP27+ABS(AQ27)*AR27+ABS(AS27)*AT27+ABS(AU27)*AV27+ABS(AW27)*AX27+ABS(AY27)*AZ27+ABS(BA27)*BB27+ABS(BC27)*BD27+ABS(BE27)*BF27+ABS(BG27)*BH27+ABS(BI27)*BJ27)</f>
        <v>0</v>
      </c>
      <c r="DG27" s="43" t="n">
        <f aca="false">ABS(BK27)*BL27+ABS(BM27)*BN27+ABS(BO27)*BP27+ABS(BQ27)*BR27+ABS(BS27)*BT27+ABS(BU27)*BV27+ABS(BW27)*BX27+ABS(BY27)*BZ27+ABS(CA27)*CB27+ABS(CC27)*CD27+ABS(CE27)*CF27+ABS(CG27)*CH27+ABS(CI27)*CJ27+ABS(CK27)*CL27+ABS(CM27)*CN27+ABS(CO27)*CP27+ABS(CQ27)*CR27+ABS(CS27)*CT27+ABS(CU27)*CV27+ABS(CW27)*CX27</f>
        <v>0</v>
      </c>
      <c r="DH27" s="43" t="n">
        <f aca="false">((H27-X27)*W27+(H27-Z27)*Y27+(H27-AB27)*AA27+(H27-AD27)*AC27+(H27-AF27)*AE27+(H27-AH27)*AG27+(H27-AJ27)*AI27+(H27-AL27)*AK27+(H27-AN27)*AM27+(H27-AP27)*AO27+(H27-AR27)*AQ27+(H27-AT27)*AS27+(H27-AV27)*AU27+(H27-AX27)*AW27+(H27-AZ27)*AY27+(H27-BB27)*BA27+(H27-BD27)*BC27+(H27-BF27)*BE27+(H27-BH27)*BG27+(H27-BJ27)*BI27)*DD27*DE27</f>
        <v>0</v>
      </c>
      <c r="DI27" s="43" t="n">
        <f aca="false">(((H27-BL27)*BK27+(H27-BN27)*BM27+(H27-BP27)*BO27+(H27-BR27)*BQ27+(H27-BT27)*BS27+(H27-BV27)*BU27+(H27-BX27)*BW27+(H27-BZ27)*BY27+(H27-CB27)*CA27+(H27-CD27)*CC27+(H27-CF27)*CE27+(H27-CH27)*CG27+(H27-CJ27)*CH27+(H27-CL27)*CK27+(H27-CN27)*CM27+(H27-CP27)*CO27+(H27-CR27)*CQ27+(H27-CT27)*CS27+(H27-CV27)*CU27+(H27-CX27)*CW27)*DD27*DE27)</f>
        <v>0</v>
      </c>
      <c r="DK27" s="85" t="n">
        <v>36854</v>
      </c>
      <c r="DL27" s="21" t="n">
        <v>-49.7253837585449</v>
      </c>
      <c r="DM27" s="21" t="n">
        <f aca="false">[5]NEPOOL!$L14</f>
        <v>0</v>
      </c>
      <c r="DN27" s="21" t="n">
        <f aca="false">IF(AND(WEEKDAY(DK27)&gt;1,WEEKDAY(DK27)&lt;7),1,0)</f>
        <v>1</v>
      </c>
    </row>
    <row r="28" customFormat="false" ht="18.75" hidden="false" customHeight="false" outlineLevel="0" collapsed="false">
      <c r="A28" s="58" t="n">
        <f aca="false">'NYISO A'!A28</f>
        <v>37151</v>
      </c>
      <c r="B28" s="59" t="n">
        <f aca="false">[3]Nepool!$L19/16</f>
        <v>-198.997756958008</v>
      </c>
      <c r="C28" s="60" t="n">
        <f aca="false">CY28</f>
        <v>0</v>
      </c>
      <c r="D28" s="61" t="n">
        <f aca="false">(IF(MONTH(A28)=MONTH(EOMONTH(TradeDate,1)),$AP$69,0)*VLOOKUP(A28,$DK$12:$DN$43,4))</f>
        <v>0</v>
      </c>
      <c r="E28" s="62" t="n">
        <f aca="false">B28+C28+D28</f>
        <v>-198.997756958008</v>
      </c>
      <c r="F28" s="63" t="n">
        <f aca="false">[3]Nepool!$C19</f>
        <v>39</v>
      </c>
      <c r="G28" s="63" t="n">
        <f aca="false">IF($Q$9,Q28,P28)</f>
        <v>0.170000000000002</v>
      </c>
      <c r="H28" s="64" t="n">
        <f aca="false">F28+G28</f>
        <v>39.17</v>
      </c>
      <c r="I28" s="65" t="n">
        <f aca="false">B28*G28*DD28</f>
        <v>-541.273898925787</v>
      </c>
      <c r="J28" s="66" t="n">
        <f aca="false">DH28+DI28</f>
        <v>0</v>
      </c>
      <c r="K28" s="66" t="n">
        <f aca="false">+J28+I28</f>
        <v>-541.273898925787</v>
      </c>
      <c r="L28" s="24"/>
      <c r="M28" s="67" t="n">
        <f aca="false">A28</f>
        <v>37151</v>
      </c>
      <c r="N28" s="92" t="n">
        <v>39.17</v>
      </c>
      <c r="O28" s="92" t="n">
        <v>39.17</v>
      </c>
      <c r="P28" s="69" t="n">
        <f aca="false">AVERAGE(N28:O28)-F28</f>
        <v>0.170000000000002</v>
      </c>
      <c r="Q28" s="70"/>
      <c r="R28" s="91" t="n">
        <f aca="false">H28</f>
        <v>39.17</v>
      </c>
      <c r="S28" s="24"/>
      <c r="T28" s="24"/>
      <c r="U28" s="72"/>
      <c r="V28" s="73" t="n">
        <f aca="false">A28</f>
        <v>37151</v>
      </c>
      <c r="W28" s="77"/>
      <c r="X28" s="78"/>
      <c r="Y28" s="77"/>
      <c r="Z28" s="78"/>
      <c r="AA28" s="77"/>
      <c r="AB28" s="78"/>
      <c r="AC28" s="77"/>
      <c r="AD28" s="78"/>
      <c r="AE28" s="77"/>
      <c r="AF28" s="78"/>
      <c r="AG28" s="77"/>
      <c r="AH28" s="78"/>
      <c r="AI28" s="77"/>
      <c r="AJ28" s="78"/>
      <c r="AK28" s="77"/>
      <c r="AL28" s="78"/>
      <c r="AM28" s="77"/>
      <c r="AN28" s="78"/>
      <c r="AO28" s="77"/>
      <c r="AP28" s="78"/>
      <c r="AQ28" s="77"/>
      <c r="AR28" s="97"/>
      <c r="AS28" s="77"/>
      <c r="AT28" s="78"/>
      <c r="AU28" s="94"/>
      <c r="AV28" s="95"/>
      <c r="AW28" s="77"/>
      <c r="AX28" s="78"/>
      <c r="AY28" s="81"/>
      <c r="AZ28" s="75"/>
      <c r="BA28" s="77"/>
      <c r="BB28" s="78"/>
      <c r="BC28" s="81"/>
      <c r="BD28" s="75"/>
      <c r="BE28" s="77"/>
      <c r="BF28" s="78"/>
      <c r="BG28" s="81"/>
      <c r="BH28" s="75"/>
      <c r="BI28" s="81"/>
      <c r="BJ28" s="75"/>
      <c r="BK28" s="81"/>
      <c r="BL28" s="75"/>
      <c r="BM28" s="81"/>
      <c r="BN28" s="75"/>
      <c r="BO28" s="81"/>
      <c r="BP28" s="75"/>
      <c r="BQ28" s="81"/>
      <c r="BR28" s="75"/>
      <c r="BS28" s="81"/>
      <c r="BT28" s="75"/>
      <c r="BU28" s="81"/>
      <c r="BV28" s="75"/>
      <c r="BW28" s="81"/>
      <c r="BX28" s="75"/>
      <c r="BY28" s="81"/>
      <c r="BZ28" s="75"/>
      <c r="CA28" s="81"/>
      <c r="CB28" s="75"/>
      <c r="CC28" s="81"/>
      <c r="CD28" s="75"/>
      <c r="CE28" s="81"/>
      <c r="CF28" s="75"/>
      <c r="CG28" s="81"/>
      <c r="CH28" s="75"/>
      <c r="CI28" s="81"/>
      <c r="CJ28" s="75"/>
      <c r="CK28" s="81"/>
      <c r="CL28" s="75"/>
      <c r="CM28" s="81"/>
      <c r="CN28" s="75"/>
      <c r="CO28" s="81"/>
      <c r="CP28" s="75"/>
      <c r="CQ28" s="81"/>
      <c r="CR28" s="75"/>
      <c r="CS28" s="81"/>
      <c r="CT28" s="75"/>
      <c r="CU28" s="81"/>
      <c r="CV28" s="75"/>
      <c r="CW28" s="81"/>
      <c r="CX28" s="75"/>
      <c r="CY28" s="82" t="n">
        <f aca="false">W28+Y28+AA28+AC28+AE28+AG28+AI28+AK28+AM28+AO28+AQ28+AS28+AU28+AW28+AY28+BA28+BC28+BE28+BG28+BI28+BK28+BM28+BO28+BQ28+BS28+BU28+BW28+BY28+CA28+CC28+CE28+CG28+CI28+CK28+CM28+CO28+CQ28+CS28+CU28+CW28</f>
        <v>0</v>
      </c>
      <c r="CZ28" s="83" t="n">
        <f aca="false">IF(AND(CY28=0,DC28=0),0,(DF28+DG28)/DC28)</f>
        <v>0</v>
      </c>
      <c r="DA28" s="84" t="n">
        <f aca="false">DC28*DD28</f>
        <v>0</v>
      </c>
      <c r="DB28" s="85" t="n">
        <f aca="false">V28</f>
        <v>37151</v>
      </c>
      <c r="DC28" s="84" t="n">
        <f aca="false">ABS(W28)+ABS(Y28)+ABS(AA28)+ABS(AC28)+ABS(AE28)+ABS(AG28)+ABS(AI28)+ABS(AK28)+ABS(AM28)+ABS(AO28)+ABS(AQ28)+ABS(AS28)+ABS(AU28)+ABS(AW28)+ABS(AY28)+ABS(BA28)+ABS(BC28)+ABS(BE28)+ABS(BG28)+ABS(BI28)+ABS(BK28)+ABS(BM28)+ABS(BO28)+ABS(BQ28)+ABS(BS28)+ABS(BU28)+ABS(BW28)+ABS(BY28)+ABS(CA28)+ABS(CC28)+ABS(CE28)+ABS(CG28)+ABS(CI28)+ABS(CK28)+ABS(CM28)+ABS(CO28)+ABS(CQ28)+ABS(CS28)+ABS(CU28)+ABS(CW28)</f>
        <v>0</v>
      </c>
      <c r="DD28" s="86" t="n">
        <v>16</v>
      </c>
      <c r="DE28" s="84" t="n">
        <v>1</v>
      </c>
      <c r="DF28" s="43" t="n">
        <f aca="false">(ABS(W28)*X28+ABS(Y28)*Z28+ABS(AA28)*AB28+ABS(AC28)*AD28+ABS(AE28)*AF28+ABS(AG28)*AH28+ABS(AI28)*AJ28+ABS(AK28)*AL28+ABS(AM28)*AN28+ABS(AO28)*AP28+ABS(AQ28)*AR28+ABS(AS28)*AT28+ABS(AU28)*AV28+ABS(AW28)*AX28+ABS(AY28)*AZ28+ABS(BA28)*BB28+ABS(BC28)*BD28+ABS(BE28)*BF28+ABS(BG28)*BH28+ABS(BI28)*BJ28)</f>
        <v>0</v>
      </c>
      <c r="DG28" s="43" t="n">
        <f aca="false">ABS(BK28)*BL28+ABS(BM28)*BN28+ABS(BO28)*BP28+ABS(BQ28)*BR28+ABS(BS28)*BT28+ABS(BU28)*BV28+ABS(BW28)*BX28+ABS(BY28)*BZ28+ABS(CA28)*CB28+ABS(CC28)*CD28+ABS(CE28)*CF28+ABS(CG28)*CH28+ABS(CI28)*CJ28+ABS(CK28)*CL28+ABS(CM28)*CN28+ABS(CO28)*CP28+ABS(CQ28)*CR28+ABS(CS28)*CT28+ABS(CU28)*CV28+ABS(CW28)*CX28</f>
        <v>0</v>
      </c>
      <c r="DH28" s="43" t="n">
        <f aca="false">((H28-X28)*W28+(H28-Z28)*Y28+(H28-AB28)*AA28+(H28-AD28)*AC28+(H28-AF28)*AE28+(H28-AH28)*AG28+(H28-AJ28)*AI28+(H28-AL28)*AK28+(H28-AN28)*AM28+(H28-AP28)*AO28+(H28-AR28)*AQ28+(H28-AT28)*AS28+(H28-AV28)*AU28+(H28-AX28)*AW28+(H28-AZ28)*AY28+(H28-BB28)*BA28+(H28-BD28)*BC28+(H28-BF28)*BE28+(H28-BH28)*BG28+(H28-BJ28)*BI28)*DD28*DE28</f>
        <v>0</v>
      </c>
      <c r="DI28" s="43" t="n">
        <f aca="false">(((H28-BL28)*BK28+(H28-BN28)*BM28+(H28-BP28)*BO28+(H28-BR28)*BQ28+(H28-BT28)*BS28+(H28-BV28)*BU28+(H28-BX28)*BW28+(H28-BZ28)*BY28+(H28-CB28)*CA28+(H28-CD28)*CC28+(H28-CF28)*CE28+(H28-CH28)*CG28+(H28-CJ28)*CH28+(H28-CL28)*CK28+(H28-CN28)*CM28+(H28-CP28)*CO28+(H28-CR28)*CQ28+(H28-CT28)*CS28+(H28-CV28)*CU28+(H28-CX28)*CW28)*DD28*DE28)</f>
        <v>0</v>
      </c>
      <c r="DK28" s="85" t="n">
        <v>36855</v>
      </c>
      <c r="DL28" s="21" t="n">
        <v>0</v>
      </c>
      <c r="DM28" s="21" t="n">
        <f aca="false">[5]NEPOOL!$L15</f>
        <v>0</v>
      </c>
      <c r="DN28" s="21" t="n">
        <f aca="false">IF(AND(WEEKDAY(DK28)&gt;1,WEEKDAY(DK28)&lt;7),1,0)</f>
        <v>0</v>
      </c>
    </row>
    <row r="29" customFormat="false" ht="18.75" hidden="false" customHeight="false" outlineLevel="0" collapsed="false">
      <c r="A29" s="58" t="n">
        <f aca="false">'NYISO A'!A29</f>
        <v>37152</v>
      </c>
      <c r="B29" s="59" t="n">
        <f aca="false">[3]Nepool!$L20/16</f>
        <v>-198.997756958008</v>
      </c>
      <c r="C29" s="101" t="n">
        <f aca="false">CY29</f>
        <v>0</v>
      </c>
      <c r="D29" s="87" t="n">
        <f aca="false">(IF(MONTH(A29)=MONTH(EOMONTH(TradeDate,1)),$AP$69,0)*VLOOKUP(A29,$DK$12:$DN$43,4))</f>
        <v>0</v>
      </c>
      <c r="E29" s="62" t="n">
        <f aca="false">B29+C29+D29</f>
        <v>-198.997756958008</v>
      </c>
      <c r="F29" s="63" t="n">
        <f aca="false">[3]Nepool!$C20</f>
        <v>39</v>
      </c>
      <c r="G29" s="88" t="n">
        <f aca="false">IF($Q$9,Q29,P29)</f>
        <v>0.170000000000002</v>
      </c>
      <c r="H29" s="89" t="n">
        <f aca="false">F29+G29</f>
        <v>39.17</v>
      </c>
      <c r="I29" s="87" t="n">
        <f aca="false">B29*G29*DD29</f>
        <v>-541.273898925787</v>
      </c>
      <c r="J29" s="66" t="n">
        <f aca="false">DH29+DI29</f>
        <v>0</v>
      </c>
      <c r="K29" s="90" t="n">
        <f aca="false">+J29+I29</f>
        <v>-541.273898925787</v>
      </c>
      <c r="L29" s="24"/>
      <c r="M29" s="67" t="n">
        <f aca="false">A29</f>
        <v>37152</v>
      </c>
      <c r="N29" s="92" t="n">
        <v>39.17</v>
      </c>
      <c r="O29" s="92" t="n">
        <v>39.17</v>
      </c>
      <c r="P29" s="69" t="n">
        <f aca="false">AVERAGE(N29:O29)-F29</f>
        <v>0.170000000000002</v>
      </c>
      <c r="Q29" s="70"/>
      <c r="R29" s="91" t="n">
        <f aca="false">H29</f>
        <v>39.17</v>
      </c>
      <c r="S29" s="24"/>
      <c r="T29" s="24"/>
      <c r="U29" s="72"/>
      <c r="V29" s="73" t="n">
        <f aca="false">A29</f>
        <v>37152</v>
      </c>
      <c r="W29" s="77"/>
      <c r="X29" s="78"/>
      <c r="Y29" s="77"/>
      <c r="Z29" s="78"/>
      <c r="AA29" s="77"/>
      <c r="AB29" s="78"/>
      <c r="AC29" s="77"/>
      <c r="AD29" s="78"/>
      <c r="AE29" s="77"/>
      <c r="AF29" s="78"/>
      <c r="AG29" s="77"/>
      <c r="AH29" s="78"/>
      <c r="AI29" s="77"/>
      <c r="AJ29" s="78"/>
      <c r="AK29" s="77"/>
      <c r="AL29" s="78"/>
      <c r="AM29" s="77"/>
      <c r="AN29" s="78"/>
      <c r="AO29" s="77"/>
      <c r="AP29" s="78"/>
      <c r="AQ29" s="77"/>
      <c r="AR29" s="78"/>
      <c r="AS29" s="77"/>
      <c r="AT29" s="78"/>
      <c r="AU29" s="94"/>
      <c r="AV29" s="95"/>
      <c r="AW29" s="77"/>
      <c r="AX29" s="78"/>
      <c r="AY29" s="81"/>
      <c r="AZ29" s="75"/>
      <c r="BA29" s="77"/>
      <c r="BB29" s="78"/>
      <c r="BC29" s="81"/>
      <c r="BD29" s="75"/>
      <c r="BE29" s="77"/>
      <c r="BF29" s="78"/>
      <c r="BG29" s="81"/>
      <c r="BH29" s="75"/>
      <c r="BI29" s="81"/>
      <c r="BJ29" s="75"/>
      <c r="BK29" s="81"/>
      <c r="BL29" s="75"/>
      <c r="BM29" s="81"/>
      <c r="BN29" s="75"/>
      <c r="BO29" s="81"/>
      <c r="BP29" s="75"/>
      <c r="BQ29" s="81"/>
      <c r="BR29" s="75"/>
      <c r="BS29" s="81"/>
      <c r="BT29" s="75"/>
      <c r="BU29" s="81"/>
      <c r="BV29" s="75"/>
      <c r="BW29" s="81"/>
      <c r="BX29" s="75"/>
      <c r="BY29" s="81"/>
      <c r="BZ29" s="75"/>
      <c r="CA29" s="81"/>
      <c r="CB29" s="75"/>
      <c r="CC29" s="81"/>
      <c r="CD29" s="75"/>
      <c r="CE29" s="81"/>
      <c r="CF29" s="75"/>
      <c r="CG29" s="81"/>
      <c r="CH29" s="75"/>
      <c r="CI29" s="81"/>
      <c r="CJ29" s="75"/>
      <c r="CK29" s="81"/>
      <c r="CL29" s="75"/>
      <c r="CM29" s="81"/>
      <c r="CN29" s="75"/>
      <c r="CO29" s="81"/>
      <c r="CP29" s="75"/>
      <c r="CQ29" s="81"/>
      <c r="CR29" s="75"/>
      <c r="CS29" s="81"/>
      <c r="CT29" s="75"/>
      <c r="CU29" s="81"/>
      <c r="CV29" s="75"/>
      <c r="CW29" s="81"/>
      <c r="CX29" s="75"/>
      <c r="CY29" s="82" t="n">
        <f aca="false">W29+Y29+AA29+AC29+AE29+AG29+AI29+AK29+AM29+AO29+AQ29+AS29+AU29+AW29+AY29+BA29+BC29+BE29+BG29+BI29+BK29+BM29+BO29+BQ29+BS29+BU29+BW29+BY29+CA29+CC29+CE29+CG29+CI29+CK29+CM29+CO29+CQ29+CS29+CU29+CW29</f>
        <v>0</v>
      </c>
      <c r="CZ29" s="83" t="n">
        <f aca="false">IF(AND(CY29=0,DC29=0),0,(DF29+DG29)/DC29)</f>
        <v>0</v>
      </c>
      <c r="DA29" s="84" t="n">
        <f aca="false">DC29*DD29</f>
        <v>0</v>
      </c>
      <c r="DB29" s="85" t="n">
        <f aca="false">V29</f>
        <v>37152</v>
      </c>
      <c r="DC29" s="84" t="n">
        <f aca="false">ABS(W29)+ABS(Y29)+ABS(AA29)+ABS(AC29)+ABS(AE29)+ABS(AG29)+ABS(AI29)+ABS(AK29)+ABS(AM29)+ABS(AO29)+ABS(AQ29)+ABS(AS29)+ABS(AU29)+ABS(AW29)+ABS(AY29)+ABS(BA29)+ABS(BC29)+ABS(BE29)+ABS(BG29)+ABS(BI29)+ABS(BK29)+ABS(BM29)+ABS(BO29)+ABS(BQ29)+ABS(BS29)+ABS(BU29)+ABS(BW29)+ABS(BY29)+ABS(CA29)+ABS(CC29)+ABS(CE29)+ABS(CG29)+ABS(CI29)+ABS(CK29)+ABS(CM29)+ABS(CO29)+ABS(CQ29)+ABS(CS29)+ABS(CU29)+ABS(CW29)</f>
        <v>0</v>
      </c>
      <c r="DD29" s="86" t="n">
        <v>16</v>
      </c>
      <c r="DE29" s="84" t="n">
        <v>1</v>
      </c>
      <c r="DF29" s="43" t="n">
        <f aca="false">(ABS(W29)*X29+ABS(Y29)*Z29+ABS(AA29)*AB29+ABS(AC29)*AD29+ABS(AE29)*AF29+ABS(AG29)*AH29+ABS(AI29)*AJ29+ABS(AK29)*AL29+ABS(AM29)*AN29+ABS(AO29)*AP29+ABS(AQ29)*AR29+ABS(AS29)*AT29+ABS(AU29)*AV29+ABS(AW29)*AX29+ABS(AY29)*AZ29+ABS(BA29)*BB29+ABS(BC29)*BD29+ABS(BE29)*BF29+ABS(BG29)*BH29+ABS(BI29)*BJ29)</f>
        <v>0</v>
      </c>
      <c r="DG29" s="43" t="n">
        <f aca="false">ABS(BK29)*BL29+ABS(BM29)*BN29+ABS(BO29)*BP29+ABS(BQ29)*BR29+ABS(BS29)*BT29+ABS(BU29)*BV29+ABS(BW29)*BX29+ABS(BY29)*BZ29+ABS(CA29)*CB29+ABS(CC29)*CD29+ABS(CE29)*CF29+ABS(CG29)*CH29+ABS(CI29)*CJ29+ABS(CK29)*CL29+ABS(CM29)*CN29+ABS(CO29)*CP29+ABS(CQ29)*CR29+ABS(CS29)*CT29+ABS(CU29)*CV29+ABS(CW29)*CX29</f>
        <v>0</v>
      </c>
      <c r="DH29" s="43" t="n">
        <f aca="false">((H29-X29)*W29+(H29-Z29)*Y29+(H29-AB29)*AA29+(H29-AD29)*AC29+(H29-AF29)*AE29+(H29-AH29)*AG29+(H29-AJ29)*AI29+(H29-AL29)*AK29+(H29-AN29)*AM29+(H29-AP29)*AO29+(H29-AR29)*AQ29+(H29-AT29)*AS29+(H29-AV29)*AU29+(H29-AX29)*AW29+(H29-AZ29)*AY29+(H29-BB29)*BA29+(H29-BD29)*BC29+(H29-BF29)*BE29+(H29-BH29)*BG29+(H29-BJ29)*BI29)*DD29*DE29</f>
        <v>0</v>
      </c>
      <c r="DI29" s="43" t="n">
        <f aca="false">(((H29-BL29)*BK29+(H29-BN29)*BM29+(H29-BP29)*BO29+(H29-BR29)*BQ29+(H29-BT29)*BS29+(H29-BV29)*BU29+(H29-BX29)*BW29+(H29-BZ29)*BY29+(H29-CB29)*CA29+(H29-CD29)*CC29+(H29-CF29)*CE29+(H29-CH29)*CG29+(H29-CJ29)*CH29+(H29-CL29)*CK29+(H29-CN29)*CM29+(H29-CP29)*CO29+(H29-CR29)*CQ29+(H29-CT29)*CS29+(H29-CV29)*CU29+(H29-CX29)*CW29)*DD29*DE29)</f>
        <v>0</v>
      </c>
      <c r="DK29" s="85" t="n">
        <v>36856</v>
      </c>
      <c r="DL29" s="21" t="n">
        <v>0</v>
      </c>
      <c r="DM29" s="21" t="n">
        <f aca="false">[5]NEPOOL!$L16</f>
        <v>-1189.7</v>
      </c>
      <c r="DN29" s="21" t="n">
        <f aca="false">IF(AND(WEEKDAY(DK29)&gt;1,WEEKDAY(DK29)&lt;7),1,0)</f>
        <v>0</v>
      </c>
    </row>
    <row r="30" customFormat="false" ht="18.75" hidden="false" customHeight="false" outlineLevel="0" collapsed="false">
      <c r="A30" s="58" t="n">
        <f aca="false">'NYISO A'!A30</f>
        <v>37153</v>
      </c>
      <c r="B30" s="59" t="n">
        <f aca="false">[3]Nepool!$L21/16</f>
        <v>-198.997756958008</v>
      </c>
      <c r="C30" s="60" t="n">
        <f aca="false">CY30</f>
        <v>0</v>
      </c>
      <c r="D30" s="61" t="n">
        <f aca="false">(IF(MONTH(A30)=MONTH(EOMONTH(TradeDate,1)),$AP$69,0)*VLOOKUP(A30,$DK$12:$DN$43,4))</f>
        <v>0</v>
      </c>
      <c r="E30" s="62" t="n">
        <f aca="false">B30+C30+D30</f>
        <v>-198.997756958008</v>
      </c>
      <c r="F30" s="63" t="n">
        <f aca="false">[3]Nepool!$C21</f>
        <v>39</v>
      </c>
      <c r="G30" s="63" t="n">
        <f aca="false">IF($Q$9,Q30,P30)</f>
        <v>0.170000000000002</v>
      </c>
      <c r="H30" s="64" t="n">
        <f aca="false">F30+G30</f>
        <v>39.17</v>
      </c>
      <c r="I30" s="65" t="n">
        <f aca="false">B30*G30*DD30</f>
        <v>-541.273898925787</v>
      </c>
      <c r="J30" s="66" t="n">
        <f aca="false">DH30+DI30</f>
        <v>0</v>
      </c>
      <c r="K30" s="66" t="n">
        <f aca="false">+J30+I30</f>
        <v>-541.273898925787</v>
      </c>
      <c r="L30" s="24"/>
      <c r="M30" s="67" t="n">
        <f aca="false">A30</f>
        <v>37153</v>
      </c>
      <c r="N30" s="92" t="n">
        <v>39.17</v>
      </c>
      <c r="O30" s="92" t="n">
        <v>39.17</v>
      </c>
      <c r="P30" s="69" t="n">
        <f aca="false">AVERAGE(N30:O30)-F30</f>
        <v>0.170000000000002</v>
      </c>
      <c r="Q30" s="70"/>
      <c r="R30" s="91" t="n">
        <f aca="false">H30</f>
        <v>39.17</v>
      </c>
      <c r="S30" s="24"/>
      <c r="T30" s="24"/>
      <c r="U30" s="72"/>
      <c r="V30" s="73" t="n">
        <f aca="false">A30</f>
        <v>37153</v>
      </c>
      <c r="W30" s="77"/>
      <c r="X30" s="78"/>
      <c r="Y30" s="77"/>
      <c r="Z30" s="78"/>
      <c r="AA30" s="77"/>
      <c r="AB30" s="78"/>
      <c r="AC30" s="77"/>
      <c r="AD30" s="78"/>
      <c r="AE30" s="77"/>
      <c r="AF30" s="78"/>
      <c r="AG30" s="77"/>
      <c r="AH30" s="78"/>
      <c r="AI30" s="77"/>
      <c r="AJ30" s="78"/>
      <c r="AK30" s="77"/>
      <c r="AL30" s="78"/>
      <c r="AM30" s="77"/>
      <c r="AN30" s="78"/>
      <c r="AO30" s="77"/>
      <c r="AP30" s="78"/>
      <c r="AQ30" s="77"/>
      <c r="AR30" s="78"/>
      <c r="AS30" s="77"/>
      <c r="AT30" s="78"/>
      <c r="AU30" s="94"/>
      <c r="AV30" s="95"/>
      <c r="AW30" s="77"/>
      <c r="AX30" s="78"/>
      <c r="AY30" s="81"/>
      <c r="AZ30" s="75"/>
      <c r="BA30" s="77"/>
      <c r="BB30" s="78"/>
      <c r="BC30" s="81"/>
      <c r="BD30" s="75"/>
      <c r="BE30" s="77"/>
      <c r="BF30" s="78"/>
      <c r="BG30" s="81"/>
      <c r="BH30" s="75"/>
      <c r="BI30" s="81"/>
      <c r="BJ30" s="75"/>
      <c r="BK30" s="81"/>
      <c r="BL30" s="75"/>
      <c r="BM30" s="81"/>
      <c r="BN30" s="75"/>
      <c r="BO30" s="81"/>
      <c r="BP30" s="75"/>
      <c r="BQ30" s="81"/>
      <c r="BR30" s="75"/>
      <c r="BS30" s="81"/>
      <c r="BT30" s="75"/>
      <c r="BU30" s="81"/>
      <c r="BV30" s="75"/>
      <c r="BW30" s="81"/>
      <c r="BX30" s="75"/>
      <c r="BY30" s="81"/>
      <c r="BZ30" s="75"/>
      <c r="CA30" s="81"/>
      <c r="CB30" s="75"/>
      <c r="CC30" s="81"/>
      <c r="CD30" s="75"/>
      <c r="CE30" s="81"/>
      <c r="CF30" s="75"/>
      <c r="CG30" s="81"/>
      <c r="CH30" s="75"/>
      <c r="CI30" s="81"/>
      <c r="CJ30" s="75"/>
      <c r="CK30" s="81"/>
      <c r="CL30" s="75"/>
      <c r="CM30" s="81"/>
      <c r="CN30" s="75"/>
      <c r="CO30" s="81"/>
      <c r="CP30" s="75"/>
      <c r="CQ30" s="81"/>
      <c r="CR30" s="75"/>
      <c r="CS30" s="81"/>
      <c r="CT30" s="75"/>
      <c r="CU30" s="81"/>
      <c r="CV30" s="75"/>
      <c r="CW30" s="81"/>
      <c r="CX30" s="75"/>
      <c r="CY30" s="82" t="n">
        <f aca="false">W30+Y30+AA30+AC30+AE30+AG30+AI30+AK30+AM30+AO30+AQ30+AS30+AU30+AW30+AY30+BA30+BC30+BE30+BG30+BI30+BK30+BM30+BO30+BQ30+BS30+BU30+BW30+BY30+CA30+CC30+CE30+CG30+CI30+CK30+CM30+CO30+CQ30+CS30+CU30+CW30</f>
        <v>0</v>
      </c>
      <c r="CZ30" s="83" t="n">
        <f aca="false">IF(AND(CY30=0,DC30=0),0,(DF30+DG30)/DC30)</f>
        <v>0</v>
      </c>
      <c r="DA30" s="84" t="n">
        <f aca="false">DC30*DD30</f>
        <v>0</v>
      </c>
      <c r="DB30" s="85" t="n">
        <f aca="false">V30</f>
        <v>37153</v>
      </c>
      <c r="DC30" s="84" t="n">
        <f aca="false">ABS(W30)+ABS(Y30)+ABS(AA30)+ABS(AC30)+ABS(AE30)+ABS(AG30)+ABS(AI30)+ABS(AK30)+ABS(AM30)+ABS(AO30)+ABS(AQ30)+ABS(AS30)+ABS(AU30)+ABS(AW30)+ABS(AY30)+ABS(BA30)+ABS(BC30)+ABS(BE30)+ABS(BG30)+ABS(BI30)+ABS(BK30)+ABS(BM30)+ABS(BO30)+ABS(BQ30)+ABS(BS30)+ABS(BU30)+ABS(BW30)+ABS(BY30)+ABS(CA30)+ABS(CC30)+ABS(CE30)+ABS(CG30)+ABS(CI30)+ABS(CK30)+ABS(CM30)+ABS(CO30)+ABS(CQ30)+ABS(CS30)+ABS(CU30)+ABS(CW30)</f>
        <v>0</v>
      </c>
      <c r="DD30" s="86" t="n">
        <v>16</v>
      </c>
      <c r="DE30" s="84" t="n">
        <v>1</v>
      </c>
      <c r="DF30" s="43" t="n">
        <f aca="false">(ABS(W30)*X30+ABS(Y30)*Z30+ABS(AA30)*AB30+ABS(AC30)*AD30+ABS(AE30)*AF30+ABS(AG30)*AH30+ABS(AI30)*AJ30+ABS(AK30)*AL30+ABS(AM30)*AN30+ABS(AO30)*AP30+ABS(AQ30)*AR30+ABS(AS30)*AT30+ABS(AU30)*AV30+ABS(AW30)*AX30+ABS(AY30)*AZ30+ABS(BA30)*BB30+ABS(BC30)*BD30+ABS(BE30)*BF30+ABS(BG30)*BH30+ABS(BI30)*BJ30)</f>
        <v>0</v>
      </c>
      <c r="DG30" s="43" t="n">
        <f aca="false">ABS(BK30)*BL30+ABS(BM30)*BN30+ABS(BO30)*BP30+ABS(BQ30)*BR30+ABS(BS30)*BT30+ABS(BU30)*BV30+ABS(BW30)*BX30+ABS(BY30)*BZ30+ABS(CA30)*CB30+ABS(CC30)*CD30+ABS(CE30)*CF30+ABS(CG30)*CH30+ABS(CI30)*CJ30+ABS(CK30)*CL30+ABS(CM30)*CN30+ABS(CO30)*CP30+ABS(CQ30)*CR30+ABS(CS30)*CT30+ABS(CU30)*CV30+ABS(CW30)*CX30</f>
        <v>0</v>
      </c>
      <c r="DH30" s="43" t="n">
        <f aca="false">((H30-X30)*W30+(H30-Z30)*Y30+(H30-AB30)*AA30+(H30-AD30)*AC30+(H30-AF30)*AE30+(H30-AH30)*AG30+(H30-AJ30)*AI30+(H30-AL30)*AK30+(H30-AN30)*AM30+(H30-AP30)*AO30+(H30-AR30)*AQ30+(H30-AT30)*AS30+(H30-AV30)*AU30+(H30-AX30)*AW30+(H30-AZ30)*AY30+(H30-BB30)*BA30+(H30-BD30)*BC30+(H30-BF30)*BE30+(H30-BH30)*BG30+(H30-BJ30)*BI30)*DD30*DE30</f>
        <v>0</v>
      </c>
      <c r="DI30" s="43" t="n">
        <f aca="false">(((H30-BL30)*BK30+(H30-BN30)*BM30+(H30-BP30)*BO30+(H30-BR30)*BQ30+(H30-BT30)*BS30+(H30-BV30)*BU30+(H30-BX30)*BW30+(H30-BZ30)*BY30+(H30-CB30)*CA30+(H30-CD30)*CC30+(H30-CF30)*CE30+(H30-CH30)*CG30+(H30-CJ30)*CH30+(H30-CL30)*CK30+(H30-CN30)*CM30+(H30-CP30)*CO30+(H30-CR30)*CQ30+(H30-CT30)*CS30+(H30-CV30)*CU30+(H30-CX30)*CW30)*DD30*DE30)</f>
        <v>0</v>
      </c>
      <c r="DK30" s="85" t="n">
        <v>36857</v>
      </c>
      <c r="DL30" s="21" t="n">
        <v>-49.7253837585449</v>
      </c>
      <c r="DM30" s="21" t="n">
        <f aca="false">[5]NEPOOL!$L17</f>
        <v>-1189.7</v>
      </c>
      <c r="DN30" s="21" t="n">
        <f aca="false">IF(AND(WEEKDAY(DK30)&gt;1,WEEKDAY(DK30)&lt;7),1,0)</f>
        <v>1</v>
      </c>
    </row>
    <row r="31" customFormat="false" ht="18.75" hidden="false" customHeight="false" outlineLevel="0" collapsed="false">
      <c r="A31" s="58" t="n">
        <f aca="false">'NYISO A'!A31</f>
        <v>37154</v>
      </c>
      <c r="B31" s="59" t="n">
        <f aca="false">[3]Nepool!$L22/16</f>
        <v>-198.997756958008</v>
      </c>
      <c r="C31" s="101" t="n">
        <f aca="false">CY31</f>
        <v>0</v>
      </c>
      <c r="D31" s="87" t="n">
        <f aca="false">(IF(MONTH(A31)=MONTH(EOMONTH(TradeDate,1)),$AP$69,0)*VLOOKUP(A31,$DK$12:$DN$43,4))</f>
        <v>0</v>
      </c>
      <c r="E31" s="62" t="n">
        <f aca="false">B31+C31+D31</f>
        <v>-198.997756958008</v>
      </c>
      <c r="F31" s="63" t="n">
        <f aca="false">[3]Nepool!$C22</f>
        <v>39</v>
      </c>
      <c r="G31" s="88" t="n">
        <f aca="false">IF($Q$9,Q31,P31)</f>
        <v>0.170000000000002</v>
      </c>
      <c r="H31" s="89" t="n">
        <f aca="false">F31+G31</f>
        <v>39.17</v>
      </c>
      <c r="I31" s="87" t="n">
        <f aca="false">B31*G31*DD31</f>
        <v>-541.273898925787</v>
      </c>
      <c r="J31" s="66" t="n">
        <f aca="false">DH31+DI31</f>
        <v>0</v>
      </c>
      <c r="K31" s="90" t="n">
        <f aca="false">+J31+I31</f>
        <v>-541.273898925787</v>
      </c>
      <c r="L31" s="24"/>
      <c r="M31" s="67" t="n">
        <f aca="false">A31</f>
        <v>37154</v>
      </c>
      <c r="N31" s="92" t="n">
        <v>39.17</v>
      </c>
      <c r="O31" s="92" t="n">
        <v>39.17</v>
      </c>
      <c r="P31" s="69" t="n">
        <f aca="false">AVERAGE(N31:O31)-F31</f>
        <v>0.170000000000002</v>
      </c>
      <c r="Q31" s="70"/>
      <c r="R31" s="91" t="n">
        <f aca="false">H31</f>
        <v>39.17</v>
      </c>
      <c r="S31" s="24"/>
      <c r="T31" s="24"/>
      <c r="U31" s="72"/>
      <c r="V31" s="73" t="n">
        <f aca="false">A31</f>
        <v>37154</v>
      </c>
      <c r="W31" s="77"/>
      <c r="X31" s="78"/>
      <c r="Y31" s="77"/>
      <c r="Z31" s="78"/>
      <c r="AA31" s="77"/>
      <c r="AB31" s="78"/>
      <c r="AC31" s="77"/>
      <c r="AD31" s="78"/>
      <c r="AE31" s="77"/>
      <c r="AF31" s="78"/>
      <c r="AG31" s="77"/>
      <c r="AH31" s="78"/>
      <c r="AI31" s="77"/>
      <c r="AJ31" s="78"/>
      <c r="AK31" s="77"/>
      <c r="AL31" s="78"/>
      <c r="AM31" s="77"/>
      <c r="AN31" s="78"/>
      <c r="AO31" s="77"/>
      <c r="AP31" s="78"/>
      <c r="AQ31" s="77"/>
      <c r="AR31" s="97"/>
      <c r="AS31" s="77"/>
      <c r="AT31" s="78"/>
      <c r="AU31" s="94"/>
      <c r="AV31" s="95"/>
      <c r="AW31" s="77"/>
      <c r="AX31" s="78"/>
      <c r="AY31" s="81"/>
      <c r="AZ31" s="75"/>
      <c r="BA31" s="77"/>
      <c r="BB31" s="78"/>
      <c r="BC31" s="81"/>
      <c r="BD31" s="75"/>
      <c r="BE31" s="77"/>
      <c r="BF31" s="78"/>
      <c r="BG31" s="81"/>
      <c r="BH31" s="75"/>
      <c r="BI31" s="81"/>
      <c r="BJ31" s="75"/>
      <c r="BK31" s="81"/>
      <c r="BL31" s="75"/>
      <c r="BM31" s="81"/>
      <c r="BN31" s="75"/>
      <c r="BO31" s="81"/>
      <c r="BP31" s="75"/>
      <c r="BQ31" s="81"/>
      <c r="BR31" s="75"/>
      <c r="BS31" s="81"/>
      <c r="BT31" s="75"/>
      <c r="BU31" s="81"/>
      <c r="BV31" s="75"/>
      <c r="BW31" s="81"/>
      <c r="BX31" s="75"/>
      <c r="BY31" s="81"/>
      <c r="BZ31" s="75"/>
      <c r="CA31" s="81"/>
      <c r="CB31" s="75"/>
      <c r="CC31" s="81"/>
      <c r="CD31" s="75"/>
      <c r="CE31" s="81"/>
      <c r="CF31" s="75"/>
      <c r="CG31" s="81"/>
      <c r="CH31" s="75"/>
      <c r="CI31" s="81"/>
      <c r="CJ31" s="75"/>
      <c r="CK31" s="81"/>
      <c r="CL31" s="75"/>
      <c r="CM31" s="81"/>
      <c r="CN31" s="75"/>
      <c r="CO31" s="81"/>
      <c r="CP31" s="75"/>
      <c r="CQ31" s="81"/>
      <c r="CR31" s="75"/>
      <c r="CS31" s="81"/>
      <c r="CT31" s="75"/>
      <c r="CU31" s="81"/>
      <c r="CV31" s="75"/>
      <c r="CW31" s="81"/>
      <c r="CX31" s="75"/>
      <c r="CY31" s="82" t="n">
        <f aca="false">W31+Y31+AA31+AC31+AE31+AG31+AI31+AK31+AM31+AO31+AQ31+AS31+AU31+AW31+AY31+BA31+BC31+BE31+BG31+BI31+BK31+BM31+BO31+BQ31+BS31+BU31+BW31+BY31+CA31+CC31+CE31+CG31+CI31+CK31+CM31+CO31+CQ31+CS31+CU31+CW31</f>
        <v>0</v>
      </c>
      <c r="CZ31" s="83" t="n">
        <f aca="false">IF(AND(CY31=0,DC31=0),0,(DF31+DG31)/DC31)</f>
        <v>0</v>
      </c>
      <c r="DA31" s="84" t="n">
        <f aca="false">DC31*DD31</f>
        <v>0</v>
      </c>
      <c r="DB31" s="85" t="n">
        <f aca="false">V31</f>
        <v>37154</v>
      </c>
      <c r="DC31" s="84" t="n">
        <f aca="false">ABS(W31)+ABS(Y31)+ABS(AA31)+ABS(AC31)+ABS(AE31)+ABS(AG31)+ABS(AI31)+ABS(AK31)+ABS(AM31)+ABS(AO31)+ABS(AQ31)+ABS(AS31)+ABS(AU31)+ABS(AW31)+ABS(AY31)+ABS(BA31)+ABS(BC31)+ABS(BE31)+ABS(BG31)+ABS(BI31)+ABS(BK31)+ABS(BM31)+ABS(BO31)+ABS(BQ31)+ABS(BS31)+ABS(BU31)+ABS(BW31)+ABS(BY31)+ABS(CA31)+ABS(CC31)+ABS(CE31)+ABS(CG31)+ABS(CI31)+ABS(CK31)+ABS(CM31)+ABS(CO31)+ABS(CQ31)+ABS(CS31)+ABS(CU31)+ABS(CW31)</f>
        <v>0</v>
      </c>
      <c r="DD31" s="86" t="n">
        <v>16</v>
      </c>
      <c r="DE31" s="84" t="n">
        <v>1</v>
      </c>
      <c r="DF31" s="43" t="n">
        <f aca="false">(ABS(W31)*X31+ABS(Y31)*Z31+ABS(AA31)*AB31+ABS(AC31)*AD31+ABS(AE31)*AF31+ABS(AG31)*AH31+ABS(AI31)*AJ31+ABS(AK31)*AL31+ABS(AM31)*AN31+ABS(AO31)*AP31+ABS(AQ31)*AR31+ABS(AS31)*AT31+ABS(AU31)*AV31+ABS(AW31)*AX31+ABS(AY31)*AZ31+ABS(BA31)*BB31+ABS(BC31)*BD31+ABS(BE31)*BF31+ABS(BG31)*BH31+ABS(BI31)*BJ31)</f>
        <v>0</v>
      </c>
      <c r="DG31" s="43" t="n">
        <f aca="false">ABS(BK31)*BL31+ABS(BM31)*BN31+ABS(BO31)*BP31+ABS(BQ31)*BR31+ABS(BS31)*BT31+ABS(BU31)*BV31+ABS(BW31)*BX31+ABS(BY31)*BZ31+ABS(CA31)*CB31+ABS(CC31)*CD31+ABS(CE31)*CF31+ABS(CG31)*CH31+ABS(CI31)*CJ31+ABS(CK31)*CL31+ABS(CM31)*CN31+ABS(CO31)*CP31+ABS(CQ31)*CR31+ABS(CS31)*CT31+ABS(CU31)*CV31+ABS(CW31)*CX31</f>
        <v>0</v>
      </c>
      <c r="DH31" s="43" t="n">
        <f aca="false">((H31-X31)*W31+(H31-Z31)*Y31+(H31-AB31)*AA31+(H31-AD31)*AC31+(H31-AF31)*AE31+(H31-AH31)*AG31+(H31-AJ31)*AI31+(H31-AL31)*AK31+(H31-AN31)*AM31+(H31-AP31)*AO31+(H31-AR31)*AQ31+(H31-AT31)*AS31+(H31-AV31)*AU31+(H31-AX31)*AW31+(H31-AZ31)*AY31+(H31-BB31)*BA31+(H31-BD31)*BC31+(H31-BF31)*BE31+(H31-BH31)*BG31+(H31-BJ31)*BI31)*DD31*DE31</f>
        <v>0</v>
      </c>
      <c r="DI31" s="43" t="n">
        <f aca="false">(((H31-BL31)*BK31+(H31-BN31)*BM31+(H31-BP31)*BO31+(H31-BR31)*BQ31+(H31-BT31)*BS31+(H31-BV31)*BU31+(H31-BX31)*BW31+(H31-BZ31)*BY31+(H31-CB31)*CA31+(H31-CD31)*CC31+(H31-CF31)*CE31+(H31-CH31)*CG31+(H31-CJ31)*CH31+(H31-CL31)*CK31+(H31-CN31)*CM31+(H31-CP31)*CO31+(H31-CR31)*CQ31+(H31-CT31)*CS31+(H31-CV31)*CU31+(H31-CX31)*CW31)*DD31*DE31)</f>
        <v>0</v>
      </c>
      <c r="DK31" s="85" t="n">
        <v>36858</v>
      </c>
      <c r="DL31" s="21" t="n">
        <v>-49.7253837585449</v>
      </c>
      <c r="DM31" s="21" t="n">
        <f aca="false">[5]NEPOOL!$L18</f>
        <v>-1189.7</v>
      </c>
      <c r="DN31" s="21" t="n">
        <f aca="false">IF(AND(WEEKDAY(DK31)&gt;1,WEEKDAY(DK31)&lt;7),1,0)</f>
        <v>1</v>
      </c>
    </row>
    <row r="32" customFormat="false" ht="18.75" hidden="false" customHeight="false" outlineLevel="0" collapsed="false">
      <c r="A32" s="58" t="n">
        <f aca="false">'NYISO A'!A32</f>
        <v>37155</v>
      </c>
      <c r="B32" s="59" t="n">
        <f aca="false">[3]Nepool!$L23/16</f>
        <v>-198.997756958008</v>
      </c>
      <c r="C32" s="60" t="n">
        <f aca="false">CY32</f>
        <v>0</v>
      </c>
      <c r="D32" s="61" t="n">
        <f aca="false">(IF(MONTH(A32)=MONTH(EOMONTH(TradeDate,1)),$AP$69,0)*VLOOKUP(A32,$DK$12:$DN$43,4))</f>
        <v>0</v>
      </c>
      <c r="E32" s="62" t="n">
        <f aca="false">B32+C32+D32</f>
        <v>-198.997756958008</v>
      </c>
      <c r="F32" s="63" t="n">
        <f aca="false">[3]Nepool!$C23</f>
        <v>39</v>
      </c>
      <c r="G32" s="63" t="n">
        <f aca="false">IF($Q$9,Q32,P32)</f>
        <v>0.170000000000002</v>
      </c>
      <c r="H32" s="64" t="n">
        <f aca="false">F32+G32</f>
        <v>39.17</v>
      </c>
      <c r="I32" s="65" t="n">
        <f aca="false">B32*G32*DD32</f>
        <v>-541.273898925787</v>
      </c>
      <c r="J32" s="66" t="n">
        <f aca="false">DH32+DI32</f>
        <v>0</v>
      </c>
      <c r="K32" s="66" t="n">
        <f aca="false">+J32+I32</f>
        <v>-541.273898925787</v>
      </c>
      <c r="L32" s="24"/>
      <c r="M32" s="67" t="n">
        <f aca="false">A32</f>
        <v>37155</v>
      </c>
      <c r="N32" s="92" t="n">
        <v>39.17</v>
      </c>
      <c r="O32" s="92" t="n">
        <v>39.17</v>
      </c>
      <c r="P32" s="69" t="n">
        <f aca="false">AVERAGE(N32:O32)-F32</f>
        <v>0.170000000000002</v>
      </c>
      <c r="Q32" s="70"/>
      <c r="R32" s="91" t="n">
        <f aca="false">H32</f>
        <v>39.17</v>
      </c>
      <c r="S32" s="24"/>
      <c r="T32" s="24"/>
      <c r="U32" s="72"/>
      <c r="V32" s="73" t="n">
        <f aca="false">A32</f>
        <v>37155</v>
      </c>
      <c r="W32" s="77"/>
      <c r="X32" s="78"/>
      <c r="Y32" s="77"/>
      <c r="Z32" s="78"/>
      <c r="AA32" s="77"/>
      <c r="AB32" s="78"/>
      <c r="AC32" s="77"/>
      <c r="AD32" s="78"/>
      <c r="AE32" s="77"/>
      <c r="AF32" s="78"/>
      <c r="AG32" s="77"/>
      <c r="AH32" s="78"/>
      <c r="AI32" s="77"/>
      <c r="AJ32" s="78"/>
      <c r="AK32" s="77"/>
      <c r="AL32" s="78"/>
      <c r="AM32" s="77"/>
      <c r="AN32" s="78"/>
      <c r="AO32" s="77"/>
      <c r="AP32" s="78"/>
      <c r="AQ32" s="77"/>
      <c r="AR32" s="97"/>
      <c r="AS32" s="77"/>
      <c r="AT32" s="78"/>
      <c r="AU32" s="94"/>
      <c r="AV32" s="95"/>
      <c r="AW32" s="77"/>
      <c r="AX32" s="78"/>
      <c r="AY32" s="81"/>
      <c r="AZ32" s="75"/>
      <c r="BA32" s="77"/>
      <c r="BB32" s="78"/>
      <c r="BC32" s="81"/>
      <c r="BD32" s="75"/>
      <c r="BE32" s="77"/>
      <c r="BF32" s="78"/>
      <c r="BG32" s="81"/>
      <c r="BH32" s="75"/>
      <c r="BI32" s="81"/>
      <c r="BJ32" s="75"/>
      <c r="BK32" s="81"/>
      <c r="BL32" s="75"/>
      <c r="BM32" s="81"/>
      <c r="BN32" s="75"/>
      <c r="BO32" s="81"/>
      <c r="BP32" s="75"/>
      <c r="BQ32" s="81"/>
      <c r="BR32" s="75"/>
      <c r="BS32" s="81"/>
      <c r="BT32" s="75"/>
      <c r="BU32" s="81"/>
      <c r="BV32" s="75"/>
      <c r="BW32" s="81"/>
      <c r="BX32" s="75"/>
      <c r="BY32" s="81"/>
      <c r="BZ32" s="75"/>
      <c r="CA32" s="81"/>
      <c r="CB32" s="75"/>
      <c r="CC32" s="81"/>
      <c r="CD32" s="75"/>
      <c r="CE32" s="81"/>
      <c r="CF32" s="75"/>
      <c r="CG32" s="81"/>
      <c r="CH32" s="75"/>
      <c r="CI32" s="81"/>
      <c r="CJ32" s="75"/>
      <c r="CK32" s="81"/>
      <c r="CL32" s="75"/>
      <c r="CM32" s="81"/>
      <c r="CN32" s="75"/>
      <c r="CO32" s="81"/>
      <c r="CP32" s="75"/>
      <c r="CQ32" s="81"/>
      <c r="CR32" s="75"/>
      <c r="CS32" s="81"/>
      <c r="CT32" s="75"/>
      <c r="CU32" s="81"/>
      <c r="CV32" s="75"/>
      <c r="CW32" s="81"/>
      <c r="CX32" s="75"/>
      <c r="CY32" s="82" t="n">
        <f aca="false">W32+Y32+AA32+AC32+AE32+AG32+AI32+AK32+AM32+AO32+AQ32+AS32+AU32+AW32+AY32+BA32+BC32+BE32+BG32+BI32+BK32+BM32+BO32+BQ32+BS32+BU32+BW32+BY32+CA32+CC32+CE32+CG32+CI32+CK32+CM32+CO32+CQ32+CS32+CU32+CW32</f>
        <v>0</v>
      </c>
      <c r="CZ32" s="83" t="n">
        <f aca="false">IF(AND(CY32=0,DC32=0),0,(DF32+DG32)/DC32)</f>
        <v>0</v>
      </c>
      <c r="DA32" s="84" t="n">
        <f aca="false">DC32*DD32</f>
        <v>0</v>
      </c>
      <c r="DB32" s="85" t="n">
        <f aca="false">V32</f>
        <v>37155</v>
      </c>
      <c r="DC32" s="84" t="n">
        <f aca="false">ABS(W32)+ABS(Y32)+ABS(AA32)+ABS(AC32)+ABS(AE32)+ABS(AG32)+ABS(AI32)+ABS(AK32)+ABS(AM32)+ABS(AO32)+ABS(AQ32)+ABS(AS32)+ABS(AU32)+ABS(AW32)+ABS(AY32)+ABS(BA32)+ABS(BC32)+ABS(BE32)+ABS(BG32)+ABS(BI32)+ABS(BK32)+ABS(BM32)+ABS(BO32)+ABS(BQ32)+ABS(BS32)+ABS(BU32)+ABS(BW32)+ABS(BY32)+ABS(CA32)+ABS(CC32)+ABS(CE32)+ABS(CG32)+ABS(CI32)+ABS(CK32)+ABS(CM32)+ABS(CO32)+ABS(CQ32)+ABS(CS32)+ABS(CU32)+ABS(CW32)</f>
        <v>0</v>
      </c>
      <c r="DD32" s="86" t="n">
        <v>16</v>
      </c>
      <c r="DE32" s="84" t="n">
        <v>1</v>
      </c>
      <c r="DF32" s="43" t="n">
        <f aca="false">(ABS(W32)*X32+ABS(Y32)*Z32+ABS(AA32)*AB32+ABS(AC32)*AD32+ABS(AE32)*AF32+ABS(AG32)*AH32+ABS(AI32)*AJ32+ABS(AK32)*AL32+ABS(AM32)*AN32+ABS(AO32)*AP32+ABS(AQ32)*AR32+ABS(AS32)*AT32+ABS(AU32)*AV32+ABS(AW32)*AX32+ABS(AY32)*AZ32+ABS(BA32)*BB32+ABS(BC32)*BD32+ABS(BE32)*BF32+ABS(BG32)*BH32+ABS(BI32)*BJ32)</f>
        <v>0</v>
      </c>
      <c r="DG32" s="43" t="n">
        <f aca="false">ABS(BK32)*BL32+ABS(BM32)*BN32+ABS(BO32)*BP32+ABS(BQ32)*BR32+ABS(BS32)*BT32+ABS(BU32)*BV32+ABS(BW32)*BX32+ABS(BY32)*BZ32+ABS(CA32)*CB32+ABS(CC32)*CD32+ABS(CE32)*CF32+ABS(CG32)*CH32+ABS(CI32)*CJ32+ABS(CK32)*CL32+ABS(CM32)*CN32+ABS(CO32)*CP32+ABS(CQ32)*CR32+ABS(CS32)*CT32+ABS(CU32)*CV32+ABS(CW32)*CX32</f>
        <v>0</v>
      </c>
      <c r="DH32" s="43" t="n">
        <f aca="false">((H32-X32)*W32+(H32-Z32)*Y32+(H32-AB32)*AA32+(H32-AD32)*AC32+(H32-AF32)*AE32+(H32-AH32)*AG32+(H32-AJ32)*AI32+(H32-AL32)*AK32+(H32-AN32)*AM32+(H32-AP32)*AO32+(H32-AR32)*AQ32+(H32-AT32)*AS32+(H32-AV32)*AU32+(H32-AX32)*AW32+(H32-AZ32)*AY32+(H32-BB32)*BA32+(H32-BD32)*BC32+(H32-BF32)*BE32+(H32-BH32)*BG32+(H32-BJ32)*BI32)*DD32*DE32</f>
        <v>0</v>
      </c>
      <c r="DI32" s="43" t="n">
        <f aca="false">(((H32-BL32)*BK32+(H32-BN32)*BM32+(H32-BP32)*BO32+(H32-BR32)*BQ32+(H32-BT32)*BS32+(H32-BV32)*BU32+(H32-BX32)*BW32+(H32-BZ32)*BY32+(H32-CB32)*CA32+(H32-CD32)*CC32+(H32-CF32)*CE32+(H32-CH32)*CG32+(H32-CJ32)*CH32+(H32-CL32)*CK32+(H32-CN32)*CM32+(H32-CP32)*CO32+(H32-CR32)*CQ32+(H32-CT32)*CS32+(H32-CV32)*CU32+(H32-CX32)*CW32)*DD32*DE32)</f>
        <v>0</v>
      </c>
      <c r="DK32" s="85" t="n">
        <v>36859</v>
      </c>
      <c r="DL32" s="21" t="n">
        <v>-49.7253837585449</v>
      </c>
      <c r="DM32" s="21" t="n">
        <f aca="false">[5]NEPOOL!$L19</f>
        <v>-1189.7</v>
      </c>
      <c r="DN32" s="21" t="n">
        <f aca="false">IF(AND(WEEKDAY(DK32)&gt;1,WEEKDAY(DK32)&lt;7),1,0)</f>
        <v>1</v>
      </c>
    </row>
    <row r="33" customFormat="false" ht="18.75" hidden="false" customHeight="false" outlineLevel="0" collapsed="false">
      <c r="A33" s="58" t="n">
        <f aca="false">'NYISO A'!A33</f>
        <v>37156</v>
      </c>
      <c r="B33" s="59" t="n">
        <f aca="false">[3]Nepool!$L24/16</f>
        <v>0</v>
      </c>
      <c r="C33" s="101" t="n">
        <f aca="false">CY33</f>
        <v>0</v>
      </c>
      <c r="D33" s="87" t="n">
        <f aca="false">(IF(MONTH(A33)=MONTH(EOMONTH(TradeDate,1)),$AP$69,0)*VLOOKUP(A33,$DK$12:$DN$43,4))</f>
        <v>0</v>
      </c>
      <c r="E33" s="62" t="n">
        <f aca="false">B33+C33+D33</f>
        <v>0</v>
      </c>
      <c r="F33" s="63" t="n">
        <f aca="false">[3]Nepool!$C24</f>
        <v>35</v>
      </c>
      <c r="G33" s="88" t="n">
        <f aca="false">IF($Q$9,Q33,P33)</f>
        <v>4.17</v>
      </c>
      <c r="H33" s="89" t="n">
        <f aca="false">F33+G33</f>
        <v>39.17</v>
      </c>
      <c r="I33" s="87" t="n">
        <f aca="false">B33*G33*DD33</f>
        <v>0</v>
      </c>
      <c r="J33" s="66" t="n">
        <f aca="false">DH33+DI33</f>
        <v>0</v>
      </c>
      <c r="K33" s="90" t="n">
        <f aca="false">+J33+I33</f>
        <v>0</v>
      </c>
      <c r="L33" s="24"/>
      <c r="M33" s="67" t="n">
        <f aca="false">A33</f>
        <v>37156</v>
      </c>
      <c r="N33" s="92" t="n">
        <v>39.17</v>
      </c>
      <c r="O33" s="92" t="n">
        <v>39.17</v>
      </c>
      <c r="P33" s="69" t="n">
        <f aca="false">AVERAGE(N33:O33)-F33</f>
        <v>4.17</v>
      </c>
      <c r="Q33" s="70"/>
      <c r="R33" s="91" t="n">
        <f aca="false">H33</f>
        <v>39.17</v>
      </c>
      <c r="S33" s="24"/>
      <c r="T33" s="24"/>
      <c r="U33" s="72"/>
      <c r="V33" s="73" t="n">
        <f aca="false">A33</f>
        <v>37156</v>
      </c>
      <c r="W33" s="77"/>
      <c r="X33" s="78"/>
      <c r="Y33" s="77"/>
      <c r="Z33" s="78"/>
      <c r="AA33" s="77"/>
      <c r="AB33" s="78"/>
      <c r="AC33" s="77"/>
      <c r="AD33" s="78"/>
      <c r="AE33" s="77"/>
      <c r="AF33" s="78"/>
      <c r="AG33" s="77"/>
      <c r="AH33" s="78"/>
      <c r="AI33" s="77"/>
      <c r="AJ33" s="78"/>
      <c r="AK33" s="77"/>
      <c r="AL33" s="78"/>
      <c r="AM33" s="77"/>
      <c r="AN33" s="78"/>
      <c r="AO33" s="77"/>
      <c r="AP33" s="78"/>
      <c r="AQ33" s="77"/>
      <c r="AR33" s="97"/>
      <c r="AS33" s="77"/>
      <c r="AT33" s="78"/>
      <c r="AU33" s="94"/>
      <c r="AV33" s="95"/>
      <c r="AW33" s="77"/>
      <c r="AX33" s="78"/>
      <c r="AY33" s="81"/>
      <c r="AZ33" s="75"/>
      <c r="BA33" s="77"/>
      <c r="BB33" s="99"/>
      <c r="BC33" s="81"/>
      <c r="BD33" s="75"/>
      <c r="BE33" s="77"/>
      <c r="BF33" s="78"/>
      <c r="BG33" s="81"/>
      <c r="BH33" s="75"/>
      <c r="BI33" s="81"/>
      <c r="BJ33" s="75"/>
      <c r="BK33" s="81"/>
      <c r="BL33" s="75"/>
      <c r="BM33" s="81"/>
      <c r="BN33" s="75"/>
      <c r="BO33" s="81"/>
      <c r="BP33" s="75"/>
      <c r="BQ33" s="81"/>
      <c r="BR33" s="75"/>
      <c r="BS33" s="81"/>
      <c r="BT33" s="75"/>
      <c r="BU33" s="81"/>
      <c r="BV33" s="75"/>
      <c r="BW33" s="81"/>
      <c r="BX33" s="75"/>
      <c r="BY33" s="81"/>
      <c r="BZ33" s="75"/>
      <c r="CA33" s="81"/>
      <c r="CB33" s="75"/>
      <c r="CC33" s="81"/>
      <c r="CD33" s="75"/>
      <c r="CE33" s="81"/>
      <c r="CF33" s="75"/>
      <c r="CG33" s="81"/>
      <c r="CH33" s="75"/>
      <c r="CI33" s="81"/>
      <c r="CJ33" s="75"/>
      <c r="CK33" s="81"/>
      <c r="CL33" s="75"/>
      <c r="CM33" s="81"/>
      <c r="CN33" s="75"/>
      <c r="CO33" s="81"/>
      <c r="CP33" s="75"/>
      <c r="CQ33" s="81"/>
      <c r="CR33" s="75"/>
      <c r="CS33" s="81"/>
      <c r="CT33" s="75"/>
      <c r="CU33" s="81"/>
      <c r="CV33" s="75"/>
      <c r="CW33" s="81"/>
      <c r="CX33" s="75"/>
      <c r="CY33" s="82" t="n">
        <f aca="false">W33+Y33+AA33+AC33+AE33+AG33+AI33+AK33+AM33+AO33+AQ33+AS33+AU33+AW33+AY33+BA33+BC33+BE33+BG33+BI33+BK33+BM33+BO33+BQ33+BS33+BU33+BW33+BY33+CA33+CC33+CE33+CG33+CI33+CK33+CM33+CO33+CQ33+CS33+CU33+CW33</f>
        <v>0</v>
      </c>
      <c r="CZ33" s="83" t="n">
        <f aca="false">IF(AND(CY33=0,DC33=0),0,(DF33+DG33)/DC33)</f>
        <v>0</v>
      </c>
      <c r="DA33" s="84" t="n">
        <f aca="false">DC33*DD33</f>
        <v>0</v>
      </c>
      <c r="DB33" s="85" t="n">
        <f aca="false">V33</f>
        <v>37156</v>
      </c>
      <c r="DC33" s="84" t="n">
        <f aca="false">ABS(W33)+ABS(Y33)+ABS(AA33)+ABS(AC33)+ABS(AE33)+ABS(AG33)+ABS(AI33)+ABS(AK33)+ABS(AM33)+ABS(AO33)+ABS(AQ33)+ABS(AS33)+ABS(AU33)+ABS(AW33)+ABS(AY33)+ABS(BA33)+ABS(BC33)+ABS(BE33)+ABS(BG33)+ABS(BI33)+ABS(BK33)+ABS(BM33)+ABS(BO33)+ABS(BQ33)+ABS(BS33)+ABS(BU33)+ABS(BW33)+ABS(BY33)+ABS(CA33)+ABS(CC33)+ABS(CE33)+ABS(CG33)+ABS(CI33)+ABS(CK33)+ABS(CM33)+ABS(CO33)+ABS(CQ33)+ABS(CS33)+ABS(CU33)+ABS(CW33)</f>
        <v>0</v>
      </c>
      <c r="DD33" s="86" t="n">
        <v>16</v>
      </c>
      <c r="DE33" s="84" t="n">
        <v>1</v>
      </c>
      <c r="DF33" s="43" t="n">
        <f aca="false">(ABS(W33)*X33+ABS(Y33)*Z33+ABS(AA33)*AB33+ABS(AC33)*AD33+ABS(AE33)*AF33+ABS(AG33)*AH33+ABS(AI33)*AJ33+ABS(AK33)*AL33+ABS(AM33)*AN33+ABS(AO33)*AP33+ABS(AQ33)*AR33+ABS(AS33)*AT33+ABS(AU33)*AV33+ABS(AW33)*AX33+ABS(AY33)*AZ33+ABS(BA33)*BB33+ABS(BC33)*BD33+ABS(BE33)*BF33+ABS(BG33)*BH33+ABS(BI33)*BJ33)</f>
        <v>0</v>
      </c>
      <c r="DG33" s="43" t="n">
        <f aca="false">ABS(BK33)*BL33+ABS(BM33)*BN33+ABS(BO33)*BP33+ABS(BQ33)*BR33+ABS(BS33)*BT33+ABS(BU33)*BV33+ABS(BW33)*BX33+ABS(BY33)*BZ33+ABS(CA33)*CB33+ABS(CC33)*CD33+ABS(CE33)*CF33+ABS(CG33)*CH33+ABS(CI33)*CJ33+ABS(CK33)*CL33+ABS(CM33)*CN33+ABS(CO33)*CP33+ABS(CQ33)*CR33+ABS(CS33)*CT33+ABS(CU33)*CV33+ABS(CW33)*CX33</f>
        <v>0</v>
      </c>
      <c r="DH33" s="43" t="n">
        <f aca="false">((H33-X33)*W33+(H33-Z33)*Y33+(H33-AB33)*AA33+(H33-AD33)*AC33+(H33-AF33)*AE33+(H33-AH33)*AG33+(H33-AJ33)*AI33+(H33-AL33)*AK33+(H33-AN33)*AM33+(H33-AP33)*AO33+(H33-AR33)*AQ33+(H33-AT33)*AS33+(H33-AV33)*AU33+(H33-AX33)*AW33+(H33-AZ33)*AY33+(H33-BB33)*BA33+(H33-BD33)*BC33+(H33-BF33)*BE33+(H33-BH33)*BG33+(H33-BJ33)*BI33)*DD33*DE33</f>
        <v>0</v>
      </c>
      <c r="DI33" s="43" t="n">
        <f aca="false">(((H33-BL33)*BK33+(H33-BN33)*BM33+(H33-BP33)*BO33+(H33-BR33)*BQ33+(H33-BT33)*BS33+(H33-BV33)*BU33+(H33-BX33)*BW33+(H33-BZ33)*BY33+(H33-CB33)*CA33+(H33-CD33)*CC33+(H33-CF33)*CE33+(H33-CH33)*CG33+(H33-CJ33)*CH33+(H33-CL33)*CK33+(H33-CN33)*CM33+(H33-CP33)*CO33+(H33-CR33)*CQ33+(H33-CT33)*CS33+(H33-CV33)*CU33+(H33-CX33)*CW33)*DD33*DE33)</f>
        <v>0</v>
      </c>
      <c r="DK33" s="85" t="n">
        <v>36860</v>
      </c>
      <c r="DL33" s="21" t="n">
        <v>-49.7253837585449</v>
      </c>
      <c r="DM33" s="21" t="n">
        <f aca="false">[5]NEPOOL!$L20</f>
        <v>-1189.7</v>
      </c>
      <c r="DN33" s="21" t="n">
        <f aca="false">IF(AND(WEEKDAY(DK33)&gt;1,WEEKDAY(DK33)&lt;7),1,0)</f>
        <v>1</v>
      </c>
    </row>
    <row r="34" customFormat="false" ht="18.75" hidden="false" customHeight="false" outlineLevel="0" collapsed="false">
      <c r="A34" s="58" t="n">
        <f aca="false">'NYISO A'!A34</f>
        <v>37157</v>
      </c>
      <c r="B34" s="59" t="n">
        <f aca="false">[3]Nepool!$L25/16</f>
        <v>0</v>
      </c>
      <c r="C34" s="60" t="n">
        <f aca="false">CY34</f>
        <v>0</v>
      </c>
      <c r="D34" s="61" t="n">
        <f aca="false">(IF(MONTH(A34)=MONTH(EOMONTH(TradeDate,1)),$AP$69,0)*VLOOKUP(A34,$DK$12:$DN$43,4))</f>
        <v>0</v>
      </c>
      <c r="E34" s="62" t="n">
        <f aca="false">B34+C34+D34</f>
        <v>0</v>
      </c>
      <c r="F34" s="63" t="n">
        <f aca="false">[3]Nepool!$C25</f>
        <v>35</v>
      </c>
      <c r="G34" s="63" t="n">
        <f aca="false">IF($Q$9,Q34,P34)</f>
        <v>4.17</v>
      </c>
      <c r="H34" s="64" t="n">
        <f aca="false">F34+G34</f>
        <v>39.17</v>
      </c>
      <c r="I34" s="65" t="n">
        <f aca="false">B34*G34*DD34</f>
        <v>0</v>
      </c>
      <c r="J34" s="66" t="n">
        <f aca="false">DH34+DI34</f>
        <v>0</v>
      </c>
      <c r="K34" s="66" t="n">
        <f aca="false">+J34+I34</f>
        <v>0</v>
      </c>
      <c r="L34" s="24"/>
      <c r="M34" s="67" t="n">
        <f aca="false">A34</f>
        <v>37157</v>
      </c>
      <c r="N34" s="92" t="n">
        <v>39.17</v>
      </c>
      <c r="O34" s="92" t="n">
        <v>39.17</v>
      </c>
      <c r="P34" s="69" t="n">
        <f aca="false">AVERAGE(N34:O34)-F34</f>
        <v>4.17</v>
      </c>
      <c r="Q34" s="70"/>
      <c r="R34" s="91" t="n">
        <f aca="false">H34</f>
        <v>39.17</v>
      </c>
      <c r="S34" s="24"/>
      <c r="T34" s="24"/>
      <c r="U34" s="72"/>
      <c r="V34" s="73" t="n">
        <f aca="false">A34</f>
        <v>37157</v>
      </c>
      <c r="W34" s="77"/>
      <c r="X34" s="78"/>
      <c r="Y34" s="77"/>
      <c r="Z34" s="78"/>
      <c r="AA34" s="77"/>
      <c r="AB34" s="78"/>
      <c r="AC34" s="77"/>
      <c r="AD34" s="78"/>
      <c r="AE34" s="77"/>
      <c r="AF34" s="78"/>
      <c r="AG34" s="77"/>
      <c r="AH34" s="78"/>
      <c r="AI34" s="77"/>
      <c r="AJ34" s="78"/>
      <c r="AK34" s="77"/>
      <c r="AL34" s="78"/>
      <c r="AM34" s="77"/>
      <c r="AN34" s="78"/>
      <c r="AO34" s="77"/>
      <c r="AP34" s="78"/>
      <c r="AQ34" s="77"/>
      <c r="AR34" s="97"/>
      <c r="AS34" s="77"/>
      <c r="AT34" s="78"/>
      <c r="AU34" s="94"/>
      <c r="AV34" s="95"/>
      <c r="AW34" s="77"/>
      <c r="AX34" s="78"/>
      <c r="AY34" s="81"/>
      <c r="AZ34" s="75"/>
      <c r="BA34" s="77"/>
      <c r="BB34" s="78"/>
      <c r="BC34" s="81"/>
      <c r="BD34" s="75"/>
      <c r="BE34" s="77"/>
      <c r="BF34" s="78"/>
      <c r="BG34" s="81"/>
      <c r="BH34" s="75"/>
      <c r="BI34" s="81"/>
      <c r="BJ34" s="75"/>
      <c r="BK34" s="81"/>
      <c r="BL34" s="75"/>
      <c r="BM34" s="81"/>
      <c r="BN34" s="75"/>
      <c r="BO34" s="81"/>
      <c r="BP34" s="75"/>
      <c r="BQ34" s="81"/>
      <c r="BR34" s="75"/>
      <c r="BS34" s="81"/>
      <c r="BT34" s="75"/>
      <c r="BU34" s="81"/>
      <c r="BV34" s="75"/>
      <c r="BW34" s="81"/>
      <c r="BX34" s="75"/>
      <c r="BY34" s="81"/>
      <c r="BZ34" s="75"/>
      <c r="CA34" s="81"/>
      <c r="CB34" s="75"/>
      <c r="CC34" s="81"/>
      <c r="CD34" s="75"/>
      <c r="CE34" s="81"/>
      <c r="CF34" s="75"/>
      <c r="CG34" s="81"/>
      <c r="CH34" s="75"/>
      <c r="CI34" s="81"/>
      <c r="CJ34" s="75"/>
      <c r="CK34" s="81"/>
      <c r="CL34" s="75"/>
      <c r="CM34" s="81"/>
      <c r="CN34" s="75"/>
      <c r="CO34" s="81"/>
      <c r="CP34" s="75"/>
      <c r="CQ34" s="81"/>
      <c r="CR34" s="75"/>
      <c r="CS34" s="81"/>
      <c r="CT34" s="75"/>
      <c r="CU34" s="81"/>
      <c r="CV34" s="75"/>
      <c r="CW34" s="81"/>
      <c r="CX34" s="75"/>
      <c r="CY34" s="82" t="n">
        <f aca="false">W34+Y34+AA34+AC34+AE34+AG34+AI34+AK34+AM34+AO34+AQ34+AS34+AU34+AW34+AY34+BA34+BC34+BE34+BG34+BI34+BK34+BM34+BO34+BQ34+BS34+BU34+BW34+BY34+CA34+CC34+CE34+CG34+CI34+CK34+CM34+CO34+CQ34+CS34+CU34+CW34</f>
        <v>0</v>
      </c>
      <c r="CZ34" s="83" t="n">
        <f aca="false">IF(AND(CY34=0,DC34=0),0,(DF34+DG34)/DC34)</f>
        <v>0</v>
      </c>
      <c r="DA34" s="84" t="n">
        <f aca="false">DC34*DD34</f>
        <v>0</v>
      </c>
      <c r="DB34" s="85" t="n">
        <f aca="false">V34</f>
        <v>37157</v>
      </c>
      <c r="DC34" s="84" t="n">
        <f aca="false">ABS(W34)+ABS(Y34)+ABS(AA34)+ABS(AC34)+ABS(AE34)+ABS(AG34)+ABS(AI34)+ABS(AK34)+ABS(AM34)+ABS(AO34)+ABS(AQ34)+ABS(AS34)+ABS(AU34)+ABS(AW34)+ABS(AY34)+ABS(BA34)+ABS(BC34)+ABS(BE34)+ABS(BG34)+ABS(BI34)+ABS(BK34)+ABS(BM34)+ABS(BO34)+ABS(BQ34)+ABS(BS34)+ABS(BU34)+ABS(BW34)+ABS(BY34)+ABS(CA34)+ABS(CC34)+ABS(CE34)+ABS(CG34)+ABS(CI34)+ABS(CK34)+ABS(CM34)+ABS(CO34)+ABS(CQ34)+ABS(CS34)+ABS(CU34)+ABS(CW34)</f>
        <v>0</v>
      </c>
      <c r="DD34" s="86" t="n">
        <v>16</v>
      </c>
      <c r="DE34" s="84" t="n">
        <v>1</v>
      </c>
      <c r="DF34" s="43" t="n">
        <f aca="false">(ABS(W34)*X34+ABS(Y34)*Z34+ABS(AA34)*AB34+ABS(AC34)*AD34+ABS(AE34)*AF34+ABS(AG34)*AH34+ABS(AI34)*AJ34+ABS(AK34)*AL34+ABS(AM34)*AN34+ABS(AO34)*AP34+ABS(AQ34)*AR34+ABS(AS34)*AT34+ABS(AU34)*AV34+ABS(AW34)*AX34+ABS(AY34)*AZ34+ABS(BA34)*BB34+ABS(BC34)*BD34+ABS(BE34)*BF34+ABS(BG34)*BH34+ABS(BI34)*BJ34)</f>
        <v>0</v>
      </c>
      <c r="DG34" s="43" t="n">
        <f aca="false">ABS(BK34)*BL34+ABS(BM34)*BN34+ABS(BO34)*BP34+ABS(BQ34)*BR34+ABS(BS34)*BT34+ABS(BU34)*BV34+ABS(BW34)*BX34+ABS(BY34)*BZ34+ABS(CA34)*CB34+ABS(CC34)*CD34+ABS(CE34)*CF34+ABS(CG34)*CH34+ABS(CI34)*CJ34+ABS(CK34)*CL34+ABS(CM34)*CN34+ABS(CO34)*CP34+ABS(CQ34)*CR34+ABS(CS34)*CT34+ABS(CU34)*CV34+ABS(CW34)*CX34</f>
        <v>0</v>
      </c>
      <c r="DH34" s="43" t="n">
        <f aca="false">((H34-X34)*W34+(H34-Z34)*Y34+(H34-AB34)*AA34+(H34-AD34)*AC34+(H34-AF34)*AE34+(H34-AH34)*AG34+(H34-AJ34)*AI34+(H34-AL34)*AK34+(H34-AN34)*AM34+(H34-AP34)*AO34+(H34-AR34)*AQ34+(H34-AT34)*AS34+(H34-AV34)*AU34+(H34-AX34)*AW34+(H34-AZ34)*AY34+(H34-BB34)*BA34+(H34-BD34)*BC34+(H34-BF34)*BE34+(H34-BH34)*BG34+(H34-BJ34)*BI34)*DD34*DE34</f>
        <v>0</v>
      </c>
      <c r="DI34" s="43" t="n">
        <f aca="false">(((H34-BL34)*BK34+(H34-BN34)*BM34+(H34-BP34)*BO34+(H34-BR34)*BQ34+(H34-BT34)*BS34+(H34-BV34)*BU34+(H34-BX34)*BW34+(H34-BZ34)*BY34+(H34-CB34)*CA34+(H34-CD34)*CC34+(H34-CF34)*CE34+(H34-CH34)*CG34+(H34-CJ34)*CH34+(H34-CL34)*CK34+(H34-CN34)*CM34+(H34-CP34)*CO34+(H34-CR34)*CQ34+(H34-CT34)*CS34+(H34-CV34)*CU34+(H34-CX34)*CW34)*DD34*DE34)</f>
        <v>0</v>
      </c>
      <c r="DK34" s="85" t="n">
        <v>36861</v>
      </c>
      <c r="DL34" s="21" t="n">
        <v>50</v>
      </c>
      <c r="DM34" s="21" t="n">
        <f aca="false">[5]NEPOOL!$L21</f>
        <v>0</v>
      </c>
      <c r="DN34" s="21" t="n">
        <f aca="false">IF(AND(WEEKDAY(DK34)&gt;1,WEEKDAY(DK34)&lt;7),1,0)</f>
        <v>1</v>
      </c>
    </row>
    <row r="35" customFormat="false" ht="18.75" hidden="false" customHeight="false" outlineLevel="0" collapsed="false">
      <c r="A35" s="58" t="n">
        <f aca="false">'NYISO A'!A35</f>
        <v>37158</v>
      </c>
      <c r="B35" s="59" t="n">
        <f aca="false">[3]Nepool!$L26/16</f>
        <v>-198.997756958008</v>
      </c>
      <c r="C35" s="101" t="n">
        <f aca="false">CY35</f>
        <v>0</v>
      </c>
      <c r="D35" s="87" t="n">
        <f aca="false">(IF(MONTH(A35)=MONTH(EOMONTH(TradeDate,1)),$AP$69,0)*VLOOKUP(A35,$DK$12:$DN$43,4))</f>
        <v>0</v>
      </c>
      <c r="E35" s="62" t="n">
        <f aca="false">B35+C35+D35</f>
        <v>-198.997756958008</v>
      </c>
      <c r="F35" s="63" t="n">
        <f aca="false">[3]Nepool!$C26</f>
        <v>38</v>
      </c>
      <c r="G35" s="88" t="n">
        <f aca="false">IF($Q$9,Q35,P35)</f>
        <v>1.17</v>
      </c>
      <c r="H35" s="89" t="n">
        <f aca="false">F35+G35</f>
        <v>39.17</v>
      </c>
      <c r="I35" s="87" t="n">
        <f aca="false">B35*G35*DD35</f>
        <v>-3725.23801025391</v>
      </c>
      <c r="J35" s="66" t="n">
        <f aca="false">DH35+DI35</f>
        <v>0</v>
      </c>
      <c r="K35" s="90" t="n">
        <f aca="false">+J35+I35</f>
        <v>-3725.23801025391</v>
      </c>
      <c r="L35" s="24"/>
      <c r="M35" s="67" t="n">
        <f aca="false">A35</f>
        <v>37158</v>
      </c>
      <c r="N35" s="92" t="n">
        <v>39.17</v>
      </c>
      <c r="O35" s="92" t="n">
        <v>39.17</v>
      </c>
      <c r="P35" s="69" t="n">
        <f aca="false">AVERAGE(N35:O35)-F35</f>
        <v>1.17</v>
      </c>
      <c r="Q35" s="70"/>
      <c r="R35" s="91" t="n">
        <f aca="false">H35</f>
        <v>39.17</v>
      </c>
      <c r="S35" s="24"/>
      <c r="T35" s="24"/>
      <c r="U35" s="72"/>
      <c r="V35" s="73" t="n">
        <f aca="false">A35</f>
        <v>37158</v>
      </c>
      <c r="W35" s="77"/>
      <c r="X35" s="78"/>
      <c r="Y35" s="77"/>
      <c r="Z35" s="78"/>
      <c r="AA35" s="77"/>
      <c r="AB35" s="78"/>
      <c r="AC35" s="77"/>
      <c r="AD35" s="78"/>
      <c r="AE35" s="77"/>
      <c r="AF35" s="78"/>
      <c r="AG35" s="77"/>
      <c r="AH35" s="78"/>
      <c r="AI35" s="77"/>
      <c r="AJ35" s="78"/>
      <c r="AK35" s="77"/>
      <c r="AL35" s="78"/>
      <c r="AM35" s="77"/>
      <c r="AN35" s="78"/>
      <c r="AO35" s="77"/>
      <c r="AP35" s="78"/>
      <c r="AQ35" s="77"/>
      <c r="AR35" s="97"/>
      <c r="AS35" s="77"/>
      <c r="AT35" s="78"/>
      <c r="AU35" s="94"/>
      <c r="AV35" s="95"/>
      <c r="AW35" s="77"/>
      <c r="AX35" s="78"/>
      <c r="AY35" s="81"/>
      <c r="AZ35" s="75"/>
      <c r="BA35" s="77"/>
      <c r="BB35" s="78"/>
      <c r="BC35" s="81"/>
      <c r="BD35" s="75"/>
      <c r="BE35" s="77"/>
      <c r="BF35" s="78"/>
      <c r="BG35" s="81"/>
      <c r="BH35" s="75"/>
      <c r="BI35" s="81"/>
      <c r="BJ35" s="75"/>
      <c r="BK35" s="81"/>
      <c r="BL35" s="75"/>
      <c r="BM35" s="81"/>
      <c r="BN35" s="75"/>
      <c r="BO35" s="81"/>
      <c r="BP35" s="75"/>
      <c r="BQ35" s="81"/>
      <c r="BR35" s="75"/>
      <c r="BS35" s="81"/>
      <c r="BT35" s="75"/>
      <c r="BU35" s="81"/>
      <c r="BV35" s="75"/>
      <c r="BW35" s="81"/>
      <c r="BX35" s="75"/>
      <c r="BY35" s="81"/>
      <c r="BZ35" s="75"/>
      <c r="CA35" s="81"/>
      <c r="CB35" s="75"/>
      <c r="CC35" s="81"/>
      <c r="CD35" s="75"/>
      <c r="CE35" s="81"/>
      <c r="CF35" s="75"/>
      <c r="CG35" s="81"/>
      <c r="CH35" s="75"/>
      <c r="CI35" s="81"/>
      <c r="CJ35" s="75"/>
      <c r="CK35" s="81"/>
      <c r="CL35" s="75"/>
      <c r="CM35" s="81"/>
      <c r="CN35" s="75"/>
      <c r="CO35" s="81"/>
      <c r="CP35" s="75"/>
      <c r="CQ35" s="81"/>
      <c r="CR35" s="75"/>
      <c r="CS35" s="81"/>
      <c r="CT35" s="75"/>
      <c r="CU35" s="81"/>
      <c r="CV35" s="75"/>
      <c r="CW35" s="81"/>
      <c r="CX35" s="75"/>
      <c r="CY35" s="82" t="n">
        <f aca="false">W35+Y35+AA35+AC35+AE35+AG35+AI35+AK35+AM35+AO35+AQ35+AS35+AU35+AW35+AY35+BA35+BC35+BE35+BG35+BI35+BK35+BM35+BO35+BQ35+BS35+BU35+BW35+BY35+CA35+CC35+CE35+CG35+CI35+CK35+CM35+CO35+CQ35+CS35+CU35+CW35</f>
        <v>0</v>
      </c>
      <c r="CZ35" s="83" t="n">
        <f aca="false">IF(AND(CY35=0,DC35=0),0,(DF35+DG35)/DC35)</f>
        <v>0</v>
      </c>
      <c r="DA35" s="84" t="n">
        <f aca="false">DC35*DD35</f>
        <v>0</v>
      </c>
      <c r="DB35" s="85" t="n">
        <f aca="false">V35</f>
        <v>37158</v>
      </c>
      <c r="DC35" s="84" t="n">
        <f aca="false">ABS(W35)+ABS(Y35)+ABS(AA35)+ABS(AC35)+ABS(AE35)+ABS(AG35)+ABS(AI35)+ABS(AK35)+ABS(AM35)+ABS(AO35)+ABS(AQ35)+ABS(AS35)+ABS(AU35)+ABS(AW35)+ABS(AY35)+ABS(BA35)+ABS(BC35)+ABS(BE35)+ABS(BG35)+ABS(BI35)+ABS(BK35)+ABS(BM35)+ABS(BO35)+ABS(BQ35)+ABS(BS35)+ABS(BU35)+ABS(BW35)+ABS(BY35)+ABS(CA35)+ABS(CC35)+ABS(CE35)+ABS(CG35)+ABS(CI35)+ABS(CK35)+ABS(CM35)+ABS(CO35)+ABS(CQ35)+ABS(CS35)+ABS(CU35)+ABS(CW35)</f>
        <v>0</v>
      </c>
      <c r="DD35" s="86" t="n">
        <v>16</v>
      </c>
      <c r="DE35" s="84" t="n">
        <v>1</v>
      </c>
      <c r="DF35" s="43" t="n">
        <f aca="false">(ABS(W35)*X35+ABS(Y35)*Z35+ABS(AA35)*AB35+ABS(AC35)*AD35+ABS(AE35)*AF35+ABS(AG35)*AH35+ABS(AI35)*AJ35+ABS(AK35)*AL35+ABS(AM35)*AN35+ABS(AO35)*AP35+ABS(AQ35)*AR35+ABS(AS35)*AT35+ABS(AU35)*AV35+ABS(AW35)*AX35+ABS(AY35)*AZ35+ABS(BA35)*BB35+ABS(BC35)*BD35+ABS(BE35)*BF35+ABS(BG35)*BH35+ABS(BI35)*BJ35)</f>
        <v>0</v>
      </c>
      <c r="DG35" s="43" t="n">
        <f aca="false">ABS(BK35)*BL35+ABS(BM35)*BN35+ABS(BO35)*BP35+ABS(BQ35)*BR35+ABS(BS35)*BT35+ABS(BU35)*BV35+ABS(BW35)*BX35+ABS(BY35)*BZ35+ABS(CA35)*CB35+ABS(CC35)*CD35+ABS(CE35)*CF35+ABS(CG35)*CH35+ABS(CI35)*CJ35+ABS(CK35)*CL35+ABS(CM35)*CN35+ABS(CO35)*CP35+ABS(CQ35)*CR35+ABS(CS35)*CT35+ABS(CU35)*CV35+ABS(CW35)*CX35</f>
        <v>0</v>
      </c>
      <c r="DH35" s="43" t="n">
        <f aca="false">((H35-X35)*W35+(H35-Z35)*Y35+(H35-AB35)*AA35+(H35-AD35)*AC35+(H35-AF35)*AE35+(H35-AH35)*AG35+(H35-AJ35)*AI35+(H35-AL35)*AK35+(H35-AN35)*AM35+(H35-AP35)*AO35+(H35-AR35)*AQ35+(H35-AT35)*AS35+(H35-AV35)*AU35+(H35-AX35)*AW35+(H35-AZ35)*AY35+(H35-BB35)*BA35+(H35-BD35)*BC35+(H35-BF35)*BE35+(H35-BH35)*BG35+(H35-BJ35)*BI35)*DD35*DE35</f>
        <v>0</v>
      </c>
      <c r="DI35" s="43" t="n">
        <f aca="false">(((H35-BL35)*BK35+(H35-BN35)*BM35+(H35-BP35)*BO35+(H35-BR35)*BQ35+(H35-BT35)*BS35+(H35-BV35)*BU35+(H35-BX35)*BW35+(H35-BZ35)*BY35+(H35-CB35)*CA35+(H35-CD35)*CC35+(H35-CF35)*CE35+(H35-CH35)*CG35+(H35-CJ35)*CH35+(H35-CL35)*CK35+(H35-CN35)*CM35+(H35-CP35)*CO35+(H35-CR35)*CQ35+(H35-CT35)*CS35+(H35-CV35)*CU35+(H35-CX35)*CW35)*DD35*DE35)</f>
        <v>0</v>
      </c>
      <c r="DK35" s="85" t="n">
        <v>36862</v>
      </c>
      <c r="DL35" s="21" t="n">
        <v>0</v>
      </c>
      <c r="DM35" s="21" t="n">
        <f aca="false">[5]NEPOOL!$L22</f>
        <v>0</v>
      </c>
      <c r="DN35" s="21" t="n">
        <f aca="false">IF(AND(WEEKDAY(DK35)&gt;1,WEEKDAY(DK35)&lt;7),1,0)</f>
        <v>0</v>
      </c>
    </row>
    <row r="36" customFormat="false" ht="18.75" hidden="false" customHeight="false" outlineLevel="0" collapsed="false">
      <c r="A36" s="58" t="n">
        <f aca="false">'NYISO A'!A36</f>
        <v>37159</v>
      </c>
      <c r="B36" s="59" t="n">
        <f aca="false">[3]Nepool!$L27/16</f>
        <v>-198.997756958008</v>
      </c>
      <c r="C36" s="60" t="n">
        <f aca="false">CY36</f>
        <v>0</v>
      </c>
      <c r="D36" s="61" t="n">
        <f aca="false">(IF(MONTH(A36)=MONTH(EOMONTH(TradeDate,1)),$AP$69,0)*VLOOKUP(A36,$DK$12:$DN$43,4))</f>
        <v>0</v>
      </c>
      <c r="E36" s="62" t="n">
        <f aca="false">B36+C36+D36</f>
        <v>-198.997756958008</v>
      </c>
      <c r="F36" s="63" t="n">
        <f aca="false">[3]Nepool!$C27</f>
        <v>38</v>
      </c>
      <c r="G36" s="63" t="n">
        <f aca="false">IF($Q$9,Q36,P36)</f>
        <v>1.17</v>
      </c>
      <c r="H36" s="64" t="n">
        <f aca="false">F36+G36</f>
        <v>39.17</v>
      </c>
      <c r="I36" s="65" t="n">
        <f aca="false">B36*G36*DD36</f>
        <v>-3725.23801025391</v>
      </c>
      <c r="J36" s="66" t="n">
        <f aca="false">DH36+DI36</f>
        <v>0</v>
      </c>
      <c r="K36" s="66" t="n">
        <f aca="false">+J36+I36</f>
        <v>-3725.23801025391</v>
      </c>
      <c r="L36" s="24"/>
      <c r="M36" s="67" t="n">
        <f aca="false">A36</f>
        <v>37159</v>
      </c>
      <c r="N36" s="92" t="n">
        <v>39.17</v>
      </c>
      <c r="O36" s="92" t="n">
        <v>39.17</v>
      </c>
      <c r="P36" s="69" t="n">
        <f aca="false">AVERAGE(N36:O36)-F36</f>
        <v>1.17</v>
      </c>
      <c r="Q36" s="70"/>
      <c r="R36" s="91" t="n">
        <f aca="false">H36</f>
        <v>39.17</v>
      </c>
      <c r="S36" s="24"/>
      <c r="T36" s="24"/>
      <c r="U36" s="72"/>
      <c r="V36" s="73" t="n">
        <f aca="false">A36</f>
        <v>37159</v>
      </c>
      <c r="W36" s="77"/>
      <c r="X36" s="78"/>
      <c r="Y36" s="77"/>
      <c r="Z36" s="78"/>
      <c r="AA36" s="77"/>
      <c r="AB36" s="78"/>
      <c r="AC36" s="77"/>
      <c r="AD36" s="78"/>
      <c r="AE36" s="77"/>
      <c r="AF36" s="78"/>
      <c r="AG36" s="77"/>
      <c r="AH36" s="78"/>
      <c r="AI36" s="77"/>
      <c r="AJ36" s="78"/>
      <c r="AK36" s="77"/>
      <c r="AL36" s="78"/>
      <c r="AM36" s="77"/>
      <c r="AN36" s="78"/>
      <c r="AO36" s="77"/>
      <c r="AP36" s="78"/>
      <c r="AQ36" s="77"/>
      <c r="AR36" s="78"/>
      <c r="AS36" s="77"/>
      <c r="AT36" s="78"/>
      <c r="AU36" s="94"/>
      <c r="AV36" s="95"/>
      <c r="AW36" s="77"/>
      <c r="AX36" s="78"/>
      <c r="AY36" s="81"/>
      <c r="AZ36" s="75"/>
      <c r="BA36" s="77"/>
      <c r="BB36" s="78"/>
      <c r="BC36" s="81"/>
      <c r="BD36" s="75"/>
      <c r="BE36" s="77"/>
      <c r="BF36" s="78"/>
      <c r="BG36" s="81"/>
      <c r="BH36" s="75"/>
      <c r="BI36" s="81"/>
      <c r="BJ36" s="75"/>
      <c r="BK36" s="81"/>
      <c r="BL36" s="75"/>
      <c r="BM36" s="81"/>
      <c r="BN36" s="75"/>
      <c r="BO36" s="81"/>
      <c r="BP36" s="75"/>
      <c r="BQ36" s="81"/>
      <c r="BR36" s="75"/>
      <c r="BS36" s="81"/>
      <c r="BT36" s="75"/>
      <c r="BU36" s="81"/>
      <c r="BV36" s="75"/>
      <c r="BW36" s="81"/>
      <c r="BX36" s="75"/>
      <c r="BY36" s="81"/>
      <c r="BZ36" s="75"/>
      <c r="CA36" s="81"/>
      <c r="CB36" s="75"/>
      <c r="CC36" s="81"/>
      <c r="CD36" s="75"/>
      <c r="CE36" s="81"/>
      <c r="CF36" s="75"/>
      <c r="CG36" s="81"/>
      <c r="CH36" s="75"/>
      <c r="CI36" s="81"/>
      <c r="CJ36" s="75"/>
      <c r="CK36" s="81"/>
      <c r="CL36" s="75"/>
      <c r="CM36" s="81"/>
      <c r="CN36" s="75"/>
      <c r="CO36" s="81"/>
      <c r="CP36" s="75"/>
      <c r="CQ36" s="81"/>
      <c r="CR36" s="75"/>
      <c r="CS36" s="81"/>
      <c r="CT36" s="75"/>
      <c r="CU36" s="81"/>
      <c r="CV36" s="75"/>
      <c r="CW36" s="81"/>
      <c r="CX36" s="75"/>
      <c r="CY36" s="82" t="n">
        <f aca="false">W36+Y36+AA36+AC36+AE36+AG36+AI36+AK36+AM36+AO36+AQ36+AS36+AU36+AW36+AY36+BA36+BC36+BE36+BG36+BI36+BK36+BM36+BO36+BQ36+BS36+BU36+BW36+BY36+CA36+CC36+CE36+CG36+CI36+CK36+CM36+CO36+CQ36+CS36+CU36+CW36</f>
        <v>0</v>
      </c>
      <c r="CZ36" s="83" t="n">
        <f aca="false">IF(AND(CY36=0,DC36=0),0,(DF36+DG36)/DC36)</f>
        <v>0</v>
      </c>
      <c r="DA36" s="84" t="n">
        <f aca="false">DC36*DD36</f>
        <v>0</v>
      </c>
      <c r="DB36" s="85" t="n">
        <f aca="false">V36</f>
        <v>37159</v>
      </c>
      <c r="DC36" s="84" t="n">
        <f aca="false">ABS(W36)+ABS(Y36)+ABS(AA36)+ABS(AC36)+ABS(AE36)+ABS(AG36)+ABS(AI36)+ABS(AK36)+ABS(AM36)+ABS(AO36)+ABS(AQ36)+ABS(AS36)+ABS(AU36)+ABS(AW36)+ABS(AY36)+ABS(BA36)+ABS(BC36)+ABS(BE36)+ABS(BG36)+ABS(BI36)+ABS(BK36)+ABS(BM36)+ABS(BO36)+ABS(BQ36)+ABS(BS36)+ABS(BU36)+ABS(BW36)+ABS(BY36)+ABS(CA36)+ABS(CC36)+ABS(CE36)+ABS(CG36)+ABS(CI36)+ABS(CK36)+ABS(CM36)+ABS(CO36)+ABS(CQ36)+ABS(CS36)+ABS(CU36)+ABS(CW36)</f>
        <v>0</v>
      </c>
      <c r="DD36" s="86" t="n">
        <v>16</v>
      </c>
      <c r="DE36" s="84" t="n">
        <v>1</v>
      </c>
      <c r="DF36" s="43" t="n">
        <f aca="false">(ABS(W36)*X36+ABS(Y36)*Z36+ABS(AA36)*AB36+ABS(AC36)*AD36+ABS(AE36)*AF36+ABS(AG36)*AH36+ABS(AI36)*AJ36+ABS(AK36)*AL36+ABS(AM36)*AN36+ABS(AO36)*AP36+ABS(AQ36)*AR36+ABS(AS36)*AT36+ABS(AU36)*AV36+ABS(AW36)*AX36+ABS(AY36)*AZ36+ABS(BA36)*BB36+ABS(BC36)*BD36+ABS(BE36)*BF36+ABS(BG36)*BH36+ABS(BI36)*BJ36)</f>
        <v>0</v>
      </c>
      <c r="DG36" s="43" t="n">
        <f aca="false">ABS(BK36)*BL36+ABS(BM36)*BN36+ABS(BO36)*BP36+ABS(BQ36)*BR36+ABS(BS36)*BT36+ABS(BU36)*BV36+ABS(BW36)*BX36+ABS(BY36)*BZ36+ABS(CA36)*CB36+ABS(CC36)*CD36+ABS(CE36)*CF36+ABS(CG36)*CH36+ABS(CI36)*CJ36+ABS(CK36)*CL36+ABS(CM36)*CN36+ABS(CO36)*CP36+ABS(CQ36)*CR36+ABS(CS36)*CT36+ABS(CU36)*CV36+ABS(CW36)*CX36</f>
        <v>0</v>
      </c>
      <c r="DH36" s="43" t="n">
        <f aca="false">((H36-X36)*W36+(H36-Z36)*Y36+(H36-AB36)*AA36+(H36-AD36)*AC36+(H36-AF36)*AE36+(H36-AH36)*AG36+(H36-AJ36)*AI36+(H36-AL36)*AK36+(H36-AN36)*AM36+(H36-AP36)*AO36+(H36-AR36)*AQ36+(H36-AT36)*AS36+(H36-AV36)*AU36+(H36-AX36)*AW36+(H36-AZ36)*AY36+(H36-BB36)*BA36+(H36-BD36)*BC36+(H36-BF36)*BE36+(H36-BH36)*BG36+(H36-BJ36)*BI36)*DD36*DE36</f>
        <v>0</v>
      </c>
      <c r="DI36" s="43" t="n">
        <f aca="false">(((H36-BL36)*BK36+(H36-BN36)*BM36+(H36-BP36)*BO36+(H36-BR36)*BQ36+(H36-BT36)*BS36+(H36-BV36)*BU36+(H36-BX36)*BW36+(H36-BZ36)*BY36+(H36-CB36)*CA36+(H36-CD36)*CC36+(H36-CF36)*CE36+(H36-CH36)*CG36+(H36-CJ36)*CH36+(H36-CL36)*CK36+(H36-CN36)*CM36+(H36-CP36)*CO36+(H36-CR36)*CQ36+(H36-CT36)*CS36+(H36-CV36)*CU36+(H36-CX36)*CW36)*DD36*DE36)</f>
        <v>0</v>
      </c>
      <c r="DK36" s="85" t="n">
        <v>36863</v>
      </c>
      <c r="DL36" s="21" t="n">
        <v>0</v>
      </c>
      <c r="DM36" s="21" t="n">
        <f aca="false">[5]NEPOOL!$L23</f>
        <v>-1189.7</v>
      </c>
      <c r="DN36" s="21" t="n">
        <f aca="false">IF(AND(WEEKDAY(DK36)&gt;1,WEEKDAY(DK36)&lt;7),1,0)</f>
        <v>0</v>
      </c>
    </row>
    <row r="37" customFormat="false" ht="18.75" hidden="false" customHeight="false" outlineLevel="0" collapsed="false">
      <c r="A37" s="58" t="n">
        <f aca="false">'NYISO A'!A37</f>
        <v>37160</v>
      </c>
      <c r="B37" s="59" t="n">
        <f aca="false">[3]Nepool!$L28/16</f>
        <v>-198.997756958008</v>
      </c>
      <c r="C37" s="101" t="n">
        <f aca="false">CY37</f>
        <v>0</v>
      </c>
      <c r="D37" s="87" t="n">
        <f aca="false">(IF(MONTH(A37)=MONTH(EOMONTH(TradeDate,1)),$AP$69,0)*VLOOKUP(A37,$DK$12:$DN$43,4))</f>
        <v>0</v>
      </c>
      <c r="E37" s="62" t="n">
        <f aca="false">B37+C37+D37</f>
        <v>-198.997756958008</v>
      </c>
      <c r="F37" s="63" t="n">
        <f aca="false">[3]Nepool!$C28</f>
        <v>38</v>
      </c>
      <c r="G37" s="88" t="n">
        <f aca="false">IF($Q$9,Q37,P37)</f>
        <v>1.17</v>
      </c>
      <c r="H37" s="89" t="n">
        <f aca="false">F37+G37</f>
        <v>39.17</v>
      </c>
      <c r="I37" s="87" t="n">
        <f aca="false">B37*G37*DD37</f>
        <v>-3725.23801025391</v>
      </c>
      <c r="J37" s="66" t="n">
        <f aca="false">DH37+DI37</f>
        <v>0</v>
      </c>
      <c r="K37" s="90" t="n">
        <f aca="false">+J37+I37</f>
        <v>-3725.23801025391</v>
      </c>
      <c r="L37" s="24"/>
      <c r="M37" s="67" t="n">
        <f aca="false">A37</f>
        <v>37160</v>
      </c>
      <c r="N37" s="92" t="n">
        <v>39.17</v>
      </c>
      <c r="O37" s="92" t="n">
        <v>39.17</v>
      </c>
      <c r="P37" s="69" t="n">
        <f aca="false">AVERAGE(N37:O37)-F37</f>
        <v>1.17</v>
      </c>
      <c r="Q37" s="70"/>
      <c r="R37" s="91" t="n">
        <f aca="false">H37</f>
        <v>39.17</v>
      </c>
      <c r="S37" s="24"/>
      <c r="T37" s="24"/>
      <c r="U37" s="72"/>
      <c r="V37" s="73" t="n">
        <f aca="false">A37</f>
        <v>37160</v>
      </c>
      <c r="W37" s="77"/>
      <c r="X37" s="78"/>
      <c r="Y37" s="77"/>
      <c r="Z37" s="78"/>
      <c r="AA37" s="77"/>
      <c r="AB37" s="78"/>
      <c r="AC37" s="77"/>
      <c r="AD37" s="78"/>
      <c r="AE37" s="77"/>
      <c r="AF37" s="78"/>
      <c r="AG37" s="77"/>
      <c r="AH37" s="78"/>
      <c r="AI37" s="77"/>
      <c r="AJ37" s="78"/>
      <c r="AK37" s="77"/>
      <c r="AL37" s="78"/>
      <c r="AM37" s="77"/>
      <c r="AN37" s="78"/>
      <c r="AO37" s="77"/>
      <c r="AP37" s="78"/>
      <c r="AQ37" s="77"/>
      <c r="AR37" s="78"/>
      <c r="AS37" s="77"/>
      <c r="AT37" s="78"/>
      <c r="AU37" s="94"/>
      <c r="AV37" s="95"/>
      <c r="AW37" s="77"/>
      <c r="AX37" s="78"/>
      <c r="AY37" s="81"/>
      <c r="AZ37" s="75"/>
      <c r="BA37" s="77"/>
      <c r="BB37" s="78"/>
      <c r="BC37" s="81"/>
      <c r="BD37" s="75"/>
      <c r="BE37" s="77"/>
      <c r="BF37" s="78"/>
      <c r="BG37" s="81"/>
      <c r="BH37" s="75"/>
      <c r="BI37" s="81"/>
      <c r="BJ37" s="75"/>
      <c r="BK37" s="81"/>
      <c r="BL37" s="75"/>
      <c r="BM37" s="81"/>
      <c r="BN37" s="75"/>
      <c r="BO37" s="81"/>
      <c r="BP37" s="75"/>
      <c r="BQ37" s="81"/>
      <c r="BR37" s="75"/>
      <c r="BS37" s="81"/>
      <c r="BT37" s="75"/>
      <c r="BU37" s="81"/>
      <c r="BV37" s="75"/>
      <c r="BW37" s="81"/>
      <c r="BX37" s="75"/>
      <c r="BY37" s="81"/>
      <c r="BZ37" s="75"/>
      <c r="CA37" s="81"/>
      <c r="CB37" s="75"/>
      <c r="CC37" s="81"/>
      <c r="CD37" s="75"/>
      <c r="CE37" s="81"/>
      <c r="CF37" s="75"/>
      <c r="CG37" s="81"/>
      <c r="CH37" s="75"/>
      <c r="CI37" s="81"/>
      <c r="CJ37" s="75"/>
      <c r="CK37" s="81"/>
      <c r="CL37" s="75"/>
      <c r="CM37" s="81"/>
      <c r="CN37" s="75"/>
      <c r="CO37" s="81"/>
      <c r="CP37" s="75"/>
      <c r="CQ37" s="81"/>
      <c r="CR37" s="75"/>
      <c r="CS37" s="81"/>
      <c r="CT37" s="75"/>
      <c r="CU37" s="81"/>
      <c r="CV37" s="75"/>
      <c r="CW37" s="81"/>
      <c r="CX37" s="75"/>
      <c r="CY37" s="82" t="n">
        <f aca="false">W37+Y37+AA37+AC37+AE37+AG37+AI37+AK37+AM37+AO37+AQ37+AS37+AU37+AW37+AY37+BA37+BC37+BE37+BG37+BI37+BK37+BM37+BO37+BQ37+BS37+BU37+BW37+BY37+CA37+CC37+CE37+CG37+CI37+CK37+CM37+CO37+CQ37+CS37+CU37+CW37</f>
        <v>0</v>
      </c>
      <c r="CZ37" s="83" t="n">
        <f aca="false">IF(AND(CY37=0,DC37=0),0,(DF37+DG37)/DC37)</f>
        <v>0</v>
      </c>
      <c r="DA37" s="84" t="n">
        <f aca="false">DC37*DD37</f>
        <v>0</v>
      </c>
      <c r="DB37" s="85" t="n">
        <f aca="false">V37</f>
        <v>37160</v>
      </c>
      <c r="DC37" s="84" t="n">
        <f aca="false">ABS(W37)+ABS(Y37)+ABS(AA37)+ABS(AC37)+ABS(AE37)+ABS(AG37)+ABS(AI37)+ABS(AK37)+ABS(AM37)+ABS(AO37)+ABS(AQ37)+ABS(AS37)+ABS(AU37)+ABS(AW37)+ABS(AY37)+ABS(BA37)+ABS(BC37)+ABS(BE37)+ABS(BG37)+ABS(BI37)+ABS(BK37)+ABS(BM37)+ABS(BO37)+ABS(BQ37)+ABS(BS37)+ABS(BU37)+ABS(BW37)+ABS(BY37)+ABS(CA37)+ABS(CC37)+ABS(CE37)+ABS(CG37)+ABS(CI37)+ABS(CK37)+ABS(CM37)+ABS(CO37)+ABS(CQ37)+ABS(CS37)+ABS(CU37)+ABS(CW37)</f>
        <v>0</v>
      </c>
      <c r="DD37" s="86" t="n">
        <v>16</v>
      </c>
      <c r="DE37" s="84" t="n">
        <v>1</v>
      </c>
      <c r="DF37" s="43" t="n">
        <f aca="false">(ABS(W37)*X37+ABS(Y37)*Z37+ABS(AA37)*AB37+ABS(AC37)*AD37+ABS(AE37)*AF37+ABS(AG37)*AH37+ABS(AI37)*AJ37+ABS(AK37)*AL37+ABS(AM37)*AN37+ABS(AO37)*AP37+ABS(AQ37)*AR37+ABS(AS37)*AT37+ABS(AU37)*AV37+ABS(AW37)*AX37+ABS(AY37)*AZ37+ABS(BA37)*BB37+ABS(BC37)*BD37+ABS(BE37)*BF37+ABS(BG37)*BH37+ABS(BI37)*BJ37)</f>
        <v>0</v>
      </c>
      <c r="DG37" s="43" t="n">
        <f aca="false">ABS(BK37)*BL37+ABS(BM37)*BN37+ABS(BO37)*BP37+ABS(BQ37)*BR37+ABS(BS37)*BT37+ABS(BU37)*BV37+ABS(BW37)*BX37+ABS(BY37)*BZ37+ABS(CA37)*CB37+ABS(CC37)*CD37+ABS(CE37)*CF37+ABS(CG37)*CH37+ABS(CI37)*CJ37+ABS(CK37)*CL37+ABS(CM37)*CN37+ABS(CO37)*CP37+ABS(CQ37)*CR37+ABS(CS37)*CT37+ABS(CU37)*CV37+ABS(CW37)*CX37</f>
        <v>0</v>
      </c>
      <c r="DH37" s="43" t="n">
        <f aca="false">((H37-X37)*W37+(H37-Z37)*Y37+(H37-AB37)*AA37+(H37-AD37)*AC37+(H37-AF37)*AE37+(H37-AH37)*AG37+(H37-AJ37)*AI37+(H37-AL37)*AK37+(H37-AN37)*AM37+(H37-AP37)*AO37+(H37-AR37)*AQ37+(H37-AT37)*AS37+(H37-AV37)*AU37+(H37-AX37)*AW37+(H37-AZ37)*AY37+(H37-BB37)*BA37+(H37-BD37)*BC37+(H37-BF37)*BE37+(H37-BH37)*BG37+(H37-BJ37)*BI37)*DD37*DE37</f>
        <v>0</v>
      </c>
      <c r="DI37" s="43" t="n">
        <f aca="false">(((H37-BL37)*BK37+(H37-BN37)*BM37+(H37-BP37)*BO37+(H37-BR37)*BQ37+(H37-BT37)*BS37+(H37-BV37)*BU37+(H37-BX37)*BW37+(H37-BZ37)*BY37+(H37-CB37)*CA37+(H37-CD37)*CC37+(H37-CF37)*CE37+(H37-CH37)*CG37+(H37-CJ37)*CH37+(H37-CL37)*CK37+(H37-CN37)*CM37+(H37-CP37)*CO37+(H37-CR37)*CQ37+(H37-CT37)*CS37+(H37-CV37)*CU37+(H37-CX37)*CW37)*DD37*DE37)</f>
        <v>0</v>
      </c>
      <c r="DK37" s="85" t="n">
        <v>36864</v>
      </c>
      <c r="DL37" s="21" t="n">
        <v>50</v>
      </c>
      <c r="DM37" s="21" t="n">
        <f aca="false">[5]NEPOOL!$L24</f>
        <v>-1189.7</v>
      </c>
      <c r="DN37" s="21" t="n">
        <f aca="false">IF(AND(WEEKDAY(DK37)&gt;1,WEEKDAY(DK37)&lt;7),1,0)</f>
        <v>1</v>
      </c>
    </row>
    <row r="38" customFormat="false" ht="18.75" hidden="false" customHeight="false" outlineLevel="0" collapsed="false">
      <c r="A38" s="58" t="n">
        <f aca="false">'NYISO A'!A38</f>
        <v>37161</v>
      </c>
      <c r="B38" s="59" t="n">
        <f aca="false">[3]Nepool!$L29/16</f>
        <v>-198.997756958008</v>
      </c>
      <c r="C38" s="60" t="n">
        <f aca="false">CY38</f>
        <v>0</v>
      </c>
      <c r="D38" s="61" t="n">
        <f aca="false">(IF(MONTH(A38)=MONTH(EOMONTH(TradeDate,1)),$AP$69,0)*VLOOKUP(A38,$DK$12:$DN$43,4))</f>
        <v>0</v>
      </c>
      <c r="E38" s="62" t="n">
        <f aca="false">B38+C38+D38</f>
        <v>-198.997756958008</v>
      </c>
      <c r="F38" s="63" t="n">
        <f aca="false">[3]Nepool!$C29</f>
        <v>38</v>
      </c>
      <c r="G38" s="63" t="n">
        <f aca="false">IF($Q$9,Q38,P38)</f>
        <v>1.17</v>
      </c>
      <c r="H38" s="64" t="n">
        <f aca="false">F38+G38</f>
        <v>39.17</v>
      </c>
      <c r="I38" s="65" t="n">
        <f aca="false">B38*G38*DD38</f>
        <v>-3725.23801025391</v>
      </c>
      <c r="J38" s="66" t="n">
        <f aca="false">DH38+DI38</f>
        <v>0</v>
      </c>
      <c r="K38" s="66" t="n">
        <f aca="false">+J38+I38</f>
        <v>-3725.23801025391</v>
      </c>
      <c r="L38" s="24"/>
      <c r="M38" s="67" t="n">
        <f aca="false">A38</f>
        <v>37161</v>
      </c>
      <c r="N38" s="92" t="n">
        <v>39.17</v>
      </c>
      <c r="O38" s="92" t="n">
        <v>39.17</v>
      </c>
      <c r="P38" s="69" t="n">
        <f aca="false">AVERAGE(N38:O38)-F38</f>
        <v>1.17</v>
      </c>
      <c r="Q38" s="70"/>
      <c r="R38" s="91" t="n">
        <f aca="false">H38</f>
        <v>39.17</v>
      </c>
      <c r="S38" s="24"/>
      <c r="T38" s="24"/>
      <c r="U38" s="72"/>
      <c r="V38" s="73" t="n">
        <f aca="false">A38</f>
        <v>37161</v>
      </c>
      <c r="W38" s="77"/>
      <c r="X38" s="78"/>
      <c r="Y38" s="77"/>
      <c r="Z38" s="78"/>
      <c r="AA38" s="77"/>
      <c r="AB38" s="78"/>
      <c r="AC38" s="77"/>
      <c r="AD38" s="78"/>
      <c r="AE38" s="77"/>
      <c r="AF38" s="78"/>
      <c r="AG38" s="77"/>
      <c r="AH38" s="78"/>
      <c r="AI38" s="77"/>
      <c r="AJ38" s="78"/>
      <c r="AK38" s="77"/>
      <c r="AL38" s="78"/>
      <c r="AM38" s="77"/>
      <c r="AN38" s="78"/>
      <c r="AO38" s="77"/>
      <c r="AP38" s="78"/>
      <c r="AQ38" s="77"/>
      <c r="AR38" s="97"/>
      <c r="AS38" s="77"/>
      <c r="AT38" s="78"/>
      <c r="AU38" s="94"/>
      <c r="AV38" s="95"/>
      <c r="AW38" s="77"/>
      <c r="AX38" s="78"/>
      <c r="AY38" s="81"/>
      <c r="AZ38" s="75"/>
      <c r="BA38" s="77"/>
      <c r="BB38" s="78"/>
      <c r="BC38" s="81"/>
      <c r="BD38" s="75"/>
      <c r="BE38" s="77"/>
      <c r="BF38" s="78"/>
      <c r="BG38" s="81"/>
      <c r="BH38" s="75"/>
      <c r="BI38" s="81"/>
      <c r="BJ38" s="75"/>
      <c r="BK38" s="81"/>
      <c r="BL38" s="75"/>
      <c r="BM38" s="81"/>
      <c r="BN38" s="75"/>
      <c r="BO38" s="81"/>
      <c r="BP38" s="75"/>
      <c r="BQ38" s="81"/>
      <c r="BR38" s="75"/>
      <c r="BS38" s="81"/>
      <c r="BT38" s="75"/>
      <c r="BU38" s="81"/>
      <c r="BV38" s="75"/>
      <c r="BW38" s="81"/>
      <c r="BX38" s="75"/>
      <c r="BY38" s="81"/>
      <c r="BZ38" s="75"/>
      <c r="CA38" s="81"/>
      <c r="CB38" s="75"/>
      <c r="CC38" s="81"/>
      <c r="CD38" s="75"/>
      <c r="CE38" s="81"/>
      <c r="CF38" s="75"/>
      <c r="CG38" s="81"/>
      <c r="CH38" s="75"/>
      <c r="CI38" s="81"/>
      <c r="CJ38" s="75"/>
      <c r="CK38" s="81"/>
      <c r="CL38" s="75"/>
      <c r="CM38" s="81"/>
      <c r="CN38" s="75"/>
      <c r="CO38" s="81"/>
      <c r="CP38" s="75"/>
      <c r="CQ38" s="81"/>
      <c r="CR38" s="75"/>
      <c r="CS38" s="81"/>
      <c r="CT38" s="75"/>
      <c r="CU38" s="81"/>
      <c r="CV38" s="75"/>
      <c r="CW38" s="81"/>
      <c r="CX38" s="75"/>
      <c r="CY38" s="82" t="n">
        <f aca="false">W38+Y38+AA38+AC38+AE38+AG38+AI38+AK38+AM38+AO38+AQ38+AS38+AU38+AW38+AY38+BA38+BC38+BE38+BG38+BI38+BK38+BM38+BO38+BQ38+BS38+BU38+BW38+BY38+CA38+CC38+CE38+CG38+CI38+CK38+CM38+CO38+CQ38+CS38+CU38+CW38</f>
        <v>0</v>
      </c>
      <c r="CZ38" s="83" t="n">
        <f aca="false">IF(AND(CY38=0,DC38=0),0,(DF38+DG38)/DC38)</f>
        <v>0</v>
      </c>
      <c r="DA38" s="84" t="n">
        <f aca="false">DC38*DD38</f>
        <v>0</v>
      </c>
      <c r="DB38" s="85" t="n">
        <f aca="false">V38</f>
        <v>37161</v>
      </c>
      <c r="DC38" s="84" t="n">
        <f aca="false">ABS(W38)+ABS(Y38)+ABS(AA38)+ABS(AC38)+ABS(AE38)+ABS(AG38)+ABS(AI38)+ABS(AK38)+ABS(AM38)+ABS(AO38)+ABS(AQ38)+ABS(AS38)+ABS(AU38)+ABS(AW38)+ABS(AY38)+ABS(BA38)+ABS(BC38)+ABS(BE38)+ABS(BG38)+ABS(BI38)+ABS(BK38)+ABS(BM38)+ABS(BO38)+ABS(BQ38)+ABS(BS38)+ABS(BU38)+ABS(BW38)+ABS(BY38)+ABS(CA38)+ABS(CC38)+ABS(CE38)+ABS(CG38)+ABS(CI38)+ABS(CK38)+ABS(CM38)+ABS(CO38)+ABS(CQ38)+ABS(CS38)+ABS(CU38)+ABS(CW38)</f>
        <v>0</v>
      </c>
      <c r="DD38" s="86" t="n">
        <v>16</v>
      </c>
      <c r="DE38" s="84" t="n">
        <v>1</v>
      </c>
      <c r="DF38" s="43" t="n">
        <f aca="false">(ABS(W38)*X38+ABS(Y38)*Z38+ABS(AA38)*AB38+ABS(AC38)*AD38+ABS(AE38)*AF38+ABS(AG38)*AH38+ABS(AI38)*AJ38+ABS(AK38)*AL38+ABS(AM38)*AN38+ABS(AO38)*AP38+ABS(AQ38)*AR38+ABS(AS38)*AT38+ABS(AU38)*AV38+ABS(AW38)*AX38+ABS(AY38)*AZ38+ABS(BA38)*BB38+ABS(BC38)*BD38+ABS(BE38)*BF38+ABS(BG38)*BH38+ABS(BI38)*BJ38)</f>
        <v>0</v>
      </c>
      <c r="DG38" s="43" t="n">
        <f aca="false">ABS(BK38)*BL38+ABS(BM38)*BN38+ABS(BO38)*BP38+ABS(BQ38)*BR38+ABS(BS38)*BT38+ABS(BU38)*BV38+ABS(BW38)*BX38+ABS(BY38)*BZ38+ABS(CA38)*CB38+ABS(CC38)*CD38+ABS(CE38)*CF38+ABS(CG38)*CH38+ABS(CI38)*CJ38+ABS(CK38)*CL38+ABS(CM38)*CN38+ABS(CO38)*CP38+ABS(CQ38)*CR38+ABS(CS38)*CT38+ABS(CU38)*CV38+ABS(CW38)*CX38</f>
        <v>0</v>
      </c>
      <c r="DH38" s="43" t="n">
        <f aca="false">((H38-X38)*W38+(H38-Z38)*Y38+(H38-AB38)*AA38+(H38-AD38)*AC38+(H38-AF38)*AE38+(H38-AH38)*AG38+(H38-AJ38)*AI38+(H38-AL38)*AK38+(H38-AN38)*AM38+(H38-AP38)*AO38+(H38-AR38)*AQ38+(H38-AT38)*AS38+(H38-AV38)*AU38+(H38-AX38)*AW38+(H38-AZ38)*AY38+(H38-BB38)*BA38+(H38-BD38)*BC38+(H38-BF38)*BE38+(H38-BH38)*BG38+(H38-BJ38)*BI38)*DD38*DE38</f>
        <v>0</v>
      </c>
      <c r="DI38" s="43" t="n">
        <f aca="false">(((H38-BL38)*BK38+(H38-BN38)*BM38+(H38-BP38)*BO38+(H38-BR38)*BQ38+(H38-BT38)*BS38+(H38-BV38)*BU38+(H38-BX38)*BW38+(H38-BZ38)*BY38+(H38-CB38)*CA38+(H38-CD38)*CC38+(H38-CF38)*CE38+(H38-CH38)*CG38+(H38-CJ38)*CH38+(H38-CL38)*CK38+(H38-CN38)*CM38+(H38-CP38)*CO38+(H38-CR38)*CQ38+(H38-CT38)*CS38+(H38-CV38)*CU38+(H38-CX38)*CW38)*DD38*DE38)</f>
        <v>0</v>
      </c>
      <c r="DK38" s="85" t="n">
        <v>36865</v>
      </c>
      <c r="DL38" s="21" t="n">
        <v>50</v>
      </c>
      <c r="DM38" s="21" t="n">
        <f aca="false">[5]NEPOOL!$L25</f>
        <v>-1189.7</v>
      </c>
      <c r="DN38" s="21" t="n">
        <f aca="false">IF(AND(WEEKDAY(DK38)&gt;1,WEEKDAY(DK38)&lt;7),1,0)</f>
        <v>1</v>
      </c>
    </row>
    <row r="39" customFormat="false" ht="18.75" hidden="false" customHeight="false" outlineLevel="0" collapsed="false">
      <c r="A39" s="58" t="n">
        <f aca="false">'NYISO A'!A39</f>
        <v>37162</v>
      </c>
      <c r="B39" s="59" t="n">
        <f aca="false">[3]Nepool!$L30/16</f>
        <v>-198.997756958008</v>
      </c>
      <c r="C39" s="101" t="n">
        <f aca="false">CY39</f>
        <v>0</v>
      </c>
      <c r="D39" s="87" t="n">
        <f aca="false">(IF(MONTH(A39)=MONTH(EOMONTH(TradeDate,1)),$AP$69,0)*VLOOKUP(A39,$DK$12:$DN$43,4))</f>
        <v>0</v>
      </c>
      <c r="E39" s="62" t="n">
        <f aca="false">B39+C39+D39</f>
        <v>-198.997756958008</v>
      </c>
      <c r="F39" s="63" t="n">
        <f aca="false">[3]Nepool!$C30</f>
        <v>38</v>
      </c>
      <c r="G39" s="88" t="n">
        <f aca="false">IF($Q$9,Q39,P39)</f>
        <v>1.17</v>
      </c>
      <c r="H39" s="89" t="n">
        <f aca="false">F39+G39</f>
        <v>39.17</v>
      </c>
      <c r="I39" s="87" t="n">
        <f aca="false">B39*G39*DD39</f>
        <v>-3725.23801025391</v>
      </c>
      <c r="J39" s="66" t="n">
        <f aca="false">DH39+DI39</f>
        <v>0</v>
      </c>
      <c r="K39" s="90" t="n">
        <f aca="false">+J39+I39</f>
        <v>-3725.23801025391</v>
      </c>
      <c r="L39" s="24"/>
      <c r="M39" s="67" t="n">
        <f aca="false">A39</f>
        <v>37162</v>
      </c>
      <c r="N39" s="92" t="n">
        <v>39.17</v>
      </c>
      <c r="O39" s="92" t="n">
        <v>39.17</v>
      </c>
      <c r="P39" s="69" t="n">
        <f aca="false">AVERAGE(N39:O39)-F39</f>
        <v>1.17</v>
      </c>
      <c r="Q39" s="70"/>
      <c r="R39" s="91" t="n">
        <f aca="false">H39</f>
        <v>39.17</v>
      </c>
      <c r="S39" s="24"/>
      <c r="T39" s="24"/>
      <c r="U39" s="72"/>
      <c r="V39" s="73" t="n">
        <f aca="false">A39</f>
        <v>37162</v>
      </c>
      <c r="W39" s="77"/>
      <c r="X39" s="78"/>
      <c r="Y39" s="77"/>
      <c r="Z39" s="78"/>
      <c r="AA39" s="77"/>
      <c r="AB39" s="78"/>
      <c r="AC39" s="77"/>
      <c r="AD39" s="78"/>
      <c r="AE39" s="77"/>
      <c r="AF39" s="78"/>
      <c r="AG39" s="77"/>
      <c r="AH39" s="78"/>
      <c r="AI39" s="77"/>
      <c r="AJ39" s="78"/>
      <c r="AK39" s="77"/>
      <c r="AL39" s="78"/>
      <c r="AM39" s="77"/>
      <c r="AN39" s="78"/>
      <c r="AO39" s="77"/>
      <c r="AP39" s="78"/>
      <c r="AQ39" s="77"/>
      <c r="AR39" s="97"/>
      <c r="AS39" s="77"/>
      <c r="AT39" s="78"/>
      <c r="AU39" s="94"/>
      <c r="AV39" s="95"/>
      <c r="AW39" s="77"/>
      <c r="AX39" s="78"/>
      <c r="AY39" s="81"/>
      <c r="AZ39" s="75"/>
      <c r="BA39" s="77"/>
      <c r="BB39" s="78"/>
      <c r="BC39" s="81"/>
      <c r="BD39" s="75"/>
      <c r="BE39" s="77"/>
      <c r="BF39" s="78"/>
      <c r="BG39" s="81"/>
      <c r="BH39" s="75"/>
      <c r="BI39" s="81"/>
      <c r="BJ39" s="75"/>
      <c r="BK39" s="81"/>
      <c r="BL39" s="75"/>
      <c r="BM39" s="81"/>
      <c r="BN39" s="75"/>
      <c r="BO39" s="81"/>
      <c r="BP39" s="75"/>
      <c r="BQ39" s="81"/>
      <c r="BR39" s="75"/>
      <c r="BS39" s="81"/>
      <c r="BT39" s="75"/>
      <c r="BU39" s="81"/>
      <c r="BV39" s="75"/>
      <c r="BW39" s="81"/>
      <c r="BX39" s="75"/>
      <c r="BY39" s="81"/>
      <c r="BZ39" s="75"/>
      <c r="CA39" s="81"/>
      <c r="CB39" s="75"/>
      <c r="CC39" s="81"/>
      <c r="CD39" s="75"/>
      <c r="CE39" s="81"/>
      <c r="CF39" s="75"/>
      <c r="CG39" s="81"/>
      <c r="CH39" s="75"/>
      <c r="CI39" s="81"/>
      <c r="CJ39" s="75"/>
      <c r="CK39" s="81"/>
      <c r="CL39" s="75"/>
      <c r="CM39" s="81"/>
      <c r="CN39" s="75"/>
      <c r="CO39" s="81"/>
      <c r="CP39" s="75"/>
      <c r="CQ39" s="81"/>
      <c r="CR39" s="75"/>
      <c r="CS39" s="81"/>
      <c r="CT39" s="75"/>
      <c r="CU39" s="81"/>
      <c r="CV39" s="75"/>
      <c r="CW39" s="81"/>
      <c r="CX39" s="75"/>
      <c r="CY39" s="82" t="n">
        <f aca="false">W39+Y39+AA39+AC39+AE39+AG39+AI39+AK39+AM39+AO39+AQ39+AS39+AU39+AW39+AY39+BA39+BC39+BE39+BG39+BI39+BK39+BM39+BO39+BQ39+BS39+BU39+BW39+BY39+CA39+CC39+CE39+CG39+CI39+CK39+CM39+CO39+CQ39+CS39+CU39+CW39</f>
        <v>0</v>
      </c>
      <c r="CZ39" s="83" t="n">
        <f aca="false">IF(AND(CY39=0,DC39=0),0,(DF39+DG39)/DC39)</f>
        <v>0</v>
      </c>
      <c r="DA39" s="84" t="n">
        <f aca="false">DC39*DD39</f>
        <v>0</v>
      </c>
      <c r="DB39" s="85" t="n">
        <f aca="false">V39</f>
        <v>37162</v>
      </c>
      <c r="DC39" s="84" t="n">
        <f aca="false">ABS(W39)+ABS(Y39)+ABS(AA39)+ABS(AC39)+ABS(AE39)+ABS(AG39)+ABS(AI39)+ABS(AK39)+ABS(AM39)+ABS(AO39)+ABS(AQ39)+ABS(AS39)+ABS(AU39)+ABS(AW39)+ABS(AY39)+ABS(BA39)+ABS(BC39)+ABS(BE39)+ABS(BG39)+ABS(BI39)+ABS(BK39)+ABS(BM39)+ABS(BO39)+ABS(BQ39)+ABS(BS39)+ABS(BU39)+ABS(BW39)+ABS(BY39)+ABS(CA39)+ABS(CC39)+ABS(CE39)+ABS(CG39)+ABS(CI39)+ABS(CK39)+ABS(CM39)+ABS(CO39)+ABS(CQ39)+ABS(CS39)+ABS(CU39)+ABS(CW39)</f>
        <v>0</v>
      </c>
      <c r="DD39" s="86" t="n">
        <v>16</v>
      </c>
      <c r="DE39" s="84" t="n">
        <v>1</v>
      </c>
      <c r="DF39" s="43" t="n">
        <f aca="false">(ABS(W39)*X39+ABS(Y39)*Z39+ABS(AA39)*AB39+ABS(AC39)*AD39+ABS(AE39)*AF39+ABS(AG39)*AH39+ABS(AI39)*AJ39+ABS(AK39)*AL39+ABS(AM39)*AN39+ABS(AO39)*AP39+ABS(AQ39)*AR39+ABS(AS39)*AT39+ABS(AU39)*AV39+ABS(AW39)*AX39+ABS(AY39)*AZ39+ABS(BA39)*BB39+ABS(BC39)*BD39+ABS(BE39)*BF39+ABS(BG39)*BH39+ABS(BI39)*BJ39)</f>
        <v>0</v>
      </c>
      <c r="DG39" s="43" t="n">
        <f aca="false">ABS(BK39)*BL39+ABS(BM39)*BN39+ABS(BO39)*BP39+ABS(BQ39)*BR39+ABS(BS39)*BT39+ABS(BU39)*BV39+ABS(BW39)*BX39+ABS(BY39)*BZ39+ABS(CA39)*CB39+ABS(CC39)*CD39+ABS(CE39)*CF39+ABS(CG39)*CH39+ABS(CI39)*CJ39+ABS(CK39)*CL39+ABS(CM39)*CN39+ABS(CO39)*CP39+ABS(CQ39)*CR39+ABS(CS39)*CT39+ABS(CU39)*CV39+ABS(CW39)*CX39</f>
        <v>0</v>
      </c>
      <c r="DH39" s="43" t="n">
        <f aca="false">((H39-X39)*W39+(H39-Z39)*Y39+(H39-AB39)*AA39+(H39-AD39)*AC39+(H39-AF39)*AE39+(H39-AH39)*AG39+(H39-AJ39)*AI39+(H39-AL39)*AK39+(H39-AN39)*AM39+(H39-AP39)*AO39+(H39-AR39)*AQ39+(H39-AT39)*AS39+(H39-AV39)*AU39+(H39-AX39)*AW39+(H39-AZ39)*AY39+(H39-BB39)*BA39+(H39-BD39)*BC39+(H39-BF39)*BE39+(H39-BH39)*BG39+(H39-BJ39)*BI39)*DD39*DE39</f>
        <v>0</v>
      </c>
      <c r="DI39" s="43" t="n">
        <f aca="false">(((H39-BL39)*BK39+(H39-BN39)*BM39+(H39-BP39)*BO39+(H39-BR39)*BQ39+(H39-BT39)*BS39+(H39-BV39)*BU39+(H39-BX39)*BW39+(H39-BZ39)*BY39+(H39-CB39)*CA39+(H39-CD39)*CC39+(H39-CF39)*CE39+(H39-CH39)*CG39+(H39-CJ39)*CH39+(H39-CL39)*CK39+(H39-CN39)*CM39+(H39-CP39)*CO39+(H39-CR39)*CQ39+(H39-CT39)*CS39+(H39-CV39)*CU39+(H39-CX39)*CW39)*DD39*DE39)</f>
        <v>0</v>
      </c>
      <c r="DK39" s="85" t="n">
        <v>36866</v>
      </c>
      <c r="DL39" s="21" t="n">
        <v>50</v>
      </c>
      <c r="DM39" s="21" t="n">
        <f aca="false">[5]NEPOOL!$L26</f>
        <v>-1189.7</v>
      </c>
      <c r="DN39" s="21" t="n">
        <f aca="false">IF(AND(WEEKDAY(DK39)&gt;1,WEEKDAY(DK39)&lt;7),1,0)</f>
        <v>1</v>
      </c>
    </row>
    <row r="40" customFormat="false" ht="18.75" hidden="false" customHeight="false" outlineLevel="0" collapsed="false">
      <c r="A40" s="58" t="n">
        <f aca="false">'NYISO A'!A40</f>
        <v>37163</v>
      </c>
      <c r="B40" s="59" t="n">
        <f aca="false">[3]Nepool!$L31/16</f>
        <v>0</v>
      </c>
      <c r="C40" s="60" t="n">
        <f aca="false">CY40</f>
        <v>0</v>
      </c>
      <c r="D40" s="61" t="n">
        <f aca="false">(IF(MONTH(A40)=MONTH(EOMONTH(TradeDate,1)),$AP$69,0)*VLOOKUP(A40,$DK$12:$DN$43,4))</f>
        <v>0</v>
      </c>
      <c r="E40" s="62" t="n">
        <f aca="false">B40+C40+D40</f>
        <v>0</v>
      </c>
      <c r="F40" s="63" t="n">
        <f aca="false">[3]Nepool!$C31</f>
        <v>35</v>
      </c>
      <c r="G40" s="63" t="n">
        <f aca="false">IF($Q$9,Q40,P40)</f>
        <v>4.17</v>
      </c>
      <c r="H40" s="64" t="n">
        <f aca="false">F40+G40</f>
        <v>39.17</v>
      </c>
      <c r="I40" s="65" t="n">
        <f aca="false">B40*G40*DD40</f>
        <v>0</v>
      </c>
      <c r="J40" s="66" t="n">
        <f aca="false">DH40+DI40</f>
        <v>0</v>
      </c>
      <c r="K40" s="66" t="n">
        <f aca="false">+J40+I40</f>
        <v>0</v>
      </c>
      <c r="L40" s="24"/>
      <c r="M40" s="67" t="n">
        <f aca="false">A40</f>
        <v>37163</v>
      </c>
      <c r="N40" s="92" t="n">
        <v>39.17</v>
      </c>
      <c r="O40" s="92" t="n">
        <v>39.17</v>
      </c>
      <c r="P40" s="69" t="n">
        <f aca="false">AVERAGE(N40:O40)-F40</f>
        <v>4.17</v>
      </c>
      <c r="Q40" s="70"/>
      <c r="R40" s="91" t="n">
        <f aca="false">H40</f>
        <v>39.17</v>
      </c>
      <c r="S40" s="24"/>
      <c r="T40" s="24"/>
      <c r="U40" s="72"/>
      <c r="V40" s="73" t="n">
        <f aca="false">A40</f>
        <v>37163</v>
      </c>
      <c r="W40" s="77"/>
      <c r="X40" s="78"/>
      <c r="Y40" s="77"/>
      <c r="Z40" s="78"/>
      <c r="AA40" s="77"/>
      <c r="AB40" s="78"/>
      <c r="AC40" s="77"/>
      <c r="AD40" s="78"/>
      <c r="AE40" s="77"/>
      <c r="AF40" s="78"/>
      <c r="AG40" s="77"/>
      <c r="AH40" s="78"/>
      <c r="AI40" s="77"/>
      <c r="AJ40" s="78"/>
      <c r="AK40" s="77"/>
      <c r="AL40" s="78"/>
      <c r="AM40" s="77"/>
      <c r="AN40" s="78"/>
      <c r="AO40" s="77"/>
      <c r="AP40" s="78"/>
      <c r="AQ40" s="77"/>
      <c r="AR40" s="97"/>
      <c r="AS40" s="77"/>
      <c r="AT40" s="78"/>
      <c r="AU40" s="94"/>
      <c r="AV40" s="95"/>
      <c r="AW40" s="77"/>
      <c r="AX40" s="78"/>
      <c r="AY40" s="81"/>
      <c r="AZ40" s="75"/>
      <c r="BA40" s="77"/>
      <c r="BB40" s="99"/>
      <c r="BC40" s="81"/>
      <c r="BD40" s="75"/>
      <c r="BE40" s="77"/>
      <c r="BF40" s="78"/>
      <c r="BG40" s="81"/>
      <c r="BH40" s="75"/>
      <c r="BI40" s="81"/>
      <c r="BJ40" s="75"/>
      <c r="BK40" s="81"/>
      <c r="BL40" s="75"/>
      <c r="BM40" s="81"/>
      <c r="BN40" s="75"/>
      <c r="BO40" s="81"/>
      <c r="BP40" s="75"/>
      <c r="BQ40" s="81"/>
      <c r="BR40" s="75"/>
      <c r="BS40" s="81"/>
      <c r="BT40" s="75"/>
      <c r="BU40" s="81"/>
      <c r="BV40" s="75"/>
      <c r="BW40" s="81"/>
      <c r="BX40" s="75"/>
      <c r="BY40" s="81"/>
      <c r="BZ40" s="75"/>
      <c r="CA40" s="81"/>
      <c r="CB40" s="75"/>
      <c r="CC40" s="81"/>
      <c r="CD40" s="75"/>
      <c r="CE40" s="81"/>
      <c r="CF40" s="75"/>
      <c r="CG40" s="81"/>
      <c r="CH40" s="75"/>
      <c r="CI40" s="81"/>
      <c r="CJ40" s="75"/>
      <c r="CK40" s="81"/>
      <c r="CL40" s="75"/>
      <c r="CM40" s="81"/>
      <c r="CN40" s="75"/>
      <c r="CO40" s="81"/>
      <c r="CP40" s="75"/>
      <c r="CQ40" s="81"/>
      <c r="CR40" s="75"/>
      <c r="CS40" s="81"/>
      <c r="CT40" s="75"/>
      <c r="CU40" s="81"/>
      <c r="CV40" s="75"/>
      <c r="CW40" s="81"/>
      <c r="CX40" s="75"/>
      <c r="CY40" s="82" t="n">
        <f aca="false">W40+Y40+AA40+AC40+AE40+AG40+AI40+AK40+AM40+AO40+AQ40+AS40+AU40+AW40+AY40+BA40+BC40+BE40+BG40+BI40+BK40+BM40+BO40+BQ40+BS40+BU40+BW40+BY40+CA40+CC40+CE40+CG40+CI40+CK40+CM40+CO40+CQ40+CS40+CU40+CW40</f>
        <v>0</v>
      </c>
      <c r="CZ40" s="83" t="n">
        <f aca="false">IF(AND(CY40=0,DC40=0),0,(DF40+DG40)/DC40)</f>
        <v>0</v>
      </c>
      <c r="DA40" s="84" t="n">
        <f aca="false">DC40*DD40</f>
        <v>0</v>
      </c>
      <c r="DB40" s="85" t="n">
        <f aca="false">V40</f>
        <v>37163</v>
      </c>
      <c r="DC40" s="84" t="n">
        <f aca="false">ABS(W40)+ABS(Y40)+ABS(AA40)+ABS(AC40)+ABS(AE40)+ABS(AG40)+ABS(AI40)+ABS(AK40)+ABS(AM40)+ABS(AO40)+ABS(AQ40)+ABS(AS40)+ABS(AU40)+ABS(AW40)+ABS(AY40)+ABS(BA40)+ABS(BC40)+ABS(BE40)+ABS(BG40)+ABS(BI40)+ABS(BK40)+ABS(BM40)+ABS(BO40)+ABS(BQ40)+ABS(BS40)+ABS(BU40)+ABS(BW40)+ABS(BY40)+ABS(CA40)+ABS(CC40)+ABS(CE40)+ABS(CG40)+ABS(CI40)+ABS(CK40)+ABS(CM40)+ABS(CO40)+ABS(CQ40)+ABS(CS40)+ABS(CU40)+ABS(CW40)</f>
        <v>0</v>
      </c>
      <c r="DD40" s="86" t="n">
        <v>16</v>
      </c>
      <c r="DE40" s="84" t="n">
        <v>1</v>
      </c>
      <c r="DF40" s="43" t="n">
        <f aca="false">(ABS(W40)*X40+ABS(Y40)*Z40+ABS(AA40)*AB40+ABS(AC40)*AD40+ABS(AE40)*AF40+ABS(AG40)*AH40+ABS(AI40)*AJ40+ABS(AK40)*AL40+ABS(AM40)*AN40+ABS(AO40)*AP40+ABS(AQ40)*AR40+ABS(AS40)*AT40+ABS(AU40)*AV40+ABS(AW40)*AX40+ABS(AY40)*AZ40+ABS(BA40)*BB40+ABS(BC40)*BD40+ABS(BE40)*BF40+ABS(BG40)*BH40+ABS(BI40)*BJ40)</f>
        <v>0</v>
      </c>
      <c r="DG40" s="43" t="n">
        <f aca="false">ABS(BK40)*BL40+ABS(BM40)*BN40+ABS(BO40)*BP40+ABS(BQ40)*BR40+ABS(BS40)*BT40+ABS(BU40)*BV40+ABS(BW40)*BX40+ABS(BY40)*BZ40+ABS(CA40)*CB40+ABS(CC40)*CD40+ABS(CE40)*CF40+ABS(CG40)*CH40+ABS(CI40)*CJ40+ABS(CK40)*CL40+ABS(CM40)*CN40+ABS(CO40)*CP40+ABS(CQ40)*CR40+ABS(CS40)*CT40+ABS(CU40)*CV40+ABS(CW40)*CX40</f>
        <v>0</v>
      </c>
      <c r="DH40" s="43" t="n">
        <f aca="false">((H40-X40)*W40+(H40-Z40)*Y40+(H40-AB40)*AA40+(H40-AD40)*AC40+(H40-AF40)*AE40+(H40-AH40)*AG40+(H40-AJ40)*AI40+(H40-AL40)*AK40+(H40-AN40)*AM40+(H40-AP40)*AO40+(H40-AR40)*AQ40+(H40-AT40)*AS40+(H40-AV40)*AU40+(H40-AX40)*AW40+(H40-AZ40)*AY40+(H40-BB40)*BA40+(H40-BD40)*BC40+(H40-BF40)*BE40+(H40-BH40)*BG40+(H40-BJ40)*BI40)*DD40*DE40</f>
        <v>0</v>
      </c>
      <c r="DI40" s="43" t="n">
        <f aca="false">(((H40-BL40)*BK40+(H40-BN40)*BM40+(H40-BP40)*BO40+(H40-BR40)*BQ40+(H40-BT40)*BS40+(H40-BV40)*BU40+(H40-BX40)*BW40+(H40-BZ40)*BY40+(H40-CB40)*CA40+(H40-CD40)*CC40+(H40-CF40)*CE40+(H40-CH40)*CG40+(H40-CJ40)*CH40+(H40-CL40)*CK40+(H40-CN40)*CM40+(H40-CP40)*CO40+(H40-CR40)*CQ40+(H40-CT40)*CS40+(H40-CV40)*CU40+(H40-CX40)*CW40)*DD40*DE40)</f>
        <v>0</v>
      </c>
      <c r="DK40" s="85" t="n">
        <v>36867</v>
      </c>
      <c r="DL40" s="21" t="n">
        <v>50</v>
      </c>
      <c r="DM40" s="21" t="n">
        <f aca="false">[5]NEPOOL!$L27</f>
        <v>-1189.7</v>
      </c>
      <c r="DN40" s="21" t="n">
        <f aca="false">IF(AND(WEEKDAY(DK40)&gt;1,WEEKDAY(DK40)&lt;7),1,0)</f>
        <v>1</v>
      </c>
    </row>
    <row r="41" customFormat="false" ht="18.75" hidden="false" customHeight="false" outlineLevel="0" collapsed="false">
      <c r="A41" s="58" t="n">
        <f aca="false">'NYISO A'!A41</f>
        <v>37164</v>
      </c>
      <c r="B41" s="59" t="n">
        <f aca="false">[3]Nepool!$L32/16</f>
        <v>0</v>
      </c>
      <c r="C41" s="101" t="n">
        <f aca="false">CY41</f>
        <v>0</v>
      </c>
      <c r="D41" s="87" t="n">
        <f aca="false">(IF(MONTH(A41)=MONTH(EOMONTH(TradeDate,1)),$AP$69,0)*VLOOKUP(A41,$DK$12:$DN$43,4))</f>
        <v>0</v>
      </c>
      <c r="E41" s="62" t="n">
        <f aca="false">B41+C41+D41</f>
        <v>0</v>
      </c>
      <c r="F41" s="63" t="n">
        <f aca="false">[3]Nepool!$C32</f>
        <v>35</v>
      </c>
      <c r="G41" s="88" t="n">
        <f aca="false">IF($Q$9,Q41,P41)</f>
        <v>4.17</v>
      </c>
      <c r="H41" s="89" t="n">
        <f aca="false">F41+G41</f>
        <v>39.17</v>
      </c>
      <c r="I41" s="87" t="n">
        <f aca="false">B41*G41*DD41</f>
        <v>0</v>
      </c>
      <c r="J41" s="66" t="n">
        <f aca="false">DH41+DI41</f>
        <v>0</v>
      </c>
      <c r="K41" s="90" t="n">
        <f aca="false">+J41+I41</f>
        <v>0</v>
      </c>
      <c r="L41" s="24"/>
      <c r="M41" s="67" t="n">
        <f aca="false">A41</f>
        <v>37164</v>
      </c>
      <c r="N41" s="92" t="n">
        <v>39.17</v>
      </c>
      <c r="O41" s="92" t="n">
        <v>39.17</v>
      </c>
      <c r="P41" s="69" t="n">
        <f aca="false">AVERAGE(N41:O41)-F41</f>
        <v>4.17</v>
      </c>
      <c r="Q41" s="70"/>
      <c r="R41" s="91" t="n">
        <f aca="false">H41</f>
        <v>39.17</v>
      </c>
      <c r="S41" s="24"/>
      <c r="T41" s="24"/>
      <c r="U41" s="72"/>
      <c r="V41" s="73" t="n">
        <f aca="false">A41</f>
        <v>37164</v>
      </c>
      <c r="W41" s="77"/>
      <c r="X41" s="78"/>
      <c r="Y41" s="77"/>
      <c r="Z41" s="78"/>
      <c r="AA41" s="77"/>
      <c r="AB41" s="78"/>
      <c r="AC41" s="77"/>
      <c r="AD41" s="78"/>
      <c r="AE41" s="77"/>
      <c r="AF41" s="78"/>
      <c r="AG41" s="77"/>
      <c r="AH41" s="78"/>
      <c r="AI41" s="77"/>
      <c r="AJ41" s="78"/>
      <c r="AK41" s="77"/>
      <c r="AL41" s="78"/>
      <c r="AM41" s="77"/>
      <c r="AN41" s="78"/>
      <c r="AO41" s="77"/>
      <c r="AP41" s="78"/>
      <c r="AQ41" s="77"/>
      <c r="AR41" s="97"/>
      <c r="AS41" s="77"/>
      <c r="AT41" s="97"/>
      <c r="AU41" s="94"/>
      <c r="AV41" s="95"/>
      <c r="AW41" s="96"/>
      <c r="AX41" s="75"/>
      <c r="AY41" s="81"/>
      <c r="AZ41" s="75"/>
      <c r="BA41" s="81"/>
      <c r="BB41" s="75"/>
      <c r="BC41" s="81"/>
      <c r="BD41" s="75"/>
      <c r="BE41" s="81"/>
      <c r="BF41" s="75"/>
      <c r="BG41" s="81"/>
      <c r="BH41" s="75"/>
      <c r="BI41" s="81"/>
      <c r="BJ41" s="75"/>
      <c r="BK41" s="81"/>
      <c r="BL41" s="75"/>
      <c r="BM41" s="81"/>
      <c r="BN41" s="75"/>
      <c r="BO41" s="81"/>
      <c r="BP41" s="75"/>
      <c r="BQ41" s="81"/>
      <c r="BR41" s="75"/>
      <c r="BS41" s="81"/>
      <c r="BT41" s="75"/>
      <c r="BU41" s="81"/>
      <c r="BV41" s="75"/>
      <c r="BW41" s="81"/>
      <c r="BX41" s="75"/>
      <c r="BY41" s="81"/>
      <c r="BZ41" s="75"/>
      <c r="CA41" s="81"/>
      <c r="CB41" s="75"/>
      <c r="CC41" s="81"/>
      <c r="CD41" s="75"/>
      <c r="CE41" s="81"/>
      <c r="CF41" s="75"/>
      <c r="CG41" s="81"/>
      <c r="CH41" s="75"/>
      <c r="CI41" s="81"/>
      <c r="CJ41" s="75"/>
      <c r="CK41" s="81"/>
      <c r="CL41" s="75"/>
      <c r="CM41" s="81"/>
      <c r="CN41" s="75"/>
      <c r="CO41" s="81"/>
      <c r="CP41" s="75"/>
      <c r="CQ41" s="81"/>
      <c r="CR41" s="75"/>
      <c r="CS41" s="81"/>
      <c r="CT41" s="75"/>
      <c r="CU41" s="81"/>
      <c r="CV41" s="75"/>
      <c r="CW41" s="81"/>
      <c r="CX41" s="75"/>
      <c r="CY41" s="82" t="n">
        <f aca="false">W41+Y41+AA41+AC41+AE41+AG41+AI41+AK41+AM41+AO41+AQ41+AS41+AU41+AW41+AY41+BA41+BC41+BE41+BG41+BI41+BK41+BM41+BO41+BQ41+BS41+BU41+BW41+BY41+CA41+CC41+CE41+CG41+CI41+CK41+CM41+CO41+CQ41+CS41+CU41+CW41</f>
        <v>0</v>
      </c>
      <c r="CZ41" s="83" t="n">
        <f aca="false">IF(AND(CY41=0,DC41=0),0,(DF41+DG41)/DC41)</f>
        <v>0</v>
      </c>
      <c r="DA41" s="84" t="n">
        <f aca="false">DC41*DD41</f>
        <v>0</v>
      </c>
      <c r="DB41" s="85" t="n">
        <f aca="false">V41</f>
        <v>37164</v>
      </c>
      <c r="DC41" s="84" t="n">
        <f aca="false">ABS(W41)+ABS(Y41)+ABS(AA41)+ABS(AC41)+ABS(AE41)+ABS(AG41)+ABS(AI41)+ABS(AK41)+ABS(AM41)+ABS(AO41)+ABS(AQ41)+ABS(AS41)+ABS(AU41)+ABS(AW41)+ABS(AY41)+ABS(BA41)+ABS(BC41)+ABS(BE41)+ABS(BG41)+ABS(BI41)+ABS(BK41)+ABS(BM41)+ABS(BO41)+ABS(BQ41)+ABS(BS41)+ABS(BU41)+ABS(BW41)+ABS(BY41)+ABS(CA41)+ABS(CC41)+ABS(CE41)+ABS(CG41)+ABS(CI41)+ABS(CK41)+ABS(CM41)+ABS(CO41)+ABS(CQ41)+ABS(CS41)+ABS(CU41)+ABS(CW41)</f>
        <v>0</v>
      </c>
      <c r="DD41" s="86" t="n">
        <v>16</v>
      </c>
      <c r="DE41" s="84" t="n">
        <v>1</v>
      </c>
      <c r="DF41" s="43" t="n">
        <f aca="false">(ABS(W41)*X41+ABS(Y41)*Z41+ABS(AA41)*AB41+ABS(AC41)*AD41+ABS(AE41)*AF41+ABS(AG41)*AH41+ABS(AI41)*AJ41+ABS(AK41)*AL41+ABS(AM41)*AN41+ABS(AO41)*AP41+ABS(AQ41)*AR41+ABS(AS41)*AT41+ABS(AU41)*AV41+ABS(AW41)*AX41+ABS(AY41)*AZ41+ABS(BA41)*BB41+ABS(BC41)*BD41+ABS(BE41)*BF41+ABS(BG41)*BH41+ABS(BI41)*BJ41)</f>
        <v>0</v>
      </c>
      <c r="DG41" s="43" t="n">
        <f aca="false">ABS(BK41)*BL41+ABS(BM41)*BN41+ABS(BO41)*BP41+ABS(BQ41)*BR41+ABS(BS41)*BT41+ABS(BU41)*BV41+ABS(BW41)*BX41+ABS(BY41)*BZ41+ABS(CA41)*CB41+ABS(CC41)*CD41+ABS(CE41)*CF41+ABS(CG41)*CH41+ABS(CI41)*CJ41+ABS(CK41)*CL41+ABS(CM41)*CN41+ABS(CO41)*CP41+ABS(CQ41)*CR41+ABS(CS41)*CT41+ABS(CU41)*CV41+ABS(CW41)*CX41</f>
        <v>0</v>
      </c>
      <c r="DH41" s="43" t="n">
        <f aca="false">((H41-X41)*W41+(H41-Z41)*Y41+(H41-AB41)*AA41+(H41-AD41)*AC41+(H41-AF41)*AE41+(H41-AH41)*AG41+(H41-AJ41)*AI41+(H41-AL41)*AK41+(H41-AN41)*AM41+(H41-AP41)*AO41+(H41-AR41)*AQ41+(H41-AT41)*AS41+(H41-AV41)*AU41+(H41-AX41)*AW41+(H41-AZ41)*AY41+(H41-BB41)*BA41+(H41-BD41)*BC41+(H41-BF41)*BE41+(H41-BH41)*BG41+(H41-BJ41)*BI41)*DD41*DE41</f>
        <v>0</v>
      </c>
      <c r="DI41" s="43" t="n">
        <f aca="false">(((H41-BL41)*BK41+(H41-BN41)*BM41+(H41-BP41)*BO41+(H41-BR41)*BQ41+(H41-BT41)*BS41+(H41-BV41)*BU41+(H41-BX41)*BW41+(H41-BZ41)*BY41+(H41-CB41)*CA41+(H41-CD41)*CC41+(H41-CF41)*CE41+(H41-CH41)*CG41+(H41-CJ41)*CH41+(H41-CL41)*CK41+(H41-CN41)*CM41+(H41-CP41)*CO41+(H41-CR41)*CQ41+(H41-CT41)*CS41+(H41-CV41)*CU41+(H41-CX41)*CW41)*DD41*DE41)</f>
        <v>0</v>
      </c>
      <c r="DK41" s="85" t="n">
        <v>36868</v>
      </c>
      <c r="DL41" s="21" t="n">
        <v>50</v>
      </c>
      <c r="DM41" s="21" t="n">
        <f aca="false">[5]NEPOOL!$L28</f>
        <v>0</v>
      </c>
      <c r="DN41" s="21" t="n">
        <f aca="false">IF(AND(WEEKDAY(DK41)&gt;1,WEEKDAY(DK41)&lt;7),1,0)</f>
        <v>1</v>
      </c>
    </row>
    <row r="42" customFormat="false" ht="18.75" hidden="false" customHeight="false" outlineLevel="0" collapsed="false">
      <c r="A42" s="58" t="n">
        <f aca="false">'NYISO A'!A42</f>
        <v>37165</v>
      </c>
      <c r="B42" s="59" t="n">
        <f aca="false">[3]Nepool!$L33/16</f>
        <v>0</v>
      </c>
      <c r="C42" s="60" t="n">
        <f aca="false">CY42</f>
        <v>0</v>
      </c>
      <c r="D42" s="61" t="n">
        <f aca="false">(IF(MONTH(A42)=MONTH(EOMONTH(TradeDate,1)),$AP$69,0)*VLOOKUP(A42,$DK$12:$DN$43,4))</f>
        <v>0</v>
      </c>
      <c r="E42" s="62" t="n">
        <f aca="false">B42+C42+D42</f>
        <v>0</v>
      </c>
      <c r="F42" s="63" t="n">
        <f aca="false">[3]Nepool!$C33</f>
        <v>38</v>
      </c>
      <c r="G42" s="63" t="n">
        <f aca="false">IF($Q$9,Q42,P42)</f>
        <v>1.17</v>
      </c>
      <c r="H42" s="64" t="n">
        <f aca="false">F42+G42</f>
        <v>39.17</v>
      </c>
      <c r="I42" s="65" t="n">
        <f aca="false">B42*G42*DD42</f>
        <v>0</v>
      </c>
      <c r="J42" s="66" t="n">
        <f aca="false">DH42+DI42</f>
        <v>0</v>
      </c>
      <c r="K42" s="66" t="n">
        <f aca="false">+J42+I42</f>
        <v>0</v>
      </c>
      <c r="L42" s="24"/>
      <c r="M42" s="67" t="n">
        <f aca="false">A42</f>
        <v>37165</v>
      </c>
      <c r="N42" s="92" t="n">
        <v>39.17</v>
      </c>
      <c r="O42" s="92" t="n">
        <v>39.17</v>
      </c>
      <c r="P42" s="69" t="n">
        <f aca="false">AVERAGE(N42:O42)-F42</f>
        <v>1.17</v>
      </c>
      <c r="Q42" s="70"/>
      <c r="R42" s="91" t="n">
        <f aca="false">H42</f>
        <v>39.17</v>
      </c>
      <c r="S42" s="24"/>
      <c r="T42" s="24"/>
      <c r="U42" s="72"/>
      <c r="V42" s="73" t="n">
        <f aca="false">A42</f>
        <v>37165</v>
      </c>
      <c r="W42" s="77"/>
      <c r="X42" s="78"/>
      <c r="Y42" s="77"/>
      <c r="Z42" s="78"/>
      <c r="AA42" s="77"/>
      <c r="AB42" s="78"/>
      <c r="AC42" s="77"/>
      <c r="AD42" s="78"/>
      <c r="AE42" s="77"/>
      <c r="AF42" s="78"/>
      <c r="AG42" s="77"/>
      <c r="AH42" s="78"/>
      <c r="AI42" s="77"/>
      <c r="AJ42" s="78"/>
      <c r="AK42" s="77"/>
      <c r="AL42" s="78"/>
      <c r="AM42" s="77"/>
      <c r="AN42" s="78"/>
      <c r="AO42" s="77"/>
      <c r="AP42" s="78"/>
      <c r="AQ42" s="77"/>
      <c r="AR42" s="97"/>
      <c r="AS42" s="77"/>
      <c r="AT42" s="97"/>
      <c r="AU42" s="94"/>
      <c r="AV42" s="95"/>
      <c r="AW42" s="96"/>
      <c r="AX42" s="75"/>
      <c r="AY42" s="81"/>
      <c r="AZ42" s="75"/>
      <c r="BA42" s="81"/>
      <c r="BB42" s="75"/>
      <c r="BC42" s="81"/>
      <c r="BD42" s="75"/>
      <c r="BE42" s="81"/>
      <c r="BF42" s="75"/>
      <c r="BG42" s="81"/>
      <c r="BH42" s="75"/>
      <c r="BI42" s="81"/>
      <c r="BJ42" s="75"/>
      <c r="BK42" s="81"/>
      <c r="BL42" s="75"/>
      <c r="BM42" s="81"/>
      <c r="BN42" s="75"/>
      <c r="BO42" s="81"/>
      <c r="BP42" s="75"/>
      <c r="BQ42" s="81"/>
      <c r="BR42" s="75"/>
      <c r="BS42" s="81"/>
      <c r="BT42" s="75"/>
      <c r="BU42" s="81"/>
      <c r="BV42" s="75"/>
      <c r="BW42" s="81"/>
      <c r="BX42" s="75"/>
      <c r="BY42" s="81"/>
      <c r="BZ42" s="75"/>
      <c r="CA42" s="81"/>
      <c r="CB42" s="75"/>
      <c r="CC42" s="81"/>
      <c r="CD42" s="75"/>
      <c r="CE42" s="81"/>
      <c r="CF42" s="75"/>
      <c r="CG42" s="81"/>
      <c r="CH42" s="75"/>
      <c r="CI42" s="81"/>
      <c r="CJ42" s="75"/>
      <c r="CK42" s="81"/>
      <c r="CL42" s="75"/>
      <c r="CM42" s="81"/>
      <c r="CN42" s="75"/>
      <c r="CO42" s="81"/>
      <c r="CP42" s="75"/>
      <c r="CQ42" s="81"/>
      <c r="CR42" s="75"/>
      <c r="CS42" s="81"/>
      <c r="CT42" s="75"/>
      <c r="CU42" s="81"/>
      <c r="CV42" s="75"/>
      <c r="CW42" s="81"/>
      <c r="CX42" s="75"/>
      <c r="CY42" s="82" t="n">
        <f aca="false">W42+Y42+AA42+AC42+AE42+AG42+AI42+AK42+AM42+AO42+AQ42+AS42+AU42+AW42+AY42+BA42+BC42+BE42+BG42+BI42+BK42+BM42+BO42+BQ42+BS42+BU42+BW42+BY42+CA42+CC42+CE42+CG42+CI42+CK42+CM42+CO42+CQ42+CS42+CU42+CW42</f>
        <v>0</v>
      </c>
      <c r="CZ42" s="83" t="n">
        <f aca="false">IF(AND(CY42=0,DC42=0),0,(DF42+DG42)/DC42)</f>
        <v>0</v>
      </c>
      <c r="DA42" s="84" t="n">
        <f aca="false">DC42*DD42</f>
        <v>0</v>
      </c>
      <c r="DB42" s="85" t="n">
        <f aca="false">V42</f>
        <v>37165</v>
      </c>
      <c r="DC42" s="84" t="n">
        <f aca="false">ABS(W42)+ABS(Y42)+ABS(AA42)+ABS(AC42)+ABS(AE42)+ABS(AG42)+ABS(AI42)+ABS(AK42)+ABS(AM42)+ABS(AO42)+ABS(AQ42)+ABS(AS42)+ABS(AU42)+ABS(AW42)+ABS(AY42)+ABS(BA42)+ABS(BC42)+ABS(BE42)+ABS(BG42)+ABS(BI42)+ABS(BK42)+ABS(BM42)+ABS(BO42)+ABS(BQ42)+ABS(BS42)+ABS(BU42)+ABS(BW42)+ABS(BY42)+ABS(CA42)+ABS(CC42)+ABS(CE42)+ABS(CG42)+ABS(CI42)+ABS(CK42)+ABS(CM42)+ABS(CO42)+ABS(CQ42)+ABS(CS42)+ABS(CU42)+ABS(CW42)</f>
        <v>0</v>
      </c>
      <c r="DD42" s="86" t="n">
        <v>16</v>
      </c>
      <c r="DE42" s="84" t="n">
        <v>1</v>
      </c>
      <c r="DF42" s="43" t="n">
        <f aca="false">(ABS(W42)*X42+ABS(Y42)*Z42+ABS(AA42)*AB42+ABS(AC42)*AD42+ABS(AE42)*AF42+ABS(AG42)*AH42+ABS(AI42)*AJ42+ABS(AK42)*AL42+ABS(AM42)*AN42+ABS(AO42)*AP42+ABS(AQ42)*AR42+ABS(AS42)*AT42+ABS(AU42)*AV42+ABS(AW42)*AX42+ABS(AY42)*AZ42+ABS(BA42)*BB42+ABS(BC42)*BD42+ABS(BE42)*BF42+ABS(BG42)*BH42+ABS(BI42)*BJ42)</f>
        <v>0</v>
      </c>
      <c r="DG42" s="43" t="n">
        <f aca="false">ABS(BK42)*BL42+ABS(BM42)*BN42+ABS(BO42)*BP42+ABS(BQ42)*BR42+ABS(BS42)*BT42+ABS(BU42)*BV42+ABS(BW42)*BX42+ABS(BY42)*BZ42+ABS(CA42)*CB42+ABS(CC42)*CD42+ABS(CE42)*CF42+ABS(CG42)*CH42+ABS(CI42)*CJ42+ABS(CK42)*CL42+ABS(CM42)*CN42+ABS(CO42)*CP42+ABS(CQ42)*CR42+ABS(CS42)*CT42+ABS(CU42)*CV42+ABS(CW42)*CX42</f>
        <v>0</v>
      </c>
      <c r="DH42" s="43" t="n">
        <f aca="false">((H42-X42)*W42+(H42-Z42)*Y42+(H42-AB42)*AA42+(H42-AD42)*AC42+(H42-AF42)*AE42+(H42-AH42)*AG42+(H42-AJ42)*AI42+(H42-AL42)*AK42+(H42-AN42)*AM42+(H42-AP42)*AO42+(H42-AR42)*AQ42+(H42-AT42)*AS42+(H42-AV42)*AU42+(H42-AX42)*AW42+(H42-AZ42)*AY42+(H42-BB42)*BA42+(H42-BD42)*BC42+(H42-BF42)*BE42+(H42-BH42)*BG42+(H42-BJ42)*BI42)*DD42*DE42</f>
        <v>0</v>
      </c>
      <c r="DI42" s="43" t="n">
        <f aca="false">(((H42-BL42)*BK42+(H42-BN42)*BM42+(H42-BP42)*BO42+(H42-BR42)*BQ42+(H42-BT42)*BS42+(H42-BV42)*BU42+(H42-BX42)*BW42+(H42-BZ42)*BY42+(H42-CB42)*CA42+(H42-CD42)*CC42+(H42-CF42)*CE42+(H42-CH42)*CG42+(H42-CJ42)*CH42+(H42-CL42)*CK42+(H42-CN42)*CM42+(H42-CP42)*CO42+(H42-CR42)*CQ42+(H42-CT42)*CS42+(H42-CV42)*CU42+(H42-CX42)*CW42)*DD42*DE42)</f>
        <v>0</v>
      </c>
      <c r="DK42" s="85" t="n">
        <v>36869</v>
      </c>
      <c r="DL42" s="21" t="n">
        <v>0</v>
      </c>
      <c r="DM42" s="21" t="n">
        <f aca="false">[5]NEPOOL!$L29</f>
        <v>-1189.7</v>
      </c>
      <c r="DN42" s="21" t="n">
        <f aca="false">IF(AND(WEEKDAY(DK42)&gt;1,WEEKDAY(DK42)&lt;7),1,0)</f>
        <v>0</v>
      </c>
      <c r="DS42" s="24"/>
      <c r="DT42" s="24"/>
    </row>
    <row r="43" customFormat="false" ht="19.5" hidden="false" customHeight="false" outlineLevel="0" collapsed="false">
      <c r="A43" s="58" t="n">
        <f aca="false">'NYISO A'!A43</f>
        <v>37195</v>
      </c>
      <c r="B43" s="104" t="n">
        <f aca="false">[3]Nepool!$L34</f>
        <v>0</v>
      </c>
      <c r="C43" s="101" t="n">
        <f aca="false">CY43</f>
        <v>0</v>
      </c>
      <c r="D43" s="87" t="n">
        <f aca="false">(IF(MONTH(A43)=MONTH(EOMONTH(TradeDate,1)),$AP$69,0)*VLOOKUP(A43,$DK$12:$DN$43,4))</f>
        <v>0</v>
      </c>
      <c r="E43" s="105" t="n">
        <f aca="false">B43+C43+D43</f>
        <v>0</v>
      </c>
      <c r="F43" s="63" t="n">
        <f aca="false">[3]Nepool!$C34</f>
        <v>38</v>
      </c>
      <c r="G43" s="88" t="n">
        <f aca="false">IF($Q$9,Q43,P43)</f>
        <v>1.25</v>
      </c>
      <c r="H43" s="89" t="n">
        <f aca="false">F43+G43</f>
        <v>39.25</v>
      </c>
      <c r="I43" s="316" t="n">
        <f aca="false">B43*G43</f>
        <v>0</v>
      </c>
      <c r="J43" s="90" t="n">
        <f aca="false">DH43+DI43</f>
        <v>0</v>
      </c>
      <c r="K43" s="90" t="n">
        <f aca="false">+J43+I43</f>
        <v>0</v>
      </c>
      <c r="L43" s="24"/>
      <c r="M43" s="67" t="n">
        <f aca="false">A43</f>
        <v>37195</v>
      </c>
      <c r="N43" s="92" t="n">
        <v>39.25</v>
      </c>
      <c r="O43" s="92" t="n">
        <v>39.25</v>
      </c>
      <c r="P43" s="69" t="n">
        <f aca="false">AVERAGE(N43:O43)-F43</f>
        <v>1.25</v>
      </c>
      <c r="Q43" s="70"/>
      <c r="R43" s="91" t="n">
        <f aca="false">H43</f>
        <v>39.25</v>
      </c>
      <c r="S43" s="24"/>
      <c r="T43" s="24"/>
      <c r="U43" s="72"/>
      <c r="V43" s="67" t="n">
        <f aca="false">A43</f>
        <v>37195</v>
      </c>
      <c r="W43" s="77"/>
      <c r="X43" s="78"/>
      <c r="Y43" s="108"/>
      <c r="Z43" s="110"/>
      <c r="AA43" s="108"/>
      <c r="AB43" s="110"/>
      <c r="AC43" s="108"/>
      <c r="AD43" s="110"/>
      <c r="AE43" s="108"/>
      <c r="AF43" s="110"/>
      <c r="AG43" s="108"/>
      <c r="AH43" s="110"/>
      <c r="AI43" s="108"/>
      <c r="AJ43" s="110"/>
      <c r="AK43" s="108"/>
      <c r="AL43" s="110"/>
      <c r="AM43" s="108"/>
      <c r="AN43" s="110"/>
      <c r="AO43" s="108"/>
      <c r="AP43" s="110"/>
      <c r="AQ43" s="108"/>
      <c r="AR43" s="110"/>
      <c r="AS43" s="108"/>
      <c r="AT43" s="273"/>
      <c r="AU43" s="111"/>
      <c r="AV43" s="112"/>
      <c r="AW43" s="266"/>
      <c r="AX43" s="114"/>
      <c r="AY43" s="113"/>
      <c r="AZ43" s="114"/>
      <c r="BA43" s="113"/>
      <c r="BB43" s="114"/>
      <c r="BC43" s="113"/>
      <c r="BD43" s="114"/>
      <c r="BE43" s="113"/>
      <c r="BF43" s="114"/>
      <c r="BG43" s="113"/>
      <c r="BH43" s="114"/>
      <c r="BI43" s="113"/>
      <c r="BJ43" s="114"/>
      <c r="BK43" s="113"/>
      <c r="BL43" s="114"/>
      <c r="BM43" s="113"/>
      <c r="BN43" s="114"/>
      <c r="BO43" s="113"/>
      <c r="BP43" s="114"/>
      <c r="BQ43" s="113"/>
      <c r="BR43" s="114"/>
      <c r="BS43" s="113"/>
      <c r="BT43" s="114"/>
      <c r="BU43" s="113"/>
      <c r="BV43" s="114"/>
      <c r="BW43" s="113"/>
      <c r="BX43" s="114"/>
      <c r="BY43" s="113"/>
      <c r="BZ43" s="114"/>
      <c r="CA43" s="113"/>
      <c r="CB43" s="114"/>
      <c r="CC43" s="113"/>
      <c r="CD43" s="114"/>
      <c r="CE43" s="113"/>
      <c r="CF43" s="114"/>
      <c r="CG43" s="113"/>
      <c r="CH43" s="114"/>
      <c r="CI43" s="113"/>
      <c r="CJ43" s="114"/>
      <c r="CK43" s="113"/>
      <c r="CL43" s="114"/>
      <c r="CM43" s="113"/>
      <c r="CN43" s="114"/>
      <c r="CO43" s="113"/>
      <c r="CP43" s="114"/>
      <c r="CQ43" s="113"/>
      <c r="CR43" s="114"/>
      <c r="CS43" s="113"/>
      <c r="CT43" s="114"/>
      <c r="CU43" s="113"/>
      <c r="CV43" s="114"/>
      <c r="CW43" s="113"/>
      <c r="CX43" s="114"/>
      <c r="CY43" s="115" t="n">
        <f aca="false">W43+Y43+AA43+AC43+AE43+AG43+AI43+AK43+AM43+AO43+AQ43+AS43+AU43+AW43+AY43+BA43+BC43+BE43+BG43+BI43+BK43+BM43+BO43+BQ43+BS43+BU43+BW43+BY43+CA43+CC43+CE43+CG43+CI43+CK43+CM43+CO43+CQ43+CS43+CU43+CW43</f>
        <v>0</v>
      </c>
      <c r="CZ43" s="116" t="n">
        <f aca="false">IF(AND(CY43=0,DC43=0),0,(DF43+DG43)/DC43)</f>
        <v>0</v>
      </c>
      <c r="DA43" s="84" t="n">
        <f aca="false">DC43*DD43</f>
        <v>0</v>
      </c>
      <c r="DB43" s="85" t="n">
        <f aca="false">V43</f>
        <v>37195</v>
      </c>
      <c r="DC43" s="84" t="n">
        <f aca="false">ABS(W43)+ABS(Y43)+ABS(AA43)+ABS(AC43)+ABS(AE43)+ABS(AG43)+ABS(AI43)+ABS(AK43)+ABS(AM43)+ABS(AO43)+ABS(AQ43)+ABS(AS43)+ABS(AU43)+ABS(AW43)+ABS(AY43)+ABS(BA43)+ABS(BC43)+ABS(BE43)+ABS(BG43)+ABS(BI43)+ABS(BK43)+ABS(BM43)+ABS(BO43)+ABS(BQ43)+ABS(BS43)+ABS(BU43)+ABS(BW43)+ABS(BY43)+ABS(CA43)+ABS(CC43)+ABS(CE43)+ABS(CG43)+ABS(CI43)+ABS(CK43)+ABS(CM43)+ABS(CO43)+ABS(CQ43)+ABS(CS43)+ABS(CU43)+ABS(CW43)</f>
        <v>0</v>
      </c>
      <c r="DD43" s="86" t="n">
        <f aca="false">16</f>
        <v>16</v>
      </c>
      <c r="DE43" s="84" t="n">
        <v>1</v>
      </c>
      <c r="DF43" s="43" t="n">
        <f aca="false">(ABS(W43)*X43+ABS(Y43)*Z43+ABS(AA43)*AB43+ABS(AC43)*AD43+ABS(AE43)*AF43+ABS(AG43)*AH43+ABS(AI43)*AJ43+ABS(AK43)*AL43+ABS(AM43)*AN43+ABS(AO43)*AP43+ABS(AQ43)*AR43+ABS(AS43)*AT43+ABS(AU43)*AV43+ABS(AW43)*AX43+ABS(AY43)*AZ43+ABS(BA43)*BB43+ABS(BC43)*BD43+ABS(BE43)*BF43+ABS(BG43)*BH43+ABS(BI43)*BJ43)</f>
        <v>0</v>
      </c>
      <c r="DG43" s="43" t="n">
        <f aca="false">ABS(BK43)*BL43+ABS(BM43)*BN43+ABS(BO43)*BP43+ABS(BQ43)*BR43+ABS(BS43)*BT43+ABS(BU43)*BV43+ABS(BW43)*BX43+ABS(BY43)*BZ43+ABS(CA43)*CB43+ABS(CC43)*CD43+ABS(CE43)*CF43+ABS(CG43)*CH43+ABS(CI43)*CJ43+ABS(CK43)*CL43+ABS(CM43)*CN43+ABS(CO43)*CP43+ABS(CQ43)*CR43+ABS(CS43)*CT43+ABS(CU43)*CV43+ABS(CW43)*CX43</f>
        <v>0</v>
      </c>
      <c r="DH43" s="43" t="n">
        <f aca="false">((H43-X43)*W43+(H43-Z43)*Y43+(H43-AB43)*AA43+(H43-AD43)*AC43+(H43-AF43)*AE43+(H43-AH43)*AG43+(H43-AJ43)*AI43+(H43-AL43)*AK43+(H43-AN43)*AM43+(H43-AP43)*AO43+(H43-AR43)*AQ43+(H43-AT43)*AS43+(H43-AV43)*AU43+(H43-AX43)*AW43+(H43-AZ43)*AY43+(H43-BB43)*BA43+(H43-BD43)*BC43+(H43-BF43)*BE43+(H43-BH43)*BG43+(H43-BJ43)*BI43)*DD43*DE43</f>
        <v>0</v>
      </c>
      <c r="DI43" s="43" t="n">
        <f aca="false">(((H43-BL43)*BK43+(H43-BN43)*BM43+(H43-BP43)*BO43+(H43-BR43)*BQ43+(H43-BT43)*BS43+(H43-BV43)*BU43+(H43-BX43)*BW43+(H43-BZ43)*BY43+(H43-CB43)*CA43+(H43-CD43)*CC43+(H43-CF43)*CE43+(H43-CH43)*CG43+(H43-CJ43)*CH43+(H43-CL43)*CK43+(H43-CN43)*CM43+(H43-CP43)*CO43+(H43-CR43)*CQ43+(H43-CT43)*CS43+(H43-CV43)*CU43+(H43-CX43)*CW43)*DD43*DE43)</f>
        <v>0</v>
      </c>
      <c r="DK43" s="85" t="n">
        <v>36891</v>
      </c>
      <c r="DL43" s="21" t="n">
        <v>0</v>
      </c>
      <c r="DM43" s="21" t="n">
        <f aca="false">[5]NEPOOL!$L30</f>
        <v>-1189.7</v>
      </c>
      <c r="DN43" s="21" t="n">
        <v>1</v>
      </c>
      <c r="DR43" s="117" t="s">
        <v>79</v>
      </c>
      <c r="DS43" s="24"/>
      <c r="DT43" s="24"/>
    </row>
    <row r="44" customFormat="false" ht="19.5" hidden="false" customHeight="false" outlineLevel="0" collapsed="false">
      <c r="A44" s="118" t="n">
        <f aca="false">'NYISO A'!A44</f>
        <v>37196</v>
      </c>
      <c r="B44" s="119" t="n">
        <v>0</v>
      </c>
      <c r="C44" s="120" t="n">
        <f aca="false">CY44</f>
        <v>0</v>
      </c>
      <c r="D44" s="121" t="n">
        <f aca="false">(IF(MONTH(A44)=MONTH(EOMONTH(TradeDate,1)),$AP$69,0)*VLOOKUP(A44,$DK$12:$DN$43,4))</f>
        <v>0</v>
      </c>
      <c r="E44" s="122" t="n">
        <f aca="false">B44+C44+D44</f>
        <v>0</v>
      </c>
      <c r="F44" s="123" t="n">
        <f aca="false">[3]Nepool!$C35</f>
        <v>39</v>
      </c>
      <c r="G44" s="124" t="n">
        <f aca="false">IF($Q$9,Q44,P44)</f>
        <v>40</v>
      </c>
      <c r="H44" s="125" t="n">
        <f aca="false">F44+G44</f>
        <v>79</v>
      </c>
      <c r="I44" s="154" t="n">
        <f aca="false">B44*G44*DD44*DR44</f>
        <v>0</v>
      </c>
      <c r="J44" s="127" t="n">
        <f aca="false">+(W44*(H44-X44)+Y44*(H44-Z44)+AA44*(H44-AB44))*DD44*DR44</f>
        <v>0</v>
      </c>
      <c r="K44" s="268" t="n">
        <f aca="false">I44+J44</f>
        <v>0</v>
      </c>
      <c r="L44" s="24"/>
      <c r="M44" s="128" t="n">
        <f aca="false">A44</f>
        <v>37196</v>
      </c>
      <c r="N44" s="123" t="n">
        <v>79</v>
      </c>
      <c r="O44" s="123" t="n">
        <v>79</v>
      </c>
      <c r="P44" s="129" t="n">
        <f aca="false">AVERAGE(N44:O44)-F44</f>
        <v>40</v>
      </c>
      <c r="Q44" s="130"/>
      <c r="R44" s="71" t="n">
        <f aca="false">H44</f>
        <v>79</v>
      </c>
      <c r="S44" s="24"/>
      <c r="T44" s="24"/>
      <c r="U44" s="131"/>
      <c r="V44" s="132" t="n">
        <f aca="false">A44</f>
        <v>37196</v>
      </c>
      <c r="W44" s="133"/>
      <c r="X44" s="135"/>
      <c r="Y44" s="133"/>
      <c r="Z44" s="135"/>
      <c r="AA44" s="133"/>
      <c r="AB44" s="135"/>
      <c r="AC44" s="137"/>
      <c r="AD44" s="136"/>
      <c r="AE44" s="137"/>
      <c r="AF44" s="136"/>
      <c r="AG44" s="137"/>
      <c r="AH44" s="136"/>
      <c r="AI44" s="137"/>
      <c r="AJ44" s="136"/>
      <c r="AK44" s="137"/>
      <c r="AL44" s="136"/>
      <c r="AM44" s="137"/>
      <c r="AN44" s="136"/>
      <c r="AO44" s="137"/>
      <c r="AP44" s="136"/>
      <c r="AQ44" s="137"/>
      <c r="AR44" s="136"/>
      <c r="AS44" s="137"/>
      <c r="AT44" s="138"/>
      <c r="AU44" s="139"/>
      <c r="AV44" s="140"/>
      <c r="AW44" s="141"/>
      <c r="AX44" s="142"/>
      <c r="AY44" s="143"/>
      <c r="AZ44" s="142"/>
      <c r="BA44" s="143"/>
      <c r="BB44" s="142"/>
      <c r="BC44" s="143"/>
      <c r="BD44" s="142"/>
      <c r="BE44" s="143"/>
      <c r="BF44" s="142"/>
      <c r="BG44" s="143"/>
      <c r="BH44" s="142"/>
      <c r="BI44" s="143"/>
      <c r="BJ44" s="142"/>
      <c r="BK44" s="143"/>
      <c r="BL44" s="142"/>
      <c r="BM44" s="143"/>
      <c r="BN44" s="142"/>
      <c r="BO44" s="143"/>
      <c r="BP44" s="142"/>
      <c r="BQ44" s="143"/>
      <c r="BR44" s="142"/>
      <c r="BS44" s="143"/>
      <c r="BT44" s="142"/>
      <c r="BU44" s="143"/>
      <c r="BV44" s="142"/>
      <c r="BW44" s="143"/>
      <c r="BX44" s="142"/>
      <c r="BY44" s="143"/>
      <c r="BZ44" s="142"/>
      <c r="CA44" s="143"/>
      <c r="CB44" s="142"/>
      <c r="CC44" s="143"/>
      <c r="CD44" s="142"/>
      <c r="CE44" s="143"/>
      <c r="CF44" s="142"/>
      <c r="CG44" s="143"/>
      <c r="CH44" s="142"/>
      <c r="CI44" s="143"/>
      <c r="CJ44" s="142"/>
      <c r="CK44" s="143"/>
      <c r="CL44" s="142"/>
      <c r="CM44" s="143"/>
      <c r="CN44" s="142"/>
      <c r="CO44" s="143"/>
      <c r="CP44" s="142"/>
      <c r="CQ44" s="143"/>
      <c r="CR44" s="142"/>
      <c r="CS44" s="143"/>
      <c r="CT44" s="142"/>
      <c r="CU44" s="143"/>
      <c r="CV44" s="142"/>
      <c r="CW44" s="143"/>
      <c r="CX44" s="142"/>
      <c r="CY44" s="144" t="n">
        <f aca="false">W44+Y44+AA44+AC44+AE44+AG44+AI44+AK44+AM44+AO44+AQ44+AS44+AU44+AW44+AY44+BA44+BC44+BE44+BG44+BI44+BK44+BM44+BO44+BQ44+BS44+BU44+BW44+BY44+CA44+CC44+CE44+CG44+CI44+CK44+CM44+CO44+CQ44+CS44+CU44+CW44</f>
        <v>0</v>
      </c>
      <c r="CZ44" s="145" t="n">
        <f aca="false">IF(AND(CY44=0,DC44=0),0,(DF44+DG44)/DC44)</f>
        <v>0</v>
      </c>
      <c r="DA44" s="84" t="n">
        <f aca="false">DC44*DD44</f>
        <v>0</v>
      </c>
      <c r="DB44" s="85" t="n">
        <f aca="false">V44</f>
        <v>37196</v>
      </c>
      <c r="DC44" s="84" t="n">
        <f aca="false">ABS(W44)+ABS(Y44)+ABS(AA44)+ABS(AC44)+ABS(AE44)+ABS(AG44)+ABS(AI44)+ABS(AK44)+ABS(AM44)+ABS(AO44)+ABS(AQ44)+ABS(AS44)+ABS(AU44)+ABS(AW44)+ABS(AY44)+ABS(BA44)+ABS(BC44)+ABS(BE44)+ABS(BG44)+ABS(BI44)+ABS(BK44)+ABS(BM44)+ABS(BO44)+ABS(BQ44)+ABS(BS44)+ABS(BU44)+ABS(BW44)+ABS(BY44)+ABS(CA44)+ABS(CC44)+ABS(CE44)+ABS(CG44)+ABS(CI44)+ABS(CK44)+ABS(CM44)+ABS(CO44)+ABS(CQ44)+ABS(CS44)+ABS(CU44)+ABS(CW44)</f>
        <v>0</v>
      </c>
      <c r="DD44" s="86" t="n">
        <f aca="false">16</f>
        <v>16</v>
      </c>
      <c r="DE44" s="84" t="n">
        <v>1</v>
      </c>
      <c r="DF44" s="43" t="n">
        <f aca="false">(ABS(W44)*X44+ABS(Y44)*Z44+ABS(AA44)*AB44+ABS(AC44)*AD44+ABS(AE44)*AF44+ABS(AG44)*AH44+ABS(AI44)*AJ44+ABS(AK44)*AL44+ABS(AM44)*AN44+ABS(AO44)*AP44+ABS(AQ44)*AR44+ABS(AS44)*AT44+ABS(AU44)*AV44+ABS(AW44)*AX44+ABS(AY44)*AZ44+ABS(BA44)*BB44+ABS(BC44)*BD44+ABS(BE44)*BF44+ABS(BG44)*BH44+ABS(BI44)*BJ44)</f>
        <v>0</v>
      </c>
      <c r="DG44" s="43" t="n">
        <f aca="false">ABS(BK44)*BL44+ABS(BM44)*BN44+ABS(BO44)*BP44+ABS(BQ44)*BR44+ABS(BS44)*BT44+ABS(BU44)*BV44+ABS(BW44)*BX44+ABS(BY44)*BZ44+ABS(CA44)*CB44+ABS(CC44)*CD44+ABS(CE44)*CF44+ABS(CG44)*CH44+ABS(CI44)*CJ44+ABS(CK44)*CL44+ABS(CM44)*CN44+ABS(CO44)*CP44+ABS(CQ44)*CR44+ABS(CS44)*CT44+ABS(CU44)*CV44+ABS(CW44)*CX44</f>
        <v>0</v>
      </c>
      <c r="DH44" s="43" t="n">
        <f aca="false">((H44-X44)*W44+(H44-Z44)*Y44+(H44-AB44)*AA44+(H44-AD44)*AC44+(H44-AF44)*AE44+(H44-AH44)*AG44+(H44-AJ44)*AI44+(H44-AL44)*AK44+(H44-AN44)*AM44+(H44-AP44)*AO44+(H44-AR44)*AQ44+(H44-AT44)*AS44+(H44-AV44)*AU44+(H44-AX44)*AW44+(H44-AZ44)*AY44+(H44-BB44)*BA44+(H44-BD44)*BC44+(H44-BF44)*BE44+(H44-BH44)*BG44+(H44-BJ44)*BI44)*DD44*DE44</f>
        <v>0</v>
      </c>
      <c r="DI44" s="43" t="n">
        <f aca="false">(((H44-BL44)*BK44+(H44-BN44)*BM44+(H44-BP44)*BO44+(H44-BR44)*BQ44+(H44-BT44)*BS44+(H44-BV44)*BU44+(H44-BX44)*BW44+(H44-BZ44)*BY44+(H44-CB44)*CA44+(H44-CD44)*CC44+(H44-CF44)*CE44+(H44-CH44)*CG44+(H44-CJ44)*CH44+(H44-CL44)*CK44+(H44-CN44)*CM44+(H44-CP44)*CO44+(H44-CR44)*CQ44+(H44-CT44)*CS44+(H44-CV44)*CU44+(H44-CX44)*CW44)*DD44*DE44)</f>
        <v>0</v>
      </c>
      <c r="DK44" s="85" t="n">
        <v>36892</v>
      </c>
      <c r="DL44" s="21" t="n">
        <v>344.057239879261</v>
      </c>
      <c r="DN44" s="21" t="n">
        <v>1</v>
      </c>
      <c r="DR44" s="146" t="n">
        <f aca="false">+VLOOKUP(A44,'NET P&amp;L'!$AH$6:$AK$31,2)</f>
        <v>21</v>
      </c>
      <c r="DS44" s="24"/>
      <c r="DT44" s="24"/>
    </row>
    <row r="45" customFormat="false" ht="19.5" hidden="false" customHeight="false" outlineLevel="0" collapsed="false">
      <c r="A45" s="147" t="n">
        <f aca="false">'NYISO A'!A45</f>
        <v>37226</v>
      </c>
      <c r="B45" s="119" t="n">
        <f aca="false">[3]Nepool!$L36/16/DR45</f>
        <v>0</v>
      </c>
      <c r="C45" s="148" t="n">
        <f aca="false">CY45</f>
        <v>0</v>
      </c>
      <c r="D45" s="149" t="n">
        <f aca="false">(IF(MONTH(A45)=MONTH(EOMONTH(TradeDate,1)),$AP$69,0)*VLOOKUP(A45,$DK$12:$DN$43,4))</f>
        <v>0</v>
      </c>
      <c r="E45" s="150" t="n">
        <f aca="false">B45+C45+D45</f>
        <v>0</v>
      </c>
      <c r="F45" s="151" t="n">
        <f aca="false">[3]Nepool!$C36</f>
        <v>41.5</v>
      </c>
      <c r="G45" s="152" t="n">
        <f aca="false">IF($Q$9,Q45,P45)</f>
        <v>15.75</v>
      </c>
      <c r="H45" s="153" t="n">
        <f aca="false">F45+G45</f>
        <v>57.25</v>
      </c>
      <c r="I45" s="154" t="n">
        <f aca="false">B45*G45*DD45*DR45</f>
        <v>0</v>
      </c>
      <c r="J45" s="155" t="n">
        <f aca="false">+(W45*(H45-X45)+Y45*(H45-Z45)+AA45*(H45-AB45))*DD45*DR45</f>
        <v>0</v>
      </c>
      <c r="K45" s="156" t="n">
        <f aca="false">I45+J45</f>
        <v>0</v>
      </c>
      <c r="L45" s="24"/>
      <c r="M45" s="157" t="n">
        <f aca="false">A45</f>
        <v>37226</v>
      </c>
      <c r="N45" s="151" t="n">
        <v>57.25</v>
      </c>
      <c r="O45" s="151" t="n">
        <v>57.25</v>
      </c>
      <c r="P45" s="69" t="n">
        <f aca="false">AVERAGE(N45:O45)-F45</f>
        <v>15.75</v>
      </c>
      <c r="Q45" s="70"/>
      <c r="R45" s="91" t="n">
        <f aca="false">H45</f>
        <v>57.25</v>
      </c>
      <c r="S45" s="24"/>
      <c r="T45" s="24"/>
      <c r="U45" s="131"/>
      <c r="V45" s="158" t="n">
        <f aca="false">A45</f>
        <v>37226</v>
      </c>
      <c r="W45" s="159"/>
      <c r="X45" s="134"/>
      <c r="Y45" s="159"/>
      <c r="Z45" s="134"/>
      <c r="AA45" s="159"/>
      <c r="AB45" s="134"/>
      <c r="AC45" s="77"/>
      <c r="AD45" s="78"/>
      <c r="AE45" s="77"/>
      <c r="AF45" s="78"/>
      <c r="AG45" s="77"/>
      <c r="AH45" s="78"/>
      <c r="AI45" s="77"/>
      <c r="AJ45" s="78"/>
      <c r="AK45" s="77"/>
      <c r="AL45" s="78"/>
      <c r="AM45" s="77"/>
      <c r="AN45" s="78"/>
      <c r="AO45" s="77"/>
      <c r="AP45" s="78"/>
      <c r="AQ45" s="77"/>
      <c r="AR45" s="78"/>
      <c r="AS45" s="77"/>
      <c r="AT45" s="160"/>
      <c r="AU45" s="94"/>
      <c r="AV45" s="95"/>
      <c r="AW45" s="96"/>
      <c r="AX45" s="75"/>
      <c r="AY45" s="81"/>
      <c r="AZ45" s="75"/>
      <c r="BA45" s="81"/>
      <c r="BB45" s="75"/>
      <c r="BC45" s="81"/>
      <c r="BD45" s="75"/>
      <c r="BE45" s="81"/>
      <c r="BF45" s="75"/>
      <c r="BG45" s="81"/>
      <c r="BH45" s="75"/>
      <c r="BI45" s="81"/>
      <c r="BJ45" s="75"/>
      <c r="BK45" s="81"/>
      <c r="BL45" s="75"/>
      <c r="BM45" s="81"/>
      <c r="BN45" s="75"/>
      <c r="BO45" s="81"/>
      <c r="BP45" s="75"/>
      <c r="BQ45" s="81"/>
      <c r="BR45" s="75"/>
      <c r="BS45" s="81"/>
      <c r="BT45" s="75"/>
      <c r="BU45" s="81"/>
      <c r="BV45" s="75"/>
      <c r="BW45" s="81"/>
      <c r="BX45" s="75"/>
      <c r="BY45" s="81"/>
      <c r="BZ45" s="75"/>
      <c r="CA45" s="81"/>
      <c r="CB45" s="75"/>
      <c r="CC45" s="81"/>
      <c r="CD45" s="75"/>
      <c r="CE45" s="81"/>
      <c r="CF45" s="75"/>
      <c r="CG45" s="81"/>
      <c r="CH45" s="75"/>
      <c r="CI45" s="81"/>
      <c r="CJ45" s="75"/>
      <c r="CK45" s="81"/>
      <c r="CL45" s="75"/>
      <c r="CM45" s="81"/>
      <c r="CN45" s="75"/>
      <c r="CO45" s="81"/>
      <c r="CP45" s="75"/>
      <c r="CQ45" s="81"/>
      <c r="CR45" s="75"/>
      <c r="CS45" s="81"/>
      <c r="CT45" s="75"/>
      <c r="CU45" s="81"/>
      <c r="CV45" s="75"/>
      <c r="CW45" s="81"/>
      <c r="CX45" s="75"/>
      <c r="CY45" s="144" t="n">
        <f aca="false">W45+Y45+AA45+AC45+AE45+AG45+AI45+AK45+AM45+AO45+AQ45+AS45+AU45+AW45+AY45+BA45+BC45+BE45+BG45+BI45+BK45+BM45+BO45+BQ45+BS45+BU45+BW45+BY45+CA45+CC45+CE45+CG45+CI45+CK45+CM45+CO45+CQ45+CS45+CU45+CW45</f>
        <v>0</v>
      </c>
      <c r="CZ45" s="145" t="n">
        <f aca="false">IF(AND(CY45=0,DC45=0),0,(DF45+DG45)/DC45)</f>
        <v>0</v>
      </c>
      <c r="DB45" s="85" t="n">
        <f aca="false">V45</f>
        <v>37226</v>
      </c>
      <c r="DC45" s="84" t="n">
        <f aca="false">ABS(W45)+ABS(Y45)+ABS(AA45)+ABS(AC45)+ABS(AE45)+ABS(AG45)+ABS(AI45)+ABS(AK45)+ABS(AM45)+ABS(AO45)+ABS(AQ45)+ABS(AS45)+ABS(AU45)+ABS(AW45)+ABS(AY45)+ABS(BA45)+ABS(BC45)+ABS(BE45)+ABS(BG45)+ABS(BI45)+ABS(BK45)+ABS(BM45)+ABS(BO45)+ABS(BQ45)+ABS(BS45)+ABS(BU45)+ABS(BW45)+ABS(BY45)+ABS(CA45)+ABS(CC45)+ABS(CE45)+ABS(CG45)+ABS(CI45)+ABS(CK45)+ABS(CM45)+ABS(CO45)+ABS(CQ45)+ABS(CS45)+ABS(CU45)+ABS(CW45)</f>
        <v>0</v>
      </c>
      <c r="DD45" s="86" t="n">
        <f aca="false">16</f>
        <v>16</v>
      </c>
      <c r="DE45" s="84" t="n">
        <v>1</v>
      </c>
      <c r="DF45" s="43"/>
      <c r="DG45" s="43"/>
      <c r="DH45" s="43"/>
      <c r="DI45" s="43"/>
      <c r="DK45" s="85"/>
      <c r="DR45" s="146" t="n">
        <f aca="false">+VLOOKUP(A45,'NET P&amp;L'!$AH$6:$AK$31,2)</f>
        <v>20</v>
      </c>
      <c r="DS45" s="24"/>
      <c r="DT45" s="24"/>
    </row>
    <row r="46" customFormat="false" ht="19.5" hidden="false" customHeight="false" outlineLevel="0" collapsed="false">
      <c r="A46" s="147" t="n">
        <f aca="false">'NYISO A'!A46</f>
        <v>37257</v>
      </c>
      <c r="B46" s="119" t="n">
        <f aca="false">[3]Nepool!$L37/16/DR46</f>
        <v>0</v>
      </c>
      <c r="C46" s="148" t="n">
        <f aca="false">CY46</f>
        <v>0</v>
      </c>
      <c r="D46" s="149" t="n">
        <f aca="false">(IF(MONTH(A46)=MONTH(EOMONTH(TradeDate,1)),$AP$69,0)*VLOOKUP(A46,$DK$12:$DN$43,4))</f>
        <v>0</v>
      </c>
      <c r="E46" s="150" t="n">
        <f aca="false">B46+C46+D46</f>
        <v>0</v>
      </c>
      <c r="F46" s="151" t="n">
        <f aca="false">[3]Nepool!$C37</f>
        <v>45.5</v>
      </c>
      <c r="G46" s="152" t="n">
        <f aca="false">IF($Q$9,Q46,P46)</f>
        <v>6.5</v>
      </c>
      <c r="H46" s="153" t="n">
        <f aca="false">F46+G46</f>
        <v>52</v>
      </c>
      <c r="I46" s="154" t="n">
        <f aca="false">B46*G46*DD46*DR46</f>
        <v>0</v>
      </c>
      <c r="J46" s="155" t="n">
        <f aca="false">+(W46*(H46-X46)+Y46*(H46-Z46)+AA46*(H46-AB46))*DD46*DR46</f>
        <v>0</v>
      </c>
      <c r="K46" s="156" t="n">
        <f aca="false">I46+J46</f>
        <v>0</v>
      </c>
      <c r="L46" s="24"/>
      <c r="M46" s="157" t="n">
        <f aca="false">A46</f>
        <v>37257</v>
      </c>
      <c r="N46" s="151" t="n">
        <v>52</v>
      </c>
      <c r="O46" s="151" t="n">
        <v>52</v>
      </c>
      <c r="P46" s="69" t="n">
        <f aca="false">AVERAGE(N46:O46)-F46</f>
        <v>6.5</v>
      </c>
      <c r="Q46" s="70"/>
      <c r="R46" s="91" t="n">
        <f aca="false">H46</f>
        <v>52</v>
      </c>
      <c r="S46" s="24"/>
      <c r="T46" s="24"/>
      <c r="U46" s="131"/>
      <c r="V46" s="158" t="n">
        <f aca="false">A46</f>
        <v>37257</v>
      </c>
      <c r="W46" s="159"/>
      <c r="X46" s="134"/>
      <c r="Y46" s="159"/>
      <c r="Z46" s="134"/>
      <c r="AA46" s="159"/>
      <c r="AB46" s="134"/>
      <c r="AC46" s="77"/>
      <c r="AD46" s="78"/>
      <c r="AE46" s="77"/>
      <c r="AF46" s="78"/>
      <c r="AG46" s="77"/>
      <c r="AH46" s="78"/>
      <c r="AI46" s="77"/>
      <c r="AJ46" s="78"/>
      <c r="AK46" s="77"/>
      <c r="AL46" s="78"/>
      <c r="AM46" s="77"/>
      <c r="AN46" s="78"/>
      <c r="AO46" s="77"/>
      <c r="AP46" s="78"/>
      <c r="AQ46" s="77"/>
      <c r="AR46" s="78"/>
      <c r="AS46" s="77"/>
      <c r="AT46" s="160"/>
      <c r="AU46" s="94"/>
      <c r="AV46" s="95"/>
      <c r="AW46" s="96"/>
      <c r="AX46" s="75"/>
      <c r="AY46" s="81"/>
      <c r="AZ46" s="75"/>
      <c r="BA46" s="81"/>
      <c r="BB46" s="75"/>
      <c r="BC46" s="81"/>
      <c r="BD46" s="75"/>
      <c r="BE46" s="81"/>
      <c r="BF46" s="75"/>
      <c r="BG46" s="81"/>
      <c r="BH46" s="75"/>
      <c r="BI46" s="81"/>
      <c r="BJ46" s="75"/>
      <c r="BK46" s="81"/>
      <c r="BL46" s="75"/>
      <c r="BM46" s="81"/>
      <c r="BN46" s="75"/>
      <c r="BO46" s="81"/>
      <c r="BP46" s="75"/>
      <c r="BQ46" s="81"/>
      <c r="BR46" s="75"/>
      <c r="BS46" s="81"/>
      <c r="BT46" s="75"/>
      <c r="BU46" s="81"/>
      <c r="BV46" s="75"/>
      <c r="BW46" s="81"/>
      <c r="BX46" s="75"/>
      <c r="BY46" s="81"/>
      <c r="BZ46" s="75"/>
      <c r="CA46" s="81"/>
      <c r="CB46" s="75"/>
      <c r="CC46" s="81"/>
      <c r="CD46" s="75"/>
      <c r="CE46" s="81"/>
      <c r="CF46" s="75"/>
      <c r="CG46" s="81"/>
      <c r="CH46" s="75"/>
      <c r="CI46" s="81"/>
      <c r="CJ46" s="75"/>
      <c r="CK46" s="81"/>
      <c r="CL46" s="75"/>
      <c r="CM46" s="81"/>
      <c r="CN46" s="75"/>
      <c r="CO46" s="81"/>
      <c r="CP46" s="75"/>
      <c r="CQ46" s="81"/>
      <c r="CR46" s="75"/>
      <c r="CS46" s="81"/>
      <c r="CT46" s="75"/>
      <c r="CU46" s="81"/>
      <c r="CV46" s="75"/>
      <c r="CW46" s="81"/>
      <c r="CX46" s="75"/>
      <c r="CY46" s="144" t="n">
        <f aca="false">W46+Y46+AA46+AC46+AE46+AG46+AI46+AK46+AM46+AO46+AQ46+AS46+AU46+AW46+AY46+BA46+BC46+BE46+BG46+BI46+BK46+BM46+BO46+BQ46+BS46+BU46+BW46+BY46+CA46+CC46+CE46+CG46+CI46+CK46+CM46+CO46+CQ46+CS46+CU46+CW46</f>
        <v>0</v>
      </c>
      <c r="CZ46" s="145" t="n">
        <f aca="false">IF(AND(CY46=0,DC46=0),0,(DF46+DG46)/DC46)</f>
        <v>0</v>
      </c>
      <c r="DB46" s="85" t="n">
        <f aca="false">V46</f>
        <v>37257</v>
      </c>
      <c r="DC46" s="84" t="n">
        <f aca="false">ABS(W46)+ABS(Y46)+ABS(AA46)+ABS(AC46)+ABS(AE46)+ABS(AG46)+ABS(AI46)+ABS(AK46)+ABS(AM46)+ABS(AO46)+ABS(AQ46)+ABS(AS46)+ABS(AU46)+ABS(AW46)+ABS(AY46)+ABS(BA46)+ABS(BC46)+ABS(BE46)+ABS(BG46)+ABS(BI46)+ABS(BK46)+ABS(BM46)+ABS(BO46)+ABS(BQ46)+ABS(BS46)+ABS(BU46)+ABS(BW46)+ABS(BY46)+ABS(CA46)+ABS(CC46)+ABS(CE46)+ABS(CG46)+ABS(CI46)+ABS(CK46)+ABS(CM46)+ABS(CO46)+ABS(CQ46)+ABS(CS46)+ABS(CU46)+ABS(CW46)</f>
        <v>0</v>
      </c>
      <c r="DD46" s="86" t="n">
        <f aca="false">16</f>
        <v>16</v>
      </c>
      <c r="DE46" s="84" t="n">
        <v>1</v>
      </c>
      <c r="DF46" s="43"/>
      <c r="DG46" s="43"/>
      <c r="DH46" s="43"/>
      <c r="DI46" s="43"/>
      <c r="DK46" s="85"/>
      <c r="DR46" s="146" t="n">
        <f aca="false">+VLOOKUP(A46,'NET P&amp;L'!$AH$6:$AK$31,2)</f>
        <v>22</v>
      </c>
    </row>
    <row r="47" customFormat="false" ht="19.5" hidden="false" customHeight="false" outlineLevel="0" collapsed="false">
      <c r="A47" s="147" t="n">
        <f aca="false">'NYISO A'!A47</f>
        <v>37288</v>
      </c>
      <c r="B47" s="119" t="n">
        <f aca="false">[3]Nepool!$L38/16/DR47</f>
        <v>0</v>
      </c>
      <c r="C47" s="148" t="n">
        <f aca="false">CY47</f>
        <v>0</v>
      </c>
      <c r="D47" s="149" t="n">
        <f aca="false">(IF(MONTH(A47)=MONTH(EOMONTH(TradeDate,1)),$AP$69,0)*VLOOKUP(A47,$DK$12:$DN$43,4))</f>
        <v>0</v>
      </c>
      <c r="E47" s="150" t="n">
        <f aca="false">B47+C47+D47</f>
        <v>0</v>
      </c>
      <c r="F47" s="151" t="n">
        <f aca="false">[3]Nepool!$C38</f>
        <v>45.5</v>
      </c>
      <c r="G47" s="152" t="n">
        <f aca="false">IF($Q$9,Q47,P47)</f>
        <v>10.5</v>
      </c>
      <c r="H47" s="153" t="n">
        <f aca="false">F47+G47</f>
        <v>56</v>
      </c>
      <c r="I47" s="154" t="n">
        <f aca="false">B47*G47*DD47*DR47</f>
        <v>0</v>
      </c>
      <c r="J47" s="155" t="n">
        <f aca="false">+(W47*(H47-X47)+Y47*(H47-Z47)+AA47*(H47-AB47))*DD47*DR47</f>
        <v>0</v>
      </c>
      <c r="K47" s="156" t="n">
        <f aca="false">I47+J47</f>
        <v>0</v>
      </c>
      <c r="L47" s="24"/>
      <c r="M47" s="157" t="n">
        <f aca="false">A47</f>
        <v>37288</v>
      </c>
      <c r="N47" s="151" t="n">
        <v>56</v>
      </c>
      <c r="O47" s="151" t="n">
        <v>56</v>
      </c>
      <c r="P47" s="69" t="n">
        <f aca="false">AVERAGE(N47:O47)-F47</f>
        <v>10.5</v>
      </c>
      <c r="Q47" s="70"/>
      <c r="R47" s="91" t="n">
        <f aca="false">H47</f>
        <v>56</v>
      </c>
      <c r="S47" s="24"/>
      <c r="T47" s="24"/>
      <c r="U47" s="131"/>
      <c r="V47" s="158" t="n">
        <f aca="false">A47</f>
        <v>37288</v>
      </c>
      <c r="W47" s="159"/>
      <c r="X47" s="134"/>
      <c r="Y47" s="159"/>
      <c r="Z47" s="134"/>
      <c r="AA47" s="159"/>
      <c r="AB47" s="134"/>
      <c r="AC47" s="77"/>
      <c r="AD47" s="78"/>
      <c r="AE47" s="77"/>
      <c r="AF47" s="78"/>
      <c r="AG47" s="77"/>
      <c r="AH47" s="78"/>
      <c r="AI47" s="77"/>
      <c r="AJ47" s="78"/>
      <c r="AK47" s="77"/>
      <c r="AL47" s="78"/>
      <c r="AM47" s="77"/>
      <c r="AN47" s="78"/>
      <c r="AO47" s="77"/>
      <c r="AP47" s="78"/>
      <c r="AQ47" s="77"/>
      <c r="AR47" s="78"/>
      <c r="AS47" s="77"/>
      <c r="AT47" s="160"/>
      <c r="AU47" s="94"/>
      <c r="AV47" s="95"/>
      <c r="AW47" s="96"/>
      <c r="AX47" s="75"/>
      <c r="AY47" s="81"/>
      <c r="AZ47" s="75"/>
      <c r="BA47" s="81"/>
      <c r="BB47" s="75"/>
      <c r="BC47" s="81"/>
      <c r="BD47" s="75"/>
      <c r="BE47" s="81"/>
      <c r="BF47" s="75"/>
      <c r="BG47" s="81"/>
      <c r="BH47" s="75"/>
      <c r="BI47" s="81"/>
      <c r="BJ47" s="75"/>
      <c r="BK47" s="81"/>
      <c r="BL47" s="75"/>
      <c r="BM47" s="81"/>
      <c r="BN47" s="75"/>
      <c r="BO47" s="81"/>
      <c r="BP47" s="75"/>
      <c r="BQ47" s="81"/>
      <c r="BR47" s="75"/>
      <c r="BS47" s="81"/>
      <c r="BT47" s="75"/>
      <c r="BU47" s="81"/>
      <c r="BV47" s="75"/>
      <c r="BW47" s="81"/>
      <c r="BX47" s="75"/>
      <c r="BY47" s="81"/>
      <c r="BZ47" s="75"/>
      <c r="CA47" s="81"/>
      <c r="CB47" s="75"/>
      <c r="CC47" s="81"/>
      <c r="CD47" s="75"/>
      <c r="CE47" s="81"/>
      <c r="CF47" s="75"/>
      <c r="CG47" s="81"/>
      <c r="CH47" s="75"/>
      <c r="CI47" s="81"/>
      <c r="CJ47" s="75"/>
      <c r="CK47" s="81"/>
      <c r="CL47" s="75"/>
      <c r="CM47" s="81"/>
      <c r="CN47" s="75"/>
      <c r="CO47" s="81"/>
      <c r="CP47" s="75"/>
      <c r="CQ47" s="81"/>
      <c r="CR47" s="75"/>
      <c r="CS47" s="81"/>
      <c r="CT47" s="75"/>
      <c r="CU47" s="81"/>
      <c r="CV47" s="75"/>
      <c r="CW47" s="81"/>
      <c r="CX47" s="75"/>
      <c r="CY47" s="144" t="n">
        <f aca="false">W47+Y47+AA47+AC47+AE47+AG47+AI47+AK47+AM47+AO47+AQ47+AS47+AU47+AW47+AY47+BA47+BC47+BE47+BG47+BI47+BK47+BM47+BO47+BQ47+BS47+BU47+BW47+BY47+CA47+CC47+CE47+CG47+CI47+CK47+CM47+CO47+CQ47+CS47+CU47+CW47</f>
        <v>0</v>
      </c>
      <c r="CZ47" s="145" t="n">
        <f aca="false">IF(AND(CY47=0,DC47=0),0,(DF47+DG47)/DC47)</f>
        <v>0</v>
      </c>
      <c r="DB47" s="85" t="n">
        <f aca="false">V47</f>
        <v>37288</v>
      </c>
      <c r="DC47" s="84" t="n">
        <f aca="false">ABS(W47)+ABS(Y47)+ABS(AA47)+ABS(AC47)+ABS(AE47)+ABS(AG47)+ABS(AI47)+ABS(AK47)+ABS(AM47)+ABS(AO47)+ABS(AQ47)+ABS(AS47)+ABS(AU47)+ABS(AW47)+ABS(AY47)+ABS(BA47)+ABS(BC47)+ABS(BE47)+ABS(BG47)+ABS(BI47)+ABS(BK47)+ABS(BM47)+ABS(BO47)+ABS(BQ47)+ABS(BS47)+ABS(BU47)+ABS(BW47)+ABS(BY47)+ABS(CA47)+ABS(CC47)+ABS(CE47)+ABS(CG47)+ABS(CI47)+ABS(CK47)+ABS(CM47)+ABS(CO47)+ABS(CQ47)+ABS(CS47)+ABS(CU47)+ABS(CW47)</f>
        <v>0</v>
      </c>
      <c r="DD47" s="86" t="n">
        <f aca="false">16</f>
        <v>16</v>
      </c>
      <c r="DE47" s="84" t="n">
        <v>1</v>
      </c>
      <c r="DF47" s="43"/>
      <c r="DG47" s="43"/>
      <c r="DH47" s="43"/>
      <c r="DI47" s="43"/>
      <c r="DK47" s="85"/>
      <c r="DR47" s="146" t="n">
        <f aca="false">+VLOOKUP(A47,'NET P&amp;L'!$AH$6:$AK$31,2)</f>
        <v>20</v>
      </c>
    </row>
    <row r="48" customFormat="false" ht="19.5" hidden="false" customHeight="false" outlineLevel="0" collapsed="false">
      <c r="A48" s="147" t="n">
        <f aca="false">'NYISO A'!A48</f>
        <v>37316</v>
      </c>
      <c r="B48" s="119" t="n">
        <f aca="false">[3]Nepool!$L39/16/DR48</f>
        <v>0</v>
      </c>
      <c r="C48" s="148" t="n">
        <f aca="false">CY48</f>
        <v>0</v>
      </c>
      <c r="D48" s="149" t="n">
        <f aca="false">(IF(MONTH(A48)=MONTH(EOMONTH(TradeDate,1)),$AP$69,0)*VLOOKUP(A48,$DK$12:$DN$43,4))</f>
        <v>0</v>
      </c>
      <c r="E48" s="150" t="n">
        <f aca="false">B48+C48+D48</f>
        <v>0</v>
      </c>
      <c r="F48" s="151" t="n">
        <f aca="false">[3]Nepool!$C39</f>
        <v>36.75</v>
      </c>
      <c r="G48" s="152" t="n">
        <f aca="false">IF($Q$9,Q48,P48)</f>
        <v>36.25</v>
      </c>
      <c r="H48" s="153" t="n">
        <f aca="false">F48+G48</f>
        <v>73</v>
      </c>
      <c r="I48" s="154" t="n">
        <f aca="false">B48*G48*DD48*DR48</f>
        <v>0</v>
      </c>
      <c r="J48" s="155" t="n">
        <f aca="false">+(W48*(H48-X48)+Y48*(H48-Z48)+AA48*(H48-AB48))*DD48*DR48</f>
        <v>0</v>
      </c>
      <c r="K48" s="156" t="n">
        <f aca="false">I48+J48</f>
        <v>0</v>
      </c>
      <c r="L48" s="24"/>
      <c r="M48" s="157" t="n">
        <f aca="false">A48</f>
        <v>37316</v>
      </c>
      <c r="N48" s="151" t="n">
        <v>73</v>
      </c>
      <c r="O48" s="151" t="n">
        <v>73</v>
      </c>
      <c r="P48" s="69" t="n">
        <f aca="false">AVERAGE(N48:O48)-F48</f>
        <v>36.25</v>
      </c>
      <c r="Q48" s="70"/>
      <c r="R48" s="91" t="n">
        <f aca="false">H48</f>
        <v>73</v>
      </c>
      <c r="S48" s="24"/>
      <c r="T48" s="24"/>
      <c r="U48" s="131"/>
      <c r="V48" s="158" t="n">
        <f aca="false">A48</f>
        <v>37316</v>
      </c>
      <c r="W48" s="159"/>
      <c r="X48" s="134"/>
      <c r="Y48" s="159"/>
      <c r="Z48" s="134"/>
      <c r="AA48" s="159"/>
      <c r="AB48" s="134"/>
      <c r="AC48" s="77"/>
      <c r="AD48" s="78"/>
      <c r="AE48" s="77"/>
      <c r="AF48" s="78"/>
      <c r="AG48" s="77"/>
      <c r="AH48" s="78"/>
      <c r="AI48" s="77"/>
      <c r="AJ48" s="78"/>
      <c r="AK48" s="77"/>
      <c r="AL48" s="78"/>
      <c r="AM48" s="77"/>
      <c r="AN48" s="78"/>
      <c r="AO48" s="77"/>
      <c r="AP48" s="78"/>
      <c r="AQ48" s="77"/>
      <c r="AR48" s="78"/>
      <c r="AS48" s="77"/>
      <c r="AT48" s="160"/>
      <c r="AU48" s="94"/>
      <c r="AV48" s="95"/>
      <c r="AW48" s="96"/>
      <c r="AX48" s="75"/>
      <c r="AY48" s="81"/>
      <c r="AZ48" s="75"/>
      <c r="BA48" s="81"/>
      <c r="BB48" s="75"/>
      <c r="BC48" s="81"/>
      <c r="BD48" s="75"/>
      <c r="BE48" s="81"/>
      <c r="BF48" s="75"/>
      <c r="BG48" s="81"/>
      <c r="BH48" s="75"/>
      <c r="BI48" s="81"/>
      <c r="BJ48" s="75"/>
      <c r="BK48" s="81"/>
      <c r="BL48" s="75"/>
      <c r="BM48" s="81"/>
      <c r="BN48" s="75"/>
      <c r="BO48" s="81"/>
      <c r="BP48" s="75"/>
      <c r="BQ48" s="81"/>
      <c r="BR48" s="75"/>
      <c r="BS48" s="81"/>
      <c r="BT48" s="75"/>
      <c r="BU48" s="81"/>
      <c r="BV48" s="75"/>
      <c r="BW48" s="81"/>
      <c r="BX48" s="75"/>
      <c r="BY48" s="81"/>
      <c r="BZ48" s="75"/>
      <c r="CA48" s="81"/>
      <c r="CB48" s="75"/>
      <c r="CC48" s="81"/>
      <c r="CD48" s="75"/>
      <c r="CE48" s="81"/>
      <c r="CF48" s="75"/>
      <c r="CG48" s="81"/>
      <c r="CH48" s="75"/>
      <c r="CI48" s="81"/>
      <c r="CJ48" s="75"/>
      <c r="CK48" s="81"/>
      <c r="CL48" s="75"/>
      <c r="CM48" s="81"/>
      <c r="CN48" s="75"/>
      <c r="CO48" s="81"/>
      <c r="CP48" s="75"/>
      <c r="CQ48" s="81"/>
      <c r="CR48" s="75"/>
      <c r="CS48" s="81"/>
      <c r="CT48" s="75"/>
      <c r="CU48" s="81"/>
      <c r="CV48" s="75"/>
      <c r="CW48" s="81"/>
      <c r="CX48" s="75"/>
      <c r="CY48" s="144" t="n">
        <f aca="false">W48+Y48+AA48+AC48+AE48+AG48+AI48+AK48+AM48+AO48+AQ48+AS48+AU48+AW48+AY48+BA48+BC48+BE48+BG48+BI48+BK48+BM48+BO48+BQ48+BS48+BU48+BW48+BY48+CA48+CC48+CE48+CG48+CI48+CK48+CM48+CO48+CQ48+CS48+CU48+CW48</f>
        <v>0</v>
      </c>
      <c r="CZ48" s="145" t="n">
        <f aca="false">IF(AND(CY48=0,DC48=0),0,(DF48+DG48)/DC48)</f>
        <v>0</v>
      </c>
      <c r="DB48" s="85" t="n">
        <f aca="false">V48</f>
        <v>37316</v>
      </c>
      <c r="DC48" s="84" t="n">
        <f aca="false">ABS(W48)+ABS(Y48)+ABS(AA48)+ABS(AC48)+ABS(AE48)+ABS(AG48)+ABS(AI48)+ABS(AK48)+ABS(AM48)+ABS(AO48)+ABS(AQ48)+ABS(AS48)+ABS(AU48)+ABS(AW48)+ABS(AY48)+ABS(BA48)+ABS(BC48)+ABS(BE48)+ABS(BG48)+ABS(BI48)+ABS(BK48)+ABS(BM48)+ABS(BO48)+ABS(BQ48)+ABS(BS48)+ABS(BU48)+ABS(BW48)+ABS(BY48)+ABS(CA48)+ABS(CC48)+ABS(CE48)+ABS(CG48)+ABS(CI48)+ABS(CK48)+ABS(CM48)+ABS(CO48)+ABS(CQ48)+ABS(CS48)+ABS(CU48)+ABS(CW48)</f>
        <v>0</v>
      </c>
      <c r="DD48" s="86" t="n">
        <f aca="false">16</f>
        <v>16</v>
      </c>
      <c r="DE48" s="84" t="n">
        <v>1</v>
      </c>
      <c r="DF48" s="43"/>
      <c r="DG48" s="43"/>
      <c r="DH48" s="43"/>
      <c r="DI48" s="43"/>
      <c r="DK48" s="85"/>
      <c r="DR48" s="146" t="n">
        <f aca="false">+VLOOKUP(A48,'NET P&amp;L'!$AH$6:$AK$31,2)</f>
        <v>21</v>
      </c>
    </row>
    <row r="49" customFormat="false" ht="19.5" hidden="false" customHeight="false" outlineLevel="0" collapsed="false">
      <c r="A49" s="147" t="n">
        <f aca="false">'NYISO A'!A49</f>
        <v>37347</v>
      </c>
      <c r="B49" s="119" t="n">
        <f aca="false">[3]Nepool!$L40/16/DR49</f>
        <v>0</v>
      </c>
      <c r="C49" s="148" t="n">
        <f aca="false">CY49</f>
        <v>0</v>
      </c>
      <c r="D49" s="149" t="n">
        <f aca="false">(IF(MONTH(A49)=MONTH(EOMONTH(TradeDate,1)),$AP$69,0)*VLOOKUP(A49,$DK$12:$DN$43,4))</f>
        <v>0</v>
      </c>
      <c r="E49" s="150" t="n">
        <f aca="false">B49+C49+D49</f>
        <v>0</v>
      </c>
      <c r="F49" s="151" t="n">
        <f aca="false">[3]Nepool!$C40</f>
        <v>36.75</v>
      </c>
      <c r="G49" s="152" t="n">
        <f aca="false">IF($Q$9,Q49,P49)</f>
        <v>68.25</v>
      </c>
      <c r="H49" s="153" t="n">
        <f aca="false">F49+G49</f>
        <v>105</v>
      </c>
      <c r="I49" s="154" t="n">
        <f aca="false">B49*G49*DD49*DR49</f>
        <v>0</v>
      </c>
      <c r="J49" s="155" t="n">
        <f aca="false">+(W49*(H49-X49)+Y49*(H49-Z49)+AA49*(H49-AB49))*DD49*DR49</f>
        <v>0</v>
      </c>
      <c r="K49" s="156" t="n">
        <f aca="false">I49+J49</f>
        <v>0</v>
      </c>
      <c r="L49" s="24"/>
      <c r="M49" s="157" t="n">
        <f aca="false">A49</f>
        <v>37347</v>
      </c>
      <c r="N49" s="151" t="n">
        <v>105</v>
      </c>
      <c r="O49" s="151" t="n">
        <v>105</v>
      </c>
      <c r="P49" s="69" t="n">
        <f aca="false">AVERAGE(N49:O49)-F49</f>
        <v>68.25</v>
      </c>
      <c r="Q49" s="70"/>
      <c r="R49" s="91" t="n">
        <f aca="false">H49</f>
        <v>105</v>
      </c>
      <c r="S49" s="24"/>
      <c r="T49" s="24"/>
      <c r="U49" s="131"/>
      <c r="V49" s="158" t="n">
        <f aca="false">A49</f>
        <v>37347</v>
      </c>
      <c r="W49" s="159"/>
      <c r="X49" s="134"/>
      <c r="Y49" s="159"/>
      <c r="Z49" s="134"/>
      <c r="AA49" s="159"/>
      <c r="AB49" s="134"/>
      <c r="AC49" s="77"/>
      <c r="AD49" s="78"/>
      <c r="AE49" s="77"/>
      <c r="AF49" s="78"/>
      <c r="AG49" s="77"/>
      <c r="AH49" s="78"/>
      <c r="AI49" s="77"/>
      <c r="AJ49" s="78"/>
      <c r="AK49" s="77"/>
      <c r="AL49" s="78"/>
      <c r="AM49" s="77"/>
      <c r="AN49" s="78"/>
      <c r="AO49" s="77"/>
      <c r="AP49" s="78"/>
      <c r="AQ49" s="77"/>
      <c r="AR49" s="78"/>
      <c r="AS49" s="77"/>
      <c r="AT49" s="160"/>
      <c r="AU49" s="94"/>
      <c r="AV49" s="95"/>
      <c r="AW49" s="96"/>
      <c r="AX49" s="75"/>
      <c r="AY49" s="81"/>
      <c r="AZ49" s="75"/>
      <c r="BA49" s="81"/>
      <c r="BB49" s="75"/>
      <c r="BC49" s="81"/>
      <c r="BD49" s="75"/>
      <c r="BE49" s="81"/>
      <c r="BF49" s="75"/>
      <c r="BG49" s="81"/>
      <c r="BH49" s="75"/>
      <c r="BI49" s="81"/>
      <c r="BJ49" s="75"/>
      <c r="BK49" s="81"/>
      <c r="BL49" s="75"/>
      <c r="BM49" s="81"/>
      <c r="BN49" s="75"/>
      <c r="BO49" s="81"/>
      <c r="BP49" s="75"/>
      <c r="BQ49" s="81"/>
      <c r="BR49" s="75"/>
      <c r="BS49" s="81"/>
      <c r="BT49" s="75"/>
      <c r="BU49" s="81"/>
      <c r="BV49" s="75"/>
      <c r="BW49" s="81"/>
      <c r="BX49" s="75"/>
      <c r="BY49" s="81"/>
      <c r="BZ49" s="75"/>
      <c r="CA49" s="81"/>
      <c r="CB49" s="75"/>
      <c r="CC49" s="81"/>
      <c r="CD49" s="75"/>
      <c r="CE49" s="81"/>
      <c r="CF49" s="75"/>
      <c r="CG49" s="81"/>
      <c r="CH49" s="75"/>
      <c r="CI49" s="81"/>
      <c r="CJ49" s="75"/>
      <c r="CK49" s="81"/>
      <c r="CL49" s="75"/>
      <c r="CM49" s="81"/>
      <c r="CN49" s="75"/>
      <c r="CO49" s="81"/>
      <c r="CP49" s="75"/>
      <c r="CQ49" s="81"/>
      <c r="CR49" s="75"/>
      <c r="CS49" s="81"/>
      <c r="CT49" s="75"/>
      <c r="CU49" s="81"/>
      <c r="CV49" s="75"/>
      <c r="CW49" s="81"/>
      <c r="CX49" s="75"/>
      <c r="CY49" s="144" t="n">
        <f aca="false">W49+Y49+AA49+AC49+AE49+AG49+AI49+AK49+AM49+AO49+AQ49+AS49+AU49+AW49+AY49+BA49+BC49+BE49+BG49+BI49+BK49+BM49+BO49+BQ49+BS49+BU49+BW49+BY49+CA49+CC49+CE49+CG49+CI49+CK49+CM49+CO49+CQ49+CS49+CU49+CW49</f>
        <v>0</v>
      </c>
      <c r="CZ49" s="145" t="n">
        <f aca="false">IF(AND(CY49=0,DC49=0),0,(DF49+DG49)/DC49)</f>
        <v>0</v>
      </c>
      <c r="DB49" s="85" t="n">
        <f aca="false">V49</f>
        <v>37347</v>
      </c>
      <c r="DC49" s="84" t="n">
        <f aca="false">ABS(W49)+ABS(Y49)+ABS(AA49)+ABS(AC49)+ABS(AE49)+ABS(AG49)+ABS(AI49)+ABS(AK49)+ABS(AM49)+ABS(AO49)+ABS(AQ49)+ABS(AS49)+ABS(AU49)+ABS(AW49)+ABS(AY49)+ABS(BA49)+ABS(BC49)+ABS(BE49)+ABS(BG49)+ABS(BI49)+ABS(BK49)+ABS(BM49)+ABS(BO49)+ABS(BQ49)+ABS(BS49)+ABS(BU49)+ABS(BW49)+ABS(BY49)+ABS(CA49)+ABS(CC49)+ABS(CE49)+ABS(CG49)+ABS(CI49)+ABS(CK49)+ABS(CM49)+ABS(CO49)+ABS(CQ49)+ABS(CS49)+ABS(CU49)+ABS(CW49)</f>
        <v>0</v>
      </c>
      <c r="DD49" s="86" t="n">
        <f aca="false">16</f>
        <v>16</v>
      </c>
      <c r="DE49" s="84" t="n">
        <v>1</v>
      </c>
      <c r="DF49" s="43"/>
      <c r="DG49" s="43"/>
      <c r="DH49" s="43"/>
      <c r="DI49" s="43"/>
      <c r="DK49" s="85"/>
      <c r="DR49" s="146" t="n">
        <f aca="false">+VLOOKUP(A49,'NET P&amp;L'!$AH$6:$AK$31,2)</f>
        <v>22</v>
      </c>
    </row>
    <row r="50" customFormat="false" ht="19.5" hidden="false" customHeight="false" outlineLevel="0" collapsed="false">
      <c r="A50" s="147" t="n">
        <f aca="false">'NYISO A'!A50</f>
        <v>37377</v>
      </c>
      <c r="B50" s="119" t="n">
        <f aca="false">[3]Nepool!$L41/16/DR50</f>
        <v>0</v>
      </c>
      <c r="C50" s="148" t="n">
        <f aca="false">CY50</f>
        <v>0</v>
      </c>
      <c r="D50" s="149" t="n">
        <f aca="false">(IF(MONTH(A50)=MONTH(EOMONTH(TradeDate,1)),$AP$69,0)*VLOOKUP(A50,$DK$12:$DN$43,4))</f>
        <v>0</v>
      </c>
      <c r="E50" s="150" t="n">
        <f aca="false">B50+C50+D50</f>
        <v>0</v>
      </c>
      <c r="F50" s="151" t="n">
        <f aca="false">[3]Nepool!$C41</f>
        <v>37</v>
      </c>
      <c r="G50" s="152" t="n">
        <f aca="false">IF($Q$9,Q50,P50)</f>
        <v>68</v>
      </c>
      <c r="H50" s="153" t="n">
        <f aca="false">F50+G50</f>
        <v>105</v>
      </c>
      <c r="I50" s="154" t="n">
        <f aca="false">B50*G50*DD50*DR50</f>
        <v>0</v>
      </c>
      <c r="J50" s="155" t="n">
        <f aca="false">+(W50*(H50-X50)+Y50*(H50-Z50)+AA50*(H50-AB50))*DD50*DR50</f>
        <v>0</v>
      </c>
      <c r="K50" s="156" t="n">
        <f aca="false">I50+J50</f>
        <v>0</v>
      </c>
      <c r="L50" s="24"/>
      <c r="M50" s="157" t="n">
        <f aca="false">A50</f>
        <v>37377</v>
      </c>
      <c r="N50" s="151" t="n">
        <v>105</v>
      </c>
      <c r="O50" s="151" t="n">
        <v>105</v>
      </c>
      <c r="P50" s="69" t="n">
        <f aca="false">AVERAGE(N50:O50)-F50</f>
        <v>68</v>
      </c>
      <c r="Q50" s="70"/>
      <c r="R50" s="91" t="n">
        <f aca="false">H50</f>
        <v>105</v>
      </c>
      <c r="S50" s="24"/>
      <c r="T50" s="24"/>
      <c r="U50" s="131"/>
      <c r="V50" s="158" t="n">
        <f aca="false">A50</f>
        <v>37377</v>
      </c>
      <c r="W50" s="159"/>
      <c r="X50" s="134"/>
      <c r="Y50" s="159"/>
      <c r="Z50" s="134"/>
      <c r="AA50" s="159"/>
      <c r="AB50" s="134"/>
      <c r="AC50" s="77"/>
      <c r="AD50" s="78"/>
      <c r="AE50" s="77"/>
      <c r="AF50" s="78"/>
      <c r="AG50" s="77"/>
      <c r="AH50" s="78"/>
      <c r="AI50" s="77"/>
      <c r="AJ50" s="78"/>
      <c r="AK50" s="77"/>
      <c r="AL50" s="78"/>
      <c r="AM50" s="77"/>
      <c r="AN50" s="78"/>
      <c r="AO50" s="77"/>
      <c r="AP50" s="78"/>
      <c r="AQ50" s="77"/>
      <c r="AR50" s="78"/>
      <c r="AS50" s="77"/>
      <c r="AT50" s="160"/>
      <c r="AU50" s="94"/>
      <c r="AV50" s="95"/>
      <c r="AW50" s="96"/>
      <c r="AX50" s="75"/>
      <c r="AY50" s="81"/>
      <c r="AZ50" s="75"/>
      <c r="BA50" s="81"/>
      <c r="BB50" s="75"/>
      <c r="BC50" s="81"/>
      <c r="BD50" s="75"/>
      <c r="BE50" s="81"/>
      <c r="BF50" s="75"/>
      <c r="BG50" s="81"/>
      <c r="BH50" s="75"/>
      <c r="BI50" s="81"/>
      <c r="BJ50" s="75"/>
      <c r="BK50" s="81"/>
      <c r="BL50" s="75"/>
      <c r="BM50" s="81"/>
      <c r="BN50" s="75"/>
      <c r="BO50" s="81"/>
      <c r="BP50" s="75"/>
      <c r="BQ50" s="81"/>
      <c r="BR50" s="75"/>
      <c r="BS50" s="81"/>
      <c r="BT50" s="75"/>
      <c r="BU50" s="81"/>
      <c r="BV50" s="75"/>
      <c r="BW50" s="81"/>
      <c r="BX50" s="75"/>
      <c r="BY50" s="81"/>
      <c r="BZ50" s="75"/>
      <c r="CA50" s="81"/>
      <c r="CB50" s="75"/>
      <c r="CC50" s="81"/>
      <c r="CD50" s="75"/>
      <c r="CE50" s="81"/>
      <c r="CF50" s="75"/>
      <c r="CG50" s="81"/>
      <c r="CH50" s="75"/>
      <c r="CI50" s="81"/>
      <c r="CJ50" s="75"/>
      <c r="CK50" s="81"/>
      <c r="CL50" s="75"/>
      <c r="CM50" s="81"/>
      <c r="CN50" s="75"/>
      <c r="CO50" s="81"/>
      <c r="CP50" s="75"/>
      <c r="CQ50" s="81"/>
      <c r="CR50" s="75"/>
      <c r="CS50" s="81"/>
      <c r="CT50" s="75"/>
      <c r="CU50" s="81"/>
      <c r="CV50" s="75"/>
      <c r="CW50" s="81"/>
      <c r="CX50" s="75"/>
      <c r="CY50" s="144" t="n">
        <f aca="false">W50+Y50+AA50+AC50+AE50+AG50+AI50+AK50+AM50+AO50+AQ50+AS50+AU50+AW50+AY50+BA50+BC50+BE50+BG50+BI50+BK50+BM50+BO50+BQ50+BS50+BU50+BW50+BY50+CA50+CC50+CE50+CG50+CI50+CK50+CM50+CO50+CQ50+CS50+CU50+CW50</f>
        <v>0</v>
      </c>
      <c r="CZ50" s="145" t="n">
        <f aca="false">IF(AND(CY50=0,DC50=0),0,(DF50+DG50)/DC50)</f>
        <v>0</v>
      </c>
      <c r="DB50" s="85" t="n">
        <f aca="false">V50</f>
        <v>37377</v>
      </c>
      <c r="DC50" s="84" t="n">
        <f aca="false">ABS(W50)+ABS(Y50)+ABS(AA50)+ABS(AC50)+ABS(AE50)+ABS(AG50)+ABS(AI50)+ABS(AK50)+ABS(AM50)+ABS(AO50)+ABS(AQ50)+ABS(AS50)+ABS(AU50)+ABS(AW50)+ABS(AY50)+ABS(BA50)+ABS(BC50)+ABS(BE50)+ABS(BG50)+ABS(BI50)+ABS(BK50)+ABS(BM50)+ABS(BO50)+ABS(BQ50)+ABS(BS50)+ABS(BU50)+ABS(BW50)+ABS(BY50)+ABS(CA50)+ABS(CC50)+ABS(CE50)+ABS(CG50)+ABS(CI50)+ABS(CK50)+ABS(CM50)+ABS(CO50)+ABS(CQ50)+ABS(CS50)+ABS(CU50)+ABS(CW50)</f>
        <v>0</v>
      </c>
      <c r="DD50" s="86" t="n">
        <f aca="false">16</f>
        <v>16</v>
      </c>
      <c r="DE50" s="84" t="n">
        <v>1</v>
      </c>
      <c r="DF50" s="43"/>
      <c r="DG50" s="43"/>
      <c r="DH50" s="43"/>
      <c r="DI50" s="43"/>
      <c r="DK50" s="85"/>
      <c r="DR50" s="146" t="n">
        <f aca="false">+VLOOKUP(A50,'NET P&amp;L'!$AH$6:$AK$31,2)</f>
        <v>22</v>
      </c>
    </row>
    <row r="51" customFormat="false" ht="19.5" hidden="false" customHeight="false" outlineLevel="0" collapsed="false">
      <c r="A51" s="147" t="n">
        <f aca="false">'NYISO A'!A51</f>
        <v>37408</v>
      </c>
      <c r="B51" s="119" t="n">
        <f aca="false">[3]Nepool!$L42/16/DR51</f>
        <v>0</v>
      </c>
      <c r="C51" s="148" t="n">
        <f aca="false">CY51</f>
        <v>0</v>
      </c>
      <c r="D51" s="149" t="n">
        <f aca="false">(IF(MONTH(A51)=MONTH(EOMONTH(TradeDate,1)),$AP$69,0)*VLOOKUP(A51,$DK$12:$DN$43,4))</f>
        <v>0</v>
      </c>
      <c r="E51" s="150" t="n">
        <f aca="false">B51+C51+D51</f>
        <v>0</v>
      </c>
      <c r="F51" s="151" t="n">
        <f aca="false">[3]Nepool!$C42</f>
        <v>44.75</v>
      </c>
      <c r="G51" s="152" t="n">
        <f aca="false">IF($Q$9,Q51,P51)</f>
        <v>8.25</v>
      </c>
      <c r="H51" s="153" t="n">
        <f aca="false">F51+G51</f>
        <v>53</v>
      </c>
      <c r="I51" s="154" t="n">
        <f aca="false">B51*G51*DD51*DR51</f>
        <v>0</v>
      </c>
      <c r="J51" s="155" t="n">
        <f aca="false">+(W51*(H51-X51)+Y51*(H51-Z51)+AA51*(H51-AB51))*DD51*DR51</f>
        <v>0</v>
      </c>
      <c r="K51" s="156" t="n">
        <f aca="false">I51+J51</f>
        <v>0</v>
      </c>
      <c r="L51" s="24"/>
      <c r="M51" s="157" t="n">
        <f aca="false">A51</f>
        <v>37408</v>
      </c>
      <c r="N51" s="151" t="n">
        <v>53</v>
      </c>
      <c r="O51" s="151" t="n">
        <v>53</v>
      </c>
      <c r="P51" s="69" t="n">
        <f aca="false">AVERAGE(N51:O51)-F51</f>
        <v>8.25</v>
      </c>
      <c r="Q51" s="70"/>
      <c r="R51" s="91" t="n">
        <f aca="false">H51</f>
        <v>53</v>
      </c>
      <c r="S51" s="24"/>
      <c r="T51" s="24"/>
      <c r="U51" s="131"/>
      <c r="V51" s="158" t="n">
        <f aca="false">A51</f>
        <v>37408</v>
      </c>
      <c r="W51" s="159"/>
      <c r="X51" s="134"/>
      <c r="Y51" s="159"/>
      <c r="Z51" s="134"/>
      <c r="AA51" s="159"/>
      <c r="AB51" s="134"/>
      <c r="AC51" s="77"/>
      <c r="AD51" s="78"/>
      <c r="AE51" s="77"/>
      <c r="AF51" s="78"/>
      <c r="AG51" s="77"/>
      <c r="AH51" s="78"/>
      <c r="AI51" s="77"/>
      <c r="AJ51" s="78"/>
      <c r="AK51" s="77"/>
      <c r="AL51" s="78"/>
      <c r="AM51" s="77"/>
      <c r="AN51" s="78"/>
      <c r="AO51" s="77"/>
      <c r="AP51" s="78"/>
      <c r="AQ51" s="77"/>
      <c r="AR51" s="78"/>
      <c r="AS51" s="77"/>
      <c r="AT51" s="160"/>
      <c r="AU51" s="94"/>
      <c r="AV51" s="95"/>
      <c r="AW51" s="96"/>
      <c r="AX51" s="75"/>
      <c r="AY51" s="81"/>
      <c r="AZ51" s="75"/>
      <c r="BA51" s="81"/>
      <c r="BB51" s="75"/>
      <c r="BC51" s="81"/>
      <c r="BD51" s="75"/>
      <c r="BE51" s="81"/>
      <c r="BF51" s="75"/>
      <c r="BG51" s="81"/>
      <c r="BH51" s="75"/>
      <c r="BI51" s="81"/>
      <c r="BJ51" s="75"/>
      <c r="BK51" s="81"/>
      <c r="BL51" s="75"/>
      <c r="BM51" s="81"/>
      <c r="BN51" s="75"/>
      <c r="BO51" s="81"/>
      <c r="BP51" s="75"/>
      <c r="BQ51" s="81"/>
      <c r="BR51" s="75"/>
      <c r="BS51" s="81"/>
      <c r="BT51" s="75"/>
      <c r="BU51" s="81"/>
      <c r="BV51" s="75"/>
      <c r="BW51" s="81"/>
      <c r="BX51" s="75"/>
      <c r="BY51" s="81"/>
      <c r="BZ51" s="75"/>
      <c r="CA51" s="81"/>
      <c r="CB51" s="75"/>
      <c r="CC51" s="81"/>
      <c r="CD51" s="75"/>
      <c r="CE51" s="81"/>
      <c r="CF51" s="75"/>
      <c r="CG51" s="81"/>
      <c r="CH51" s="75"/>
      <c r="CI51" s="81"/>
      <c r="CJ51" s="75"/>
      <c r="CK51" s="81"/>
      <c r="CL51" s="75"/>
      <c r="CM51" s="81"/>
      <c r="CN51" s="75"/>
      <c r="CO51" s="81"/>
      <c r="CP51" s="75"/>
      <c r="CQ51" s="81"/>
      <c r="CR51" s="75"/>
      <c r="CS51" s="81"/>
      <c r="CT51" s="75"/>
      <c r="CU51" s="81"/>
      <c r="CV51" s="75"/>
      <c r="CW51" s="81"/>
      <c r="CX51" s="75"/>
      <c r="CY51" s="144" t="n">
        <f aca="false">W51+Y51+AA51+AC51+AE51+AG51+AI51+AK51+AM51+AO51+AQ51+AS51+AU51+AW51+AY51+BA51+BC51+BE51+BG51+BI51+BK51+BM51+BO51+BQ51+BS51+BU51+BW51+BY51+CA51+CC51+CE51+CG51+CI51+CK51+CM51+CO51+CQ51+CS51+CU51+CW51</f>
        <v>0</v>
      </c>
      <c r="CZ51" s="145" t="n">
        <f aca="false">IF(AND(CY51=0,DC51=0),0,(DF51+DG51)/DC51)</f>
        <v>0</v>
      </c>
      <c r="DB51" s="85" t="n">
        <f aca="false">V51</f>
        <v>37408</v>
      </c>
      <c r="DC51" s="84" t="n">
        <f aca="false">ABS(W51)+ABS(Y51)+ABS(AA51)+ABS(AC51)+ABS(AE51)+ABS(AG51)+ABS(AI51)+ABS(AK51)+ABS(AM51)+ABS(AO51)+ABS(AQ51)+ABS(AS51)+ABS(AU51)+ABS(AW51)+ABS(AY51)+ABS(BA51)+ABS(BC51)+ABS(BE51)+ABS(BG51)+ABS(BI51)+ABS(BK51)+ABS(BM51)+ABS(BO51)+ABS(BQ51)+ABS(BS51)+ABS(BU51)+ABS(BW51)+ABS(BY51)+ABS(CA51)+ABS(CC51)+ABS(CE51)+ABS(CG51)+ABS(CI51)+ABS(CK51)+ABS(CM51)+ABS(CO51)+ABS(CQ51)+ABS(CS51)+ABS(CU51)+ABS(CW51)</f>
        <v>0</v>
      </c>
      <c r="DD51" s="86" t="n">
        <f aca="false">16</f>
        <v>16</v>
      </c>
      <c r="DE51" s="84" t="n">
        <v>1</v>
      </c>
      <c r="DF51" s="43"/>
      <c r="DG51" s="43"/>
      <c r="DH51" s="43"/>
      <c r="DI51" s="43"/>
      <c r="DK51" s="85"/>
      <c r="DR51" s="146" t="n">
        <f aca="false">+VLOOKUP(A51,'NET P&amp;L'!$AH$6:$AK$31,2)</f>
        <v>20</v>
      </c>
    </row>
    <row r="52" customFormat="false" ht="19.5" hidden="false" customHeight="false" outlineLevel="0" collapsed="false">
      <c r="A52" s="147" t="n">
        <f aca="false">'NYISO A'!A52</f>
        <v>37438</v>
      </c>
      <c r="B52" s="119" t="n">
        <f aca="false">[3]Nepool!$L43/16/DR52</f>
        <v>0</v>
      </c>
      <c r="C52" s="148" t="n">
        <f aca="false">CY52</f>
        <v>0</v>
      </c>
      <c r="D52" s="149" t="n">
        <f aca="false">(IF(MONTH(A52)=MONTH(EOMONTH(TradeDate,1)),$AP$69,0)*VLOOKUP(A52,$DK$12:$DN$43,4))</f>
        <v>0</v>
      </c>
      <c r="E52" s="150" t="n">
        <f aca="false">B52+C52+D52</f>
        <v>0</v>
      </c>
      <c r="F52" s="151" t="n">
        <f aca="false">[3]Nepool!$C43</f>
        <v>58.5</v>
      </c>
      <c r="G52" s="152" t="n">
        <f aca="false">IF($Q$9,Q52,P52)</f>
        <v>-8.25</v>
      </c>
      <c r="H52" s="153" t="n">
        <f aca="false">F52+G52</f>
        <v>50.25</v>
      </c>
      <c r="I52" s="154" t="n">
        <f aca="false">B52*G52*DD52*DR52</f>
        <v>-0</v>
      </c>
      <c r="J52" s="155" t="n">
        <f aca="false">+(W52*(H52-X52)+Y52*(H52-Z52)+AA52*(H52-AB52))*DD52*DR52</f>
        <v>0</v>
      </c>
      <c r="K52" s="156" t="n">
        <f aca="false">I52+J52</f>
        <v>0</v>
      </c>
      <c r="L52" s="24"/>
      <c r="M52" s="157" t="n">
        <f aca="false">A52</f>
        <v>37438</v>
      </c>
      <c r="N52" s="151" t="n">
        <v>50.25</v>
      </c>
      <c r="O52" s="151" t="n">
        <v>50.25</v>
      </c>
      <c r="P52" s="69" t="n">
        <f aca="false">AVERAGE(N52:O52)-F52</f>
        <v>-8.25</v>
      </c>
      <c r="Q52" s="70"/>
      <c r="R52" s="91" t="n">
        <f aca="false">H52</f>
        <v>50.25</v>
      </c>
      <c r="S52" s="24"/>
      <c r="T52" s="24"/>
      <c r="U52" s="131"/>
      <c r="V52" s="158" t="n">
        <f aca="false">A52</f>
        <v>37438</v>
      </c>
      <c r="W52" s="159"/>
      <c r="X52" s="134"/>
      <c r="Y52" s="159"/>
      <c r="Z52" s="134"/>
      <c r="AA52" s="159"/>
      <c r="AB52" s="134"/>
      <c r="AC52" s="77"/>
      <c r="AD52" s="78"/>
      <c r="AE52" s="77"/>
      <c r="AF52" s="78"/>
      <c r="AG52" s="77"/>
      <c r="AH52" s="78"/>
      <c r="AI52" s="77"/>
      <c r="AJ52" s="78"/>
      <c r="AK52" s="77"/>
      <c r="AL52" s="78"/>
      <c r="AM52" s="77"/>
      <c r="AN52" s="78"/>
      <c r="AO52" s="77"/>
      <c r="AP52" s="78"/>
      <c r="AQ52" s="77"/>
      <c r="AR52" s="78"/>
      <c r="AS52" s="77"/>
      <c r="AT52" s="160"/>
      <c r="AU52" s="94"/>
      <c r="AV52" s="95"/>
      <c r="AW52" s="96"/>
      <c r="AX52" s="75"/>
      <c r="AY52" s="81"/>
      <c r="AZ52" s="75"/>
      <c r="BA52" s="81"/>
      <c r="BB52" s="75"/>
      <c r="BC52" s="81"/>
      <c r="BD52" s="75"/>
      <c r="BE52" s="81"/>
      <c r="BF52" s="75"/>
      <c r="BG52" s="81"/>
      <c r="BH52" s="75"/>
      <c r="BI52" s="81"/>
      <c r="BJ52" s="75"/>
      <c r="BK52" s="81"/>
      <c r="BL52" s="75"/>
      <c r="BM52" s="81"/>
      <c r="BN52" s="75"/>
      <c r="BO52" s="81"/>
      <c r="BP52" s="75"/>
      <c r="BQ52" s="81"/>
      <c r="BR52" s="75"/>
      <c r="BS52" s="81"/>
      <c r="BT52" s="75"/>
      <c r="BU52" s="81"/>
      <c r="BV52" s="75"/>
      <c r="BW52" s="81"/>
      <c r="BX52" s="75"/>
      <c r="BY52" s="81"/>
      <c r="BZ52" s="75"/>
      <c r="CA52" s="81"/>
      <c r="CB52" s="75"/>
      <c r="CC52" s="81"/>
      <c r="CD52" s="75"/>
      <c r="CE52" s="81"/>
      <c r="CF52" s="75"/>
      <c r="CG52" s="81"/>
      <c r="CH52" s="75"/>
      <c r="CI52" s="81"/>
      <c r="CJ52" s="75"/>
      <c r="CK52" s="81"/>
      <c r="CL52" s="75"/>
      <c r="CM52" s="81"/>
      <c r="CN52" s="75"/>
      <c r="CO52" s="81"/>
      <c r="CP52" s="75"/>
      <c r="CQ52" s="81"/>
      <c r="CR52" s="75"/>
      <c r="CS52" s="81"/>
      <c r="CT52" s="75"/>
      <c r="CU52" s="81"/>
      <c r="CV52" s="75"/>
      <c r="CW52" s="81"/>
      <c r="CX52" s="75"/>
      <c r="CY52" s="144" t="n">
        <f aca="false">W52+Y52+AA52+AC52+AE52+AG52+AI52+AK52+AM52+AO52+AQ52+AS52+AU52+AW52+AY52+BA52+BC52+BE52+BG52+BI52+BK52+BM52+BO52+BQ52+BS52+BU52+BW52+BY52+CA52+CC52+CE52+CG52+CI52+CK52+CM52+CO52+CQ52+CS52+CU52+CW52</f>
        <v>0</v>
      </c>
      <c r="CZ52" s="145" t="n">
        <f aca="false">IF(AND(CY52=0,DC52=0),0,(DF52+DG52)/DC52)</f>
        <v>0</v>
      </c>
      <c r="DB52" s="85" t="n">
        <f aca="false">V52</f>
        <v>37438</v>
      </c>
      <c r="DC52" s="84" t="n">
        <f aca="false">ABS(W52)+ABS(Y52)+ABS(AA52)+ABS(AC52)+ABS(AE52)+ABS(AG52)+ABS(AI52)+ABS(AK52)+ABS(AM52)+ABS(AO52)+ABS(AQ52)+ABS(AS52)+ABS(AU52)+ABS(AW52)+ABS(AY52)+ABS(BA52)+ABS(BC52)+ABS(BE52)+ABS(BG52)+ABS(BI52)+ABS(BK52)+ABS(BM52)+ABS(BO52)+ABS(BQ52)+ABS(BS52)+ABS(BU52)+ABS(BW52)+ABS(BY52)+ABS(CA52)+ABS(CC52)+ABS(CE52)+ABS(CG52)+ABS(CI52)+ABS(CK52)+ABS(CM52)+ABS(CO52)+ABS(CQ52)+ABS(CS52)+ABS(CU52)+ABS(CW52)</f>
        <v>0</v>
      </c>
      <c r="DD52" s="86" t="n">
        <f aca="false">16</f>
        <v>16</v>
      </c>
      <c r="DE52" s="84" t="n">
        <v>1</v>
      </c>
      <c r="DF52" s="43"/>
      <c r="DG52" s="43"/>
      <c r="DH52" s="43"/>
      <c r="DI52" s="43"/>
      <c r="DK52" s="85"/>
      <c r="DR52" s="146" t="n">
        <f aca="false">+VLOOKUP(A52,'NET P&amp;L'!$AH$6:$AK$31,2)</f>
        <v>22</v>
      </c>
    </row>
    <row r="53" customFormat="false" ht="19.5" hidden="false" customHeight="false" outlineLevel="0" collapsed="false">
      <c r="A53" s="147" t="n">
        <f aca="false">'NYISO A'!A53</f>
        <v>37469</v>
      </c>
      <c r="B53" s="119" t="n">
        <f aca="false">[3]Nepool!$L44/16/DR53</f>
        <v>0</v>
      </c>
      <c r="C53" s="148" t="n">
        <f aca="false">CY53</f>
        <v>0</v>
      </c>
      <c r="D53" s="149" t="n">
        <f aca="false">(IF(MONTH(A53)=MONTH(EOMONTH(TradeDate,1)),$AP$69,0)*VLOOKUP(A53,$DK$12:$DN$43,4))</f>
        <v>0</v>
      </c>
      <c r="E53" s="150" t="n">
        <f aca="false">B53+C53+D53</f>
        <v>0</v>
      </c>
      <c r="F53" s="151" t="n">
        <f aca="false">[3]Nepool!$C44</f>
        <v>58.5</v>
      </c>
      <c r="G53" s="152" t="n">
        <f aca="false">IF($Q$9,Q53,P53)</f>
        <v>-6.75</v>
      </c>
      <c r="H53" s="153" t="n">
        <f aca="false">F53+G53</f>
        <v>51.75</v>
      </c>
      <c r="I53" s="154" t="n">
        <f aca="false">B53*G53*DD53*DR53</f>
        <v>-0</v>
      </c>
      <c r="J53" s="155" t="n">
        <f aca="false">+(W53*(H53-X53)+Y53*(H53-Z53)+AA53*(H53-AB53))*DD53*DR53</f>
        <v>0</v>
      </c>
      <c r="K53" s="156" t="n">
        <f aca="false">I53+J53</f>
        <v>0</v>
      </c>
      <c r="L53" s="24"/>
      <c r="M53" s="157" t="n">
        <f aca="false">A53</f>
        <v>37469</v>
      </c>
      <c r="N53" s="151" t="n">
        <v>51.75</v>
      </c>
      <c r="O53" s="151" t="n">
        <v>51.75</v>
      </c>
      <c r="P53" s="69" t="n">
        <f aca="false">AVERAGE(N53:O53)-F53</f>
        <v>-6.75</v>
      </c>
      <c r="Q53" s="70"/>
      <c r="R53" s="91" t="n">
        <f aca="false">H53</f>
        <v>51.75</v>
      </c>
      <c r="S53" s="24"/>
      <c r="T53" s="24"/>
      <c r="U53" s="131"/>
      <c r="V53" s="158" t="n">
        <f aca="false">A53</f>
        <v>37469</v>
      </c>
      <c r="W53" s="159"/>
      <c r="X53" s="134"/>
      <c r="Y53" s="159"/>
      <c r="Z53" s="134"/>
      <c r="AA53" s="159"/>
      <c r="AB53" s="134"/>
      <c r="AC53" s="77"/>
      <c r="AD53" s="78"/>
      <c r="AE53" s="77"/>
      <c r="AF53" s="78"/>
      <c r="AG53" s="77"/>
      <c r="AH53" s="78"/>
      <c r="AI53" s="77"/>
      <c r="AJ53" s="78"/>
      <c r="AK53" s="77"/>
      <c r="AL53" s="78"/>
      <c r="AM53" s="77"/>
      <c r="AN53" s="78"/>
      <c r="AO53" s="77"/>
      <c r="AP53" s="78"/>
      <c r="AQ53" s="77"/>
      <c r="AR53" s="78"/>
      <c r="AS53" s="77"/>
      <c r="AT53" s="160"/>
      <c r="AU53" s="94"/>
      <c r="AV53" s="95"/>
      <c r="AW53" s="96"/>
      <c r="AX53" s="75"/>
      <c r="AY53" s="81"/>
      <c r="AZ53" s="75"/>
      <c r="BA53" s="81"/>
      <c r="BB53" s="75"/>
      <c r="BC53" s="81"/>
      <c r="BD53" s="75"/>
      <c r="BE53" s="81"/>
      <c r="BF53" s="75"/>
      <c r="BG53" s="81"/>
      <c r="BH53" s="75"/>
      <c r="BI53" s="81"/>
      <c r="BJ53" s="75"/>
      <c r="BK53" s="81"/>
      <c r="BL53" s="75"/>
      <c r="BM53" s="81"/>
      <c r="BN53" s="75"/>
      <c r="BO53" s="81"/>
      <c r="BP53" s="75"/>
      <c r="BQ53" s="81"/>
      <c r="BR53" s="75"/>
      <c r="BS53" s="81"/>
      <c r="BT53" s="75"/>
      <c r="BU53" s="81"/>
      <c r="BV53" s="75"/>
      <c r="BW53" s="81"/>
      <c r="BX53" s="75"/>
      <c r="BY53" s="81"/>
      <c r="BZ53" s="75"/>
      <c r="CA53" s="81"/>
      <c r="CB53" s="75"/>
      <c r="CC53" s="81"/>
      <c r="CD53" s="75"/>
      <c r="CE53" s="81"/>
      <c r="CF53" s="75"/>
      <c r="CG53" s="81"/>
      <c r="CH53" s="75"/>
      <c r="CI53" s="81"/>
      <c r="CJ53" s="75"/>
      <c r="CK53" s="81"/>
      <c r="CL53" s="75"/>
      <c r="CM53" s="81"/>
      <c r="CN53" s="75"/>
      <c r="CO53" s="81"/>
      <c r="CP53" s="75"/>
      <c r="CQ53" s="81"/>
      <c r="CR53" s="75"/>
      <c r="CS53" s="81"/>
      <c r="CT53" s="75"/>
      <c r="CU53" s="81"/>
      <c r="CV53" s="75"/>
      <c r="CW53" s="81"/>
      <c r="CX53" s="75"/>
      <c r="CY53" s="144" t="n">
        <f aca="false">W53+Y53+AA53+AC53+AE53+AG53+AI53+AK53+AM53+AO53+AQ53+AS53+AU53+AW53+AY53+BA53+BC53+BE53+BG53+BI53+BK53+BM53+BO53+BQ53+BS53+BU53+BW53+BY53+CA53+CC53+CE53+CG53+CI53+CK53+CM53+CO53+CQ53+CS53+CU53+CW53</f>
        <v>0</v>
      </c>
      <c r="CZ53" s="145" t="n">
        <f aca="false">IF(AND(CY53=0,DC53=0),0,(DF53+DG53)/DC53)</f>
        <v>0</v>
      </c>
      <c r="DB53" s="85" t="n">
        <f aca="false">V53</f>
        <v>37469</v>
      </c>
      <c r="DC53" s="84" t="n">
        <f aca="false">ABS(W53)+ABS(Y53)+ABS(AA53)+ABS(AC53)+ABS(AE53)+ABS(AG53)+ABS(AI53)+ABS(AK53)+ABS(AM53)+ABS(AO53)+ABS(AQ53)+ABS(AS53)+ABS(AU53)+ABS(AW53)+ABS(AY53)+ABS(BA53)+ABS(BC53)+ABS(BE53)+ABS(BG53)+ABS(BI53)+ABS(BK53)+ABS(BM53)+ABS(BO53)+ABS(BQ53)+ABS(BS53)+ABS(BU53)+ABS(BW53)+ABS(BY53)+ABS(CA53)+ABS(CC53)+ABS(CE53)+ABS(CG53)+ABS(CI53)+ABS(CK53)+ABS(CM53)+ABS(CO53)+ABS(CQ53)+ABS(CS53)+ABS(CU53)+ABS(CW53)</f>
        <v>0</v>
      </c>
      <c r="DD53" s="86" t="n">
        <f aca="false">16</f>
        <v>16</v>
      </c>
      <c r="DE53" s="84" t="n">
        <v>1</v>
      </c>
      <c r="DF53" s="43"/>
      <c r="DG53" s="43"/>
      <c r="DH53" s="43"/>
      <c r="DI53" s="43"/>
      <c r="DK53" s="85"/>
      <c r="DR53" s="146" t="n">
        <f aca="false">+VLOOKUP(A53,'NET P&amp;L'!$AH$6:$AK$31,2)</f>
        <v>22</v>
      </c>
    </row>
    <row r="54" customFormat="false" ht="19.5" hidden="false" customHeight="false" outlineLevel="0" collapsed="false">
      <c r="A54" s="147" t="n">
        <f aca="false">'NYISO A'!A54</f>
        <v>37500</v>
      </c>
      <c r="B54" s="119" t="n">
        <f aca="false">[3]Nepool!$L45/16/DR54</f>
        <v>0</v>
      </c>
      <c r="C54" s="148" t="n">
        <f aca="false">CY54</f>
        <v>0</v>
      </c>
      <c r="D54" s="149" t="n">
        <f aca="false">(IF(MONTH(A54)=MONTH(EOMONTH(TradeDate,1)),$AP$69,0)*VLOOKUP(A54,$DK$12:$DN$43,4))</f>
        <v>0</v>
      </c>
      <c r="E54" s="150" t="n">
        <f aca="false">B54+C54+D54</f>
        <v>0</v>
      </c>
      <c r="F54" s="151" t="n">
        <f aca="false">[3]Nepool!$C45</f>
        <v>36.25</v>
      </c>
      <c r="G54" s="152" t="n">
        <f aca="false">IF($Q$9,Q54,P54)</f>
        <v>17</v>
      </c>
      <c r="H54" s="153" t="n">
        <f aca="false">F54+G54</f>
        <v>53.25</v>
      </c>
      <c r="I54" s="154" t="n">
        <f aca="false">B54*G54*DD54*DR54</f>
        <v>0</v>
      </c>
      <c r="J54" s="155" t="n">
        <f aca="false">+(W54*(H54-X54)+Y54*(H54-Z54)+AA54*(H54-AB54))*DD54*DR54</f>
        <v>0</v>
      </c>
      <c r="K54" s="156" t="n">
        <f aca="false">I54+J54</f>
        <v>0</v>
      </c>
      <c r="L54" s="24"/>
      <c r="M54" s="157" t="n">
        <f aca="false">A54</f>
        <v>37500</v>
      </c>
      <c r="N54" s="151" t="n">
        <v>53.25</v>
      </c>
      <c r="O54" s="151" t="n">
        <v>53.25</v>
      </c>
      <c r="P54" s="69" t="n">
        <f aca="false">AVERAGE(N54:O54)-F54</f>
        <v>17</v>
      </c>
      <c r="Q54" s="70"/>
      <c r="R54" s="91" t="n">
        <f aca="false">H54</f>
        <v>53.25</v>
      </c>
      <c r="S54" s="24"/>
      <c r="T54" s="24"/>
      <c r="U54" s="131"/>
      <c r="V54" s="158" t="n">
        <f aca="false">A54</f>
        <v>37500</v>
      </c>
      <c r="W54" s="159"/>
      <c r="X54" s="134"/>
      <c r="Y54" s="159"/>
      <c r="Z54" s="134"/>
      <c r="AA54" s="159"/>
      <c r="AB54" s="134"/>
      <c r="AC54" s="77"/>
      <c r="AD54" s="78"/>
      <c r="AE54" s="77"/>
      <c r="AF54" s="78"/>
      <c r="AG54" s="77"/>
      <c r="AH54" s="78"/>
      <c r="AI54" s="77"/>
      <c r="AJ54" s="78"/>
      <c r="AK54" s="77"/>
      <c r="AL54" s="78"/>
      <c r="AM54" s="77"/>
      <c r="AN54" s="78"/>
      <c r="AO54" s="77"/>
      <c r="AP54" s="78"/>
      <c r="AQ54" s="77"/>
      <c r="AR54" s="78"/>
      <c r="AS54" s="77"/>
      <c r="AT54" s="160"/>
      <c r="AU54" s="94"/>
      <c r="AV54" s="95"/>
      <c r="AW54" s="96"/>
      <c r="AX54" s="75"/>
      <c r="AY54" s="81"/>
      <c r="AZ54" s="75"/>
      <c r="BA54" s="81"/>
      <c r="BB54" s="75"/>
      <c r="BC54" s="81"/>
      <c r="BD54" s="75"/>
      <c r="BE54" s="81"/>
      <c r="BF54" s="75"/>
      <c r="BG54" s="81"/>
      <c r="BH54" s="75"/>
      <c r="BI54" s="81"/>
      <c r="BJ54" s="75"/>
      <c r="BK54" s="81"/>
      <c r="BL54" s="75"/>
      <c r="BM54" s="81"/>
      <c r="BN54" s="75"/>
      <c r="BO54" s="81"/>
      <c r="BP54" s="75"/>
      <c r="BQ54" s="81"/>
      <c r="BR54" s="75"/>
      <c r="BS54" s="81"/>
      <c r="BT54" s="75"/>
      <c r="BU54" s="81"/>
      <c r="BV54" s="75"/>
      <c r="BW54" s="81"/>
      <c r="BX54" s="75"/>
      <c r="BY54" s="81"/>
      <c r="BZ54" s="75"/>
      <c r="CA54" s="81"/>
      <c r="CB54" s="75"/>
      <c r="CC54" s="81"/>
      <c r="CD54" s="75"/>
      <c r="CE54" s="81"/>
      <c r="CF54" s="75"/>
      <c r="CG54" s="81"/>
      <c r="CH54" s="75"/>
      <c r="CI54" s="81"/>
      <c r="CJ54" s="75"/>
      <c r="CK54" s="81"/>
      <c r="CL54" s="75"/>
      <c r="CM54" s="81"/>
      <c r="CN54" s="75"/>
      <c r="CO54" s="81"/>
      <c r="CP54" s="75"/>
      <c r="CQ54" s="81"/>
      <c r="CR54" s="75"/>
      <c r="CS54" s="81"/>
      <c r="CT54" s="75"/>
      <c r="CU54" s="81"/>
      <c r="CV54" s="75"/>
      <c r="CW54" s="81"/>
      <c r="CX54" s="75"/>
      <c r="CY54" s="144" t="n">
        <f aca="false">W54+Y54+AA54+AC54+AE54+AG54+AI54+AK54+AM54+AO54+AQ54+AS54+AU54+AW54+AY54+BA54+BC54+BE54+BG54+BI54+BK54+BM54+BO54+BQ54+BS54+BU54+BW54+BY54+CA54+CC54+CE54+CG54+CI54+CK54+CM54+CO54+CQ54+CS54+CU54+CW54</f>
        <v>0</v>
      </c>
      <c r="CZ54" s="145" t="n">
        <f aca="false">IF(AND(CY54=0,DC54=0),0,(DF54+DG54)/DC54)</f>
        <v>0</v>
      </c>
      <c r="DB54" s="85" t="n">
        <f aca="false">V54</f>
        <v>37500</v>
      </c>
      <c r="DC54" s="84" t="n">
        <f aca="false">ABS(W54)+ABS(Y54)+ABS(AA54)+ABS(AC54)+ABS(AE54)+ABS(AG54)+ABS(AI54)+ABS(AK54)+ABS(AM54)+ABS(AO54)+ABS(AQ54)+ABS(AS54)+ABS(AU54)+ABS(AW54)+ABS(AY54)+ABS(BA54)+ABS(BC54)+ABS(BE54)+ABS(BG54)+ABS(BI54)+ABS(BK54)+ABS(BM54)+ABS(BO54)+ABS(BQ54)+ABS(BS54)+ABS(BU54)+ABS(BW54)+ABS(BY54)+ABS(CA54)+ABS(CC54)+ABS(CE54)+ABS(CG54)+ABS(CI54)+ABS(CK54)+ABS(CM54)+ABS(CO54)+ABS(CQ54)+ABS(CS54)+ABS(CU54)+ABS(CW54)</f>
        <v>0</v>
      </c>
      <c r="DD54" s="86" t="n">
        <f aca="false">16</f>
        <v>16</v>
      </c>
      <c r="DE54" s="84" t="n">
        <v>1</v>
      </c>
      <c r="DF54" s="43"/>
      <c r="DG54" s="43"/>
      <c r="DH54" s="43"/>
      <c r="DI54" s="43"/>
      <c r="DK54" s="85"/>
      <c r="DR54" s="146" t="n">
        <f aca="false">+VLOOKUP(A54,'NET P&amp;L'!$AH$6:$AK$31,2)</f>
        <v>20</v>
      </c>
    </row>
    <row r="55" customFormat="false" ht="19.5" hidden="false" customHeight="false" outlineLevel="0" collapsed="false">
      <c r="A55" s="147" t="n">
        <f aca="false">'NYISO A'!A55</f>
        <v>37530</v>
      </c>
      <c r="B55" s="119" t="n">
        <f aca="false">[3]Nepool!$L46/16/DR55</f>
        <v>0</v>
      </c>
      <c r="C55" s="148" t="n">
        <f aca="false">CY55</f>
        <v>0</v>
      </c>
      <c r="D55" s="149" t="n">
        <f aca="false">(IF(MONTH(A55)=MONTH(EOMONTH(TradeDate,1)),$AP$69,0)*VLOOKUP(A55,$DK$12:$DN$43,4))</f>
        <v>0</v>
      </c>
      <c r="E55" s="150" t="n">
        <f aca="false">B55+C55+D55</f>
        <v>0</v>
      </c>
      <c r="F55" s="151" t="n">
        <f aca="false">[3]Nepool!$C46</f>
        <v>34.75</v>
      </c>
      <c r="G55" s="152" t="n">
        <f aca="false">IF($Q$9,Q55,P55)</f>
        <v>38.75</v>
      </c>
      <c r="H55" s="153" t="n">
        <f aca="false">F55+G55</f>
        <v>73.5</v>
      </c>
      <c r="I55" s="154" t="n">
        <f aca="false">B55*G55*DD55*DR55</f>
        <v>0</v>
      </c>
      <c r="J55" s="155" t="n">
        <f aca="false">+(W55*(H55-X55)+Y55*(H55-Z55)+AA55*(H55-AB55))*DD55*DR55</f>
        <v>0</v>
      </c>
      <c r="K55" s="156" t="n">
        <f aca="false">I55+J55</f>
        <v>0</v>
      </c>
      <c r="L55" s="24"/>
      <c r="M55" s="157" t="n">
        <f aca="false">A55</f>
        <v>37530</v>
      </c>
      <c r="N55" s="151" t="n">
        <v>73.5</v>
      </c>
      <c r="O55" s="151" t="n">
        <v>73.5</v>
      </c>
      <c r="P55" s="69" t="n">
        <f aca="false">AVERAGE(N55:O55)-F55</f>
        <v>38.75</v>
      </c>
      <c r="Q55" s="70"/>
      <c r="R55" s="91" t="n">
        <f aca="false">H55</f>
        <v>73.5</v>
      </c>
      <c r="S55" s="24"/>
      <c r="T55" s="24"/>
      <c r="U55" s="131"/>
      <c r="V55" s="157" t="n">
        <f aca="false">A55</f>
        <v>37530</v>
      </c>
      <c r="W55" s="159"/>
      <c r="X55" s="134"/>
      <c r="Y55" s="159"/>
      <c r="Z55" s="134"/>
      <c r="AA55" s="159"/>
      <c r="AB55" s="134"/>
      <c r="AC55" s="77"/>
      <c r="AD55" s="78"/>
      <c r="AE55" s="77"/>
      <c r="AF55" s="78"/>
      <c r="AG55" s="77"/>
      <c r="AH55" s="78"/>
      <c r="AI55" s="77"/>
      <c r="AJ55" s="78"/>
      <c r="AK55" s="77"/>
      <c r="AL55" s="78"/>
      <c r="AM55" s="77"/>
      <c r="AN55" s="78"/>
      <c r="AO55" s="77"/>
      <c r="AP55" s="78"/>
      <c r="AQ55" s="77"/>
      <c r="AR55" s="78"/>
      <c r="AS55" s="77"/>
      <c r="AT55" s="160"/>
      <c r="AU55" s="94"/>
      <c r="AV55" s="95"/>
      <c r="AW55" s="96"/>
      <c r="AX55" s="75"/>
      <c r="AY55" s="81"/>
      <c r="AZ55" s="75"/>
      <c r="BA55" s="81"/>
      <c r="BB55" s="75"/>
      <c r="BC55" s="81"/>
      <c r="BD55" s="75"/>
      <c r="BE55" s="81"/>
      <c r="BF55" s="75"/>
      <c r="BG55" s="81"/>
      <c r="BH55" s="75"/>
      <c r="BI55" s="81"/>
      <c r="BJ55" s="75"/>
      <c r="BK55" s="81"/>
      <c r="BL55" s="75"/>
      <c r="BM55" s="81"/>
      <c r="BN55" s="75"/>
      <c r="BO55" s="81"/>
      <c r="BP55" s="75"/>
      <c r="BQ55" s="81"/>
      <c r="BR55" s="75"/>
      <c r="BS55" s="81"/>
      <c r="BT55" s="75"/>
      <c r="BU55" s="81"/>
      <c r="BV55" s="75"/>
      <c r="BW55" s="81"/>
      <c r="BX55" s="75"/>
      <c r="BY55" s="81"/>
      <c r="BZ55" s="75"/>
      <c r="CA55" s="81"/>
      <c r="CB55" s="75"/>
      <c r="CC55" s="81"/>
      <c r="CD55" s="75"/>
      <c r="CE55" s="81"/>
      <c r="CF55" s="75"/>
      <c r="CG55" s="81"/>
      <c r="CH55" s="75"/>
      <c r="CI55" s="81"/>
      <c r="CJ55" s="75"/>
      <c r="CK55" s="81"/>
      <c r="CL55" s="75"/>
      <c r="CM55" s="81"/>
      <c r="CN55" s="75"/>
      <c r="CO55" s="81"/>
      <c r="CP55" s="75"/>
      <c r="CQ55" s="81"/>
      <c r="CR55" s="75"/>
      <c r="CS55" s="81"/>
      <c r="CT55" s="75"/>
      <c r="CU55" s="81"/>
      <c r="CV55" s="75"/>
      <c r="CW55" s="81"/>
      <c r="CX55" s="75"/>
      <c r="CY55" s="317" t="n">
        <f aca="false">W55+Y55+AA55+AC55+AE55+AG55+AI55+AK55+AM55+AO55+AQ55+AS55+AU55+AW55+AY55+BA55+BC55+BE55+BG55+BI55+BK55+BM55+BO55+BQ55+BS55+BU55+BW55+BY55+CA55+CC55+CE55+CG55+CI55+CK55+CM55+CO55+CQ55+CS55+CU55+CW55</f>
        <v>0</v>
      </c>
      <c r="CZ55" s="318" t="n">
        <f aca="false">IF(AND(CY55=0,DC55=0),0,(DF55+DG55)/DC55)</f>
        <v>0</v>
      </c>
      <c r="DB55" s="85" t="n">
        <f aca="false">V55</f>
        <v>37530</v>
      </c>
      <c r="DC55" s="84" t="n">
        <f aca="false">ABS(W55)+ABS(Y55)+ABS(AA55)+ABS(AC55)+ABS(AE55)+ABS(AG55)+ABS(AI55)+ABS(AK55)+ABS(AM55)+ABS(AO55)+ABS(AQ55)+ABS(AS55)+ABS(AU55)+ABS(AW55)+ABS(AY55)+ABS(BA55)+ABS(BC55)+ABS(BE55)+ABS(BG55)+ABS(BI55)+ABS(BK55)+ABS(BM55)+ABS(BO55)+ABS(BQ55)+ABS(BS55)+ABS(BU55)+ABS(BW55)+ABS(BY55)+ABS(CA55)+ABS(CC55)+ABS(CE55)+ABS(CG55)+ABS(CI55)+ABS(CK55)+ABS(CM55)+ABS(CO55)+ABS(CQ55)+ABS(CS55)+ABS(CU55)+ABS(CW55)</f>
        <v>0</v>
      </c>
      <c r="DD55" s="86" t="n">
        <f aca="false">16</f>
        <v>16</v>
      </c>
      <c r="DE55" s="84" t="n">
        <v>1</v>
      </c>
      <c r="DF55" s="43"/>
      <c r="DG55" s="43"/>
      <c r="DH55" s="43"/>
      <c r="DI55" s="43"/>
      <c r="DK55" s="85"/>
      <c r="DR55" s="146" t="n">
        <f aca="false">+VLOOKUP(A55,'NET P&amp;L'!$AH$6:$AK$31,2)</f>
        <v>23</v>
      </c>
    </row>
    <row r="56" customFormat="false" ht="19.5" hidden="false" customHeight="false" outlineLevel="0" collapsed="false">
      <c r="A56" s="147" t="n">
        <f aca="false">'NYISO A'!A56</f>
        <v>37561</v>
      </c>
      <c r="B56" s="119" t="n">
        <f aca="false">[3]Nepool!$L47/16/DR56</f>
        <v>0</v>
      </c>
      <c r="C56" s="148" t="n">
        <f aca="false">CY56</f>
        <v>0</v>
      </c>
      <c r="D56" s="149" t="n">
        <f aca="false">(IF(MONTH(A56)=MONTH(EOMONTH(TradeDate,1)),$AP$69,0)*VLOOKUP(A56,$DK$12:$DN$43,4))</f>
        <v>0</v>
      </c>
      <c r="E56" s="150" t="n">
        <f aca="false">B56+C56+D56</f>
        <v>0</v>
      </c>
      <c r="F56" s="151" t="n">
        <f aca="false">[3]Nepool!$C47</f>
        <v>34.75</v>
      </c>
      <c r="G56" s="152" t="n">
        <f aca="false">IF($Q$9,Q56,P56)</f>
        <v>4.5</v>
      </c>
      <c r="H56" s="153" t="n">
        <f aca="false">F56+G56</f>
        <v>39.25</v>
      </c>
      <c r="I56" s="154" t="n">
        <f aca="false">B56*G56*DD56*DR56</f>
        <v>0</v>
      </c>
      <c r="J56" s="155" t="n">
        <f aca="false">+(W56*(H56-X56)+Y56*(H56-Z56)+AA56*(H56-AB56))*DD56*DR56</f>
        <v>0</v>
      </c>
      <c r="K56" s="156" t="n">
        <f aca="false">I56+J56</f>
        <v>0</v>
      </c>
      <c r="L56" s="24"/>
      <c r="M56" s="157" t="n">
        <f aca="false">A56</f>
        <v>37561</v>
      </c>
      <c r="N56" s="151" t="n">
        <v>39.25</v>
      </c>
      <c r="O56" s="151" t="n">
        <v>39.25</v>
      </c>
      <c r="P56" s="69" t="n">
        <f aca="false">AVERAGE(N56:O56)-F56</f>
        <v>4.5</v>
      </c>
      <c r="Q56" s="70"/>
      <c r="R56" s="91" t="n">
        <f aca="false">H56</f>
        <v>39.25</v>
      </c>
      <c r="S56" s="24"/>
      <c r="T56" s="24"/>
      <c r="U56" s="131"/>
      <c r="V56" s="157" t="n">
        <f aca="false">A56</f>
        <v>37561</v>
      </c>
      <c r="W56" s="159"/>
      <c r="X56" s="134"/>
      <c r="Y56" s="159"/>
      <c r="Z56" s="134"/>
      <c r="AA56" s="159"/>
      <c r="AB56" s="134"/>
      <c r="AC56" s="77"/>
      <c r="AD56" s="78"/>
      <c r="AE56" s="77"/>
      <c r="AF56" s="78"/>
      <c r="AG56" s="77"/>
      <c r="AH56" s="78"/>
      <c r="AI56" s="77"/>
      <c r="AJ56" s="78"/>
      <c r="AK56" s="77"/>
      <c r="AL56" s="78"/>
      <c r="AM56" s="77"/>
      <c r="AN56" s="78"/>
      <c r="AO56" s="77"/>
      <c r="AP56" s="78"/>
      <c r="AQ56" s="77"/>
      <c r="AR56" s="78"/>
      <c r="AS56" s="77"/>
      <c r="AT56" s="160"/>
      <c r="AU56" s="94"/>
      <c r="AV56" s="95"/>
      <c r="AW56" s="96"/>
      <c r="AX56" s="75"/>
      <c r="AY56" s="81"/>
      <c r="AZ56" s="75"/>
      <c r="BA56" s="81"/>
      <c r="BB56" s="75"/>
      <c r="BC56" s="81"/>
      <c r="BD56" s="75"/>
      <c r="BE56" s="81"/>
      <c r="BF56" s="75"/>
      <c r="BG56" s="81"/>
      <c r="BH56" s="75"/>
      <c r="BI56" s="81"/>
      <c r="BJ56" s="75"/>
      <c r="BK56" s="81"/>
      <c r="BL56" s="75"/>
      <c r="BM56" s="81"/>
      <c r="BN56" s="75"/>
      <c r="BO56" s="81"/>
      <c r="BP56" s="75"/>
      <c r="BQ56" s="81"/>
      <c r="BR56" s="75"/>
      <c r="BS56" s="81"/>
      <c r="BT56" s="75"/>
      <c r="BU56" s="81"/>
      <c r="BV56" s="75"/>
      <c r="BW56" s="81"/>
      <c r="BX56" s="75"/>
      <c r="BY56" s="81"/>
      <c r="BZ56" s="75"/>
      <c r="CA56" s="81"/>
      <c r="CB56" s="75"/>
      <c r="CC56" s="81"/>
      <c r="CD56" s="75"/>
      <c r="CE56" s="81"/>
      <c r="CF56" s="75"/>
      <c r="CG56" s="81"/>
      <c r="CH56" s="75"/>
      <c r="CI56" s="81"/>
      <c r="CJ56" s="75"/>
      <c r="CK56" s="81"/>
      <c r="CL56" s="75"/>
      <c r="CM56" s="81"/>
      <c r="CN56" s="75"/>
      <c r="CO56" s="81"/>
      <c r="CP56" s="75"/>
      <c r="CQ56" s="81"/>
      <c r="CR56" s="75"/>
      <c r="CS56" s="81"/>
      <c r="CT56" s="75"/>
      <c r="CU56" s="81"/>
      <c r="CV56" s="75"/>
      <c r="CW56" s="81"/>
      <c r="CX56" s="75"/>
      <c r="CY56" s="317" t="n">
        <f aca="false">W56+Y56+AA56+AC56+AE56+AG56+AI56+AK56+AM56+AO56+AQ56+AS56+AU56+AW56+AY56+BA56+BC56+BE56+BG56+BI56+BK56+BM56+BO56+BQ56+BS56+BU56+BW56+BY56+CA56+CC56+CE56+CG56+CI56+CK56+CM56+CO56+CQ56+CS56+CU56+CW56</f>
        <v>0</v>
      </c>
      <c r="CZ56" s="318" t="n">
        <f aca="false">IF(AND(CY56=0,DC56=0),0,(DF56+DG56)/DC56)</f>
        <v>0</v>
      </c>
      <c r="DB56" s="85" t="n">
        <f aca="false">V56</f>
        <v>37561</v>
      </c>
      <c r="DC56" s="84" t="n">
        <f aca="false">ABS(W56)+ABS(Y56)+ABS(AA56)+ABS(AC56)+ABS(AE56)+ABS(AG56)+ABS(AI56)+ABS(AK56)+ABS(AM56)+ABS(AO56)+ABS(AQ56)+ABS(AS56)+ABS(AU56)+ABS(AW56)+ABS(AY56)+ABS(BA56)+ABS(BC56)+ABS(BE56)+ABS(BG56)+ABS(BI56)+ABS(BK56)+ABS(BM56)+ABS(BO56)+ABS(BQ56)+ABS(BS56)+ABS(BU56)+ABS(BW56)+ABS(BY56)+ABS(CA56)+ABS(CC56)+ABS(CE56)+ABS(CG56)+ABS(CI56)+ABS(CK56)+ABS(CM56)+ABS(CO56)+ABS(CQ56)+ABS(CS56)+ABS(CU56)+ABS(CW56)</f>
        <v>0</v>
      </c>
      <c r="DD56" s="86" t="n">
        <f aca="false">16</f>
        <v>16</v>
      </c>
      <c r="DE56" s="84" t="n">
        <v>1</v>
      </c>
      <c r="DF56" s="43"/>
      <c r="DG56" s="43"/>
      <c r="DH56" s="43"/>
      <c r="DI56" s="43"/>
      <c r="DK56" s="85"/>
      <c r="DR56" s="300" t="n">
        <f aca="false">+VLOOKUP(A56,'NET P&amp;L'!$AH$6:$AK$31,2)</f>
        <v>20</v>
      </c>
    </row>
    <row r="57" customFormat="false" ht="19.5" hidden="false" customHeight="false" outlineLevel="0" collapsed="false">
      <c r="A57" s="147" t="n">
        <f aca="false">'NYISO A'!A57</f>
        <v>37591</v>
      </c>
      <c r="B57" s="119" t="n">
        <v>48</v>
      </c>
      <c r="C57" s="148" t="n">
        <f aca="false">CY57</f>
        <v>0</v>
      </c>
      <c r="D57" s="149" t="n">
        <f aca="false">(IF(MONTH(A57)=MONTH(EOMONTH(TradeDate,1)),$AP$69,0)*VLOOKUP(A57,$DK$12:$DN$43,4))</f>
        <v>0</v>
      </c>
      <c r="E57" s="150" t="n">
        <f aca="false">B57+C57+D57</f>
        <v>48</v>
      </c>
      <c r="F57" s="151" t="n">
        <f aca="false">[3]Nepool!$C48</f>
        <v>0</v>
      </c>
      <c r="G57" s="152" t="n">
        <f aca="false">IF($Q$9,Q57,P57)</f>
        <v>40</v>
      </c>
      <c r="H57" s="153" t="n">
        <f aca="false">F57+G57</f>
        <v>40</v>
      </c>
      <c r="I57" s="154" t="n">
        <f aca="false">B57*G57*DD57*DR57</f>
        <v>0</v>
      </c>
      <c r="J57" s="155" t="n">
        <f aca="false">+(W57*(H57-X57)+Y57*(H57-Z57)+AA57*(H57-AB57))*DD57*DR57</f>
        <v>0</v>
      </c>
      <c r="K57" s="156" t="n">
        <f aca="false">I57+J57</f>
        <v>0</v>
      </c>
      <c r="L57" s="24"/>
      <c r="M57" s="157" t="n">
        <f aca="false">A57</f>
        <v>37591</v>
      </c>
      <c r="N57" s="151" t="n">
        <v>40</v>
      </c>
      <c r="O57" s="151" t="n">
        <v>40</v>
      </c>
      <c r="P57" s="69" t="n">
        <f aca="false">AVERAGE(N57:O57)-F57</f>
        <v>40</v>
      </c>
      <c r="Q57" s="70"/>
      <c r="R57" s="91" t="n">
        <f aca="false">H57</f>
        <v>40</v>
      </c>
      <c r="S57" s="24"/>
      <c r="T57" s="24"/>
      <c r="U57" s="131"/>
      <c r="V57" s="157" t="n">
        <f aca="false">A57</f>
        <v>37591</v>
      </c>
      <c r="W57" s="159"/>
      <c r="X57" s="134"/>
      <c r="Y57" s="159"/>
      <c r="Z57" s="134"/>
      <c r="AA57" s="159"/>
      <c r="AB57" s="134"/>
      <c r="AC57" s="77"/>
      <c r="AD57" s="78"/>
      <c r="AE57" s="77"/>
      <c r="AF57" s="78"/>
      <c r="AG57" s="77"/>
      <c r="AH57" s="78"/>
      <c r="AI57" s="77"/>
      <c r="AJ57" s="78"/>
      <c r="AK57" s="77"/>
      <c r="AL57" s="78"/>
      <c r="AM57" s="77"/>
      <c r="AN57" s="78"/>
      <c r="AO57" s="77"/>
      <c r="AP57" s="78"/>
      <c r="AQ57" s="77"/>
      <c r="AR57" s="78"/>
      <c r="AS57" s="77"/>
      <c r="AT57" s="160"/>
      <c r="AU57" s="94"/>
      <c r="AV57" s="95"/>
      <c r="AW57" s="96"/>
      <c r="AX57" s="75"/>
      <c r="AY57" s="81"/>
      <c r="AZ57" s="75"/>
      <c r="BA57" s="81"/>
      <c r="BB57" s="75"/>
      <c r="BC57" s="81"/>
      <c r="BD57" s="75"/>
      <c r="BE57" s="81"/>
      <c r="BF57" s="75"/>
      <c r="BG57" s="81"/>
      <c r="BH57" s="75"/>
      <c r="BI57" s="81"/>
      <c r="BJ57" s="75"/>
      <c r="BK57" s="81"/>
      <c r="BL57" s="75"/>
      <c r="BM57" s="81"/>
      <c r="BN57" s="75"/>
      <c r="BO57" s="81"/>
      <c r="BP57" s="75"/>
      <c r="BQ57" s="81"/>
      <c r="BR57" s="75"/>
      <c r="BS57" s="81"/>
      <c r="BT57" s="75"/>
      <c r="BU57" s="81"/>
      <c r="BV57" s="75"/>
      <c r="BW57" s="81"/>
      <c r="BX57" s="75"/>
      <c r="BY57" s="81"/>
      <c r="BZ57" s="75"/>
      <c r="CA57" s="81"/>
      <c r="CB57" s="75"/>
      <c r="CC57" s="81"/>
      <c r="CD57" s="75"/>
      <c r="CE57" s="81"/>
      <c r="CF57" s="75"/>
      <c r="CG57" s="81"/>
      <c r="CH57" s="75"/>
      <c r="CI57" s="81"/>
      <c r="CJ57" s="75"/>
      <c r="CK57" s="81"/>
      <c r="CL57" s="75"/>
      <c r="CM57" s="81"/>
      <c r="CN57" s="75"/>
      <c r="CO57" s="81"/>
      <c r="CP57" s="75"/>
      <c r="CQ57" s="81"/>
      <c r="CR57" s="75"/>
      <c r="CS57" s="81"/>
      <c r="CT57" s="75"/>
      <c r="CU57" s="81"/>
      <c r="CV57" s="75"/>
      <c r="CW57" s="81"/>
      <c r="CX57" s="75"/>
      <c r="CY57" s="317" t="n">
        <f aca="false">W57+Y57+AA57+AC57+AE57+AG57+AI57+AK57+AM57+AO57+AQ57+AS57+AU57+AW57+AY57+BA57+BC57+BE57+BG57+BI57+BK57+BM57+BO57+BQ57+BS57+BU57+BW57+BY57+CA57+CC57+CE57+CG57+CI57+CK57+CM57+CO57+CQ57+CS57+CU57+CW57</f>
        <v>0</v>
      </c>
      <c r="CZ57" s="318" t="n">
        <f aca="false">IF(AND(CY57=0,DC57=0),0,(DF57+DG57)/DC57)</f>
        <v>0</v>
      </c>
      <c r="DB57" s="85"/>
      <c r="DC57" s="84"/>
      <c r="DD57" s="86"/>
      <c r="DE57" s="84"/>
      <c r="DF57" s="43"/>
      <c r="DG57" s="43"/>
      <c r="DH57" s="43"/>
      <c r="DI57" s="43"/>
      <c r="DK57" s="85"/>
      <c r="DR57" s="300" t="n">
        <f aca="false">+'NYISO J'!DR57</f>
        <v>21</v>
      </c>
    </row>
    <row r="58" customFormat="false" ht="19.5" hidden="false" customHeight="false" outlineLevel="0" collapsed="false">
      <c r="A58" s="147" t="n">
        <f aca="false">'NYISO A'!A58</f>
        <v>37622</v>
      </c>
      <c r="B58" s="119" t="n">
        <v>48</v>
      </c>
      <c r="C58" s="148" t="n">
        <f aca="false">CY58</f>
        <v>0</v>
      </c>
      <c r="D58" s="149" t="n">
        <f aca="false">(IF(MONTH(A58)=MONTH(EOMONTH(TradeDate,1)),$AP$69,0)*VLOOKUP(A58,$DK$12:$DN$43,4))</f>
        <v>0</v>
      </c>
      <c r="E58" s="150" t="n">
        <f aca="false">B58+C58+D58</f>
        <v>48</v>
      </c>
      <c r="F58" s="151" t="n">
        <f aca="false">[3]Nepool!$C49</f>
        <v>0</v>
      </c>
      <c r="G58" s="152" t="n">
        <f aca="false">IF($Q$9,Q58,P58)</f>
        <v>40</v>
      </c>
      <c r="H58" s="153" t="n">
        <f aca="false">F58+G58</f>
        <v>40</v>
      </c>
      <c r="I58" s="154" t="n">
        <f aca="false">B58*G58*DD58*DR58</f>
        <v>0</v>
      </c>
      <c r="J58" s="155" t="n">
        <f aca="false">+(W58*(H58-X58)+Y58*(H58-Z58)+AA58*(H58-AB58))*DD58*DR58</f>
        <v>0</v>
      </c>
      <c r="K58" s="156" t="n">
        <f aca="false">I58+J58</f>
        <v>0</v>
      </c>
      <c r="L58" s="24"/>
      <c r="M58" s="157" t="n">
        <f aca="false">A58</f>
        <v>37622</v>
      </c>
      <c r="N58" s="151" t="n">
        <v>40</v>
      </c>
      <c r="O58" s="151" t="n">
        <v>40</v>
      </c>
      <c r="P58" s="69" t="n">
        <f aca="false">AVERAGE(N58:O58)-F58</f>
        <v>40</v>
      </c>
      <c r="Q58" s="70"/>
      <c r="R58" s="91" t="n">
        <f aca="false">H58</f>
        <v>40</v>
      </c>
      <c r="S58" s="24"/>
      <c r="T58" s="24"/>
      <c r="U58" s="131"/>
      <c r="V58" s="157" t="n">
        <f aca="false">A58</f>
        <v>37622</v>
      </c>
      <c r="W58" s="159"/>
      <c r="X58" s="134"/>
      <c r="Y58" s="159"/>
      <c r="Z58" s="134"/>
      <c r="AA58" s="159"/>
      <c r="AB58" s="134"/>
      <c r="AC58" s="77"/>
      <c r="AD58" s="78"/>
      <c r="AE58" s="77"/>
      <c r="AF58" s="78"/>
      <c r="AG58" s="77"/>
      <c r="AH58" s="78"/>
      <c r="AI58" s="77"/>
      <c r="AJ58" s="78"/>
      <c r="AK58" s="77"/>
      <c r="AL58" s="78"/>
      <c r="AM58" s="77"/>
      <c r="AN58" s="78"/>
      <c r="AO58" s="77"/>
      <c r="AP58" s="78"/>
      <c r="AQ58" s="77"/>
      <c r="AR58" s="78"/>
      <c r="AS58" s="77"/>
      <c r="AT58" s="160"/>
      <c r="AU58" s="94"/>
      <c r="AV58" s="95"/>
      <c r="AW58" s="96"/>
      <c r="AX58" s="75"/>
      <c r="AY58" s="81"/>
      <c r="AZ58" s="75"/>
      <c r="BA58" s="81"/>
      <c r="BB58" s="75"/>
      <c r="BC58" s="81"/>
      <c r="BD58" s="75"/>
      <c r="BE58" s="81"/>
      <c r="BF58" s="75"/>
      <c r="BG58" s="81"/>
      <c r="BH58" s="75"/>
      <c r="BI58" s="81"/>
      <c r="BJ58" s="75"/>
      <c r="BK58" s="81"/>
      <c r="BL58" s="75"/>
      <c r="BM58" s="81"/>
      <c r="BN58" s="75"/>
      <c r="BO58" s="81"/>
      <c r="BP58" s="75"/>
      <c r="BQ58" s="81"/>
      <c r="BR58" s="75"/>
      <c r="BS58" s="81"/>
      <c r="BT58" s="75"/>
      <c r="BU58" s="81"/>
      <c r="BV58" s="75"/>
      <c r="BW58" s="81"/>
      <c r="BX58" s="75"/>
      <c r="BY58" s="81"/>
      <c r="BZ58" s="75"/>
      <c r="CA58" s="81"/>
      <c r="CB58" s="75"/>
      <c r="CC58" s="81"/>
      <c r="CD58" s="75"/>
      <c r="CE58" s="81"/>
      <c r="CF58" s="75"/>
      <c r="CG58" s="81"/>
      <c r="CH58" s="75"/>
      <c r="CI58" s="81"/>
      <c r="CJ58" s="75"/>
      <c r="CK58" s="81"/>
      <c r="CL58" s="75"/>
      <c r="CM58" s="81"/>
      <c r="CN58" s="75"/>
      <c r="CO58" s="81"/>
      <c r="CP58" s="75"/>
      <c r="CQ58" s="81"/>
      <c r="CR58" s="75"/>
      <c r="CS58" s="81"/>
      <c r="CT58" s="75"/>
      <c r="CU58" s="81"/>
      <c r="CV58" s="75"/>
      <c r="CW58" s="81"/>
      <c r="CX58" s="75"/>
      <c r="CY58" s="317" t="n">
        <f aca="false">W58+Y58+AA58+AC58+AE58+AG58+AI58+AK58+AM58+AO58+AQ58+AS58+AU58+AW58+AY58+BA58+BC58+BE58+BG58+BI58+BK58+BM58+BO58+BQ58+BS58+BU58+BW58+BY58+CA58+CC58+CE58+CG58+CI58+CK58+CM58+CO58+CQ58+CS58+CU58+CW58</f>
        <v>0</v>
      </c>
      <c r="CZ58" s="318" t="n">
        <f aca="false">IF(AND(CY58=0,DC58=0),0,(DF58+DG58)/DC58)</f>
        <v>0</v>
      </c>
      <c r="DB58" s="85"/>
      <c r="DC58" s="84"/>
      <c r="DD58" s="86"/>
      <c r="DE58" s="84"/>
      <c r="DF58" s="43"/>
      <c r="DG58" s="43"/>
      <c r="DH58" s="43"/>
      <c r="DI58" s="43"/>
      <c r="DK58" s="85"/>
      <c r="DR58" s="300" t="n">
        <f aca="false">+'NYISO J'!DR58</f>
        <v>21</v>
      </c>
    </row>
    <row r="59" customFormat="false" ht="19.5" hidden="false" customHeight="false" outlineLevel="0" collapsed="false">
      <c r="A59" s="147" t="n">
        <f aca="false">'NYISO A'!A59</f>
        <v>37653</v>
      </c>
      <c r="B59" s="119" t="n">
        <f aca="false">[3]Nepool!$L50/16/DR59</f>
        <v>0</v>
      </c>
      <c r="C59" s="148" t="n">
        <f aca="false">CY59</f>
        <v>0</v>
      </c>
      <c r="D59" s="149" t="n">
        <f aca="false">(IF(MONTH(A59)=MONTH(EOMONTH(TradeDate,1)),$AP$69,0)*VLOOKUP(A59,$DK$12:$DN$43,4))</f>
        <v>0</v>
      </c>
      <c r="E59" s="150" t="n">
        <f aca="false">B59+C59+D59</f>
        <v>0</v>
      </c>
      <c r="F59" s="151" t="n">
        <f aca="false">[3]Nepool!$C50</f>
        <v>0</v>
      </c>
      <c r="G59" s="152" t="n">
        <f aca="false">IF($Q$9,Q59,P59)</f>
        <v>73.5</v>
      </c>
      <c r="H59" s="153" t="n">
        <f aca="false">F59+G59</f>
        <v>73.5</v>
      </c>
      <c r="I59" s="154" t="n">
        <f aca="false">B59*G59*DD59*DR59</f>
        <v>0</v>
      </c>
      <c r="J59" s="155" t="n">
        <f aca="false">+(W59*(H59-X59)+Y59*(H59-Z59)+AA59*(H59-AB59))*DD59*DR59</f>
        <v>0</v>
      </c>
      <c r="K59" s="156" t="n">
        <f aca="false">I59+J59</f>
        <v>0</v>
      </c>
      <c r="L59" s="24"/>
      <c r="M59" s="157" t="n">
        <f aca="false">A59</f>
        <v>37653</v>
      </c>
      <c r="N59" s="151" t="n">
        <v>73.5</v>
      </c>
      <c r="O59" s="151" t="n">
        <v>73.5</v>
      </c>
      <c r="P59" s="69" t="n">
        <f aca="false">AVERAGE(N59:O59)-F59</f>
        <v>73.5</v>
      </c>
      <c r="Q59" s="70"/>
      <c r="R59" s="91" t="n">
        <f aca="false">H59</f>
        <v>73.5</v>
      </c>
      <c r="S59" s="24"/>
      <c r="T59" s="24"/>
      <c r="U59" s="131"/>
      <c r="V59" s="157" t="n">
        <f aca="false">A59</f>
        <v>37653</v>
      </c>
      <c r="W59" s="159"/>
      <c r="X59" s="134"/>
      <c r="Y59" s="159"/>
      <c r="Z59" s="134"/>
      <c r="AA59" s="159"/>
      <c r="AB59" s="134"/>
      <c r="AC59" s="77"/>
      <c r="AD59" s="78"/>
      <c r="AE59" s="77"/>
      <c r="AF59" s="78"/>
      <c r="AG59" s="77"/>
      <c r="AH59" s="78"/>
      <c r="AI59" s="77"/>
      <c r="AJ59" s="78"/>
      <c r="AK59" s="77"/>
      <c r="AL59" s="78"/>
      <c r="AM59" s="77"/>
      <c r="AN59" s="78"/>
      <c r="AO59" s="77"/>
      <c r="AP59" s="78"/>
      <c r="AQ59" s="77"/>
      <c r="AR59" s="78"/>
      <c r="AS59" s="77"/>
      <c r="AT59" s="160"/>
      <c r="AU59" s="94"/>
      <c r="AV59" s="95"/>
      <c r="AW59" s="96"/>
      <c r="AX59" s="75"/>
      <c r="AY59" s="81"/>
      <c r="AZ59" s="75"/>
      <c r="BA59" s="81"/>
      <c r="BB59" s="75"/>
      <c r="BC59" s="81"/>
      <c r="BD59" s="75"/>
      <c r="BE59" s="81"/>
      <c r="BF59" s="75"/>
      <c r="BG59" s="81"/>
      <c r="BH59" s="75"/>
      <c r="BI59" s="81"/>
      <c r="BJ59" s="75"/>
      <c r="BK59" s="81"/>
      <c r="BL59" s="75"/>
      <c r="BM59" s="81"/>
      <c r="BN59" s="75"/>
      <c r="BO59" s="81"/>
      <c r="BP59" s="75"/>
      <c r="BQ59" s="81"/>
      <c r="BR59" s="75"/>
      <c r="BS59" s="81"/>
      <c r="BT59" s="75"/>
      <c r="BU59" s="81"/>
      <c r="BV59" s="75"/>
      <c r="BW59" s="81"/>
      <c r="BX59" s="75"/>
      <c r="BY59" s="81"/>
      <c r="BZ59" s="75"/>
      <c r="CA59" s="81"/>
      <c r="CB59" s="75"/>
      <c r="CC59" s="81"/>
      <c r="CD59" s="75"/>
      <c r="CE59" s="81"/>
      <c r="CF59" s="75"/>
      <c r="CG59" s="81"/>
      <c r="CH59" s="75"/>
      <c r="CI59" s="81"/>
      <c r="CJ59" s="75"/>
      <c r="CK59" s="81"/>
      <c r="CL59" s="75"/>
      <c r="CM59" s="81"/>
      <c r="CN59" s="75"/>
      <c r="CO59" s="81"/>
      <c r="CP59" s="75"/>
      <c r="CQ59" s="81"/>
      <c r="CR59" s="75"/>
      <c r="CS59" s="81"/>
      <c r="CT59" s="75"/>
      <c r="CU59" s="81"/>
      <c r="CV59" s="75"/>
      <c r="CW59" s="81"/>
      <c r="CX59" s="75"/>
      <c r="CY59" s="317" t="n">
        <f aca="false">W59+Y59+AA59+AC59+AE59+AG59+AI59+AK59+AM59+AO59+AQ59+AS59+AU59+AW59+AY59+BA59+BC59+BE59+BG59+BI59+BK59+BM59+BO59+BQ59+BS59+BU59+BW59+BY59+CA59+CC59+CE59+CG59+CI59+CK59+CM59+CO59+CQ59+CS59+CU59+CW59</f>
        <v>0</v>
      </c>
      <c r="CZ59" s="318" t="n">
        <f aca="false">IF(AND(CY59=0,DC59=0),0,(DF59+DG59)/DC59)</f>
        <v>0</v>
      </c>
      <c r="DB59" s="85"/>
      <c r="DC59" s="84"/>
      <c r="DD59" s="86"/>
      <c r="DE59" s="84"/>
      <c r="DF59" s="43"/>
      <c r="DG59" s="43"/>
      <c r="DH59" s="43"/>
      <c r="DI59" s="43"/>
      <c r="DK59" s="85"/>
      <c r="DR59" s="300" t="n">
        <f aca="false">+'NYISO J'!DR59</f>
        <v>22</v>
      </c>
    </row>
    <row r="60" customFormat="false" ht="19.5" hidden="false" customHeight="false" outlineLevel="0" collapsed="false">
      <c r="A60" s="176" t="n">
        <f aca="false">'NYISO A'!A60</f>
        <v>37681</v>
      </c>
      <c r="B60" s="177" t="n">
        <f aca="false">[3]Nepool!$L51/16/DR60</f>
        <v>0</v>
      </c>
      <c r="C60" s="178" t="n">
        <f aca="false">CY60</f>
        <v>0</v>
      </c>
      <c r="D60" s="179" t="n">
        <f aca="false">(IF(MONTH(A60)=MONTH(EOMONTH(TradeDate,1)),$AP$69,0)*VLOOKUP(A60,$DK$12:$DN$43,4))</f>
        <v>0</v>
      </c>
      <c r="E60" s="180" t="n">
        <f aca="false">B60+C60+D60</f>
        <v>0</v>
      </c>
      <c r="F60" s="181" t="n">
        <f aca="false">[3]Nepool!$C51</f>
        <v>0</v>
      </c>
      <c r="G60" s="182" t="n">
        <f aca="false">IF($Q$9,Q60,P60)</f>
        <v>73.5</v>
      </c>
      <c r="H60" s="183" t="n">
        <f aca="false">F60+G60</f>
        <v>73.5</v>
      </c>
      <c r="I60" s="184" t="n">
        <f aca="false">B60*G60*DD60*DR60</f>
        <v>0</v>
      </c>
      <c r="J60" s="185" t="n">
        <f aca="false">+(W60*(H60-X60)+Y60*(H60-Z60)+AA60*(H60-AB60))*DD60*DR60</f>
        <v>0</v>
      </c>
      <c r="K60" s="186" t="n">
        <f aca="false">I60+J60</f>
        <v>0</v>
      </c>
      <c r="L60" s="24"/>
      <c r="M60" s="187" t="n">
        <f aca="false">A60</f>
        <v>37681</v>
      </c>
      <c r="N60" s="181" t="n">
        <v>73.5</v>
      </c>
      <c r="O60" s="181" t="n">
        <v>73.5</v>
      </c>
      <c r="P60" s="189" t="n">
        <f aca="false">AVERAGE(N60:O60)-F60</f>
        <v>73.5</v>
      </c>
      <c r="Q60" s="274"/>
      <c r="R60" s="275" t="n">
        <f aca="false">H60</f>
        <v>73.5</v>
      </c>
      <c r="S60" s="24"/>
      <c r="T60" s="24"/>
      <c r="U60" s="131"/>
      <c r="V60" s="187" t="n">
        <f aca="false">A60</f>
        <v>37681</v>
      </c>
      <c r="W60" s="276"/>
      <c r="X60" s="277"/>
      <c r="Y60" s="276"/>
      <c r="Z60" s="277"/>
      <c r="AA60" s="276"/>
      <c r="AB60" s="277"/>
      <c r="AC60" s="278"/>
      <c r="AD60" s="279"/>
      <c r="AE60" s="278"/>
      <c r="AF60" s="279"/>
      <c r="AG60" s="278"/>
      <c r="AH60" s="279"/>
      <c r="AI60" s="278"/>
      <c r="AJ60" s="279"/>
      <c r="AK60" s="278"/>
      <c r="AL60" s="279"/>
      <c r="AM60" s="278"/>
      <c r="AN60" s="279"/>
      <c r="AO60" s="278"/>
      <c r="AP60" s="279"/>
      <c r="AQ60" s="278"/>
      <c r="AR60" s="279"/>
      <c r="AS60" s="278"/>
      <c r="AT60" s="280"/>
      <c r="AU60" s="197"/>
      <c r="AV60" s="198"/>
      <c r="AW60" s="281"/>
      <c r="AX60" s="282"/>
      <c r="AY60" s="283"/>
      <c r="AZ60" s="282"/>
      <c r="BA60" s="283"/>
      <c r="BB60" s="282"/>
      <c r="BC60" s="283"/>
      <c r="BD60" s="282"/>
      <c r="BE60" s="283"/>
      <c r="BF60" s="282"/>
      <c r="BG60" s="283"/>
      <c r="BH60" s="282"/>
      <c r="BI60" s="283"/>
      <c r="BJ60" s="282"/>
      <c r="BK60" s="283"/>
      <c r="BL60" s="282"/>
      <c r="BM60" s="283"/>
      <c r="BN60" s="282"/>
      <c r="BO60" s="283"/>
      <c r="BP60" s="282"/>
      <c r="BQ60" s="283"/>
      <c r="BR60" s="282"/>
      <c r="BS60" s="283"/>
      <c r="BT60" s="282"/>
      <c r="BU60" s="283"/>
      <c r="BV60" s="282"/>
      <c r="BW60" s="283"/>
      <c r="BX60" s="282"/>
      <c r="BY60" s="283"/>
      <c r="BZ60" s="282"/>
      <c r="CA60" s="283"/>
      <c r="CB60" s="282"/>
      <c r="CC60" s="283"/>
      <c r="CD60" s="282"/>
      <c r="CE60" s="283"/>
      <c r="CF60" s="282"/>
      <c r="CG60" s="283"/>
      <c r="CH60" s="282"/>
      <c r="CI60" s="283"/>
      <c r="CJ60" s="282"/>
      <c r="CK60" s="283"/>
      <c r="CL60" s="282"/>
      <c r="CM60" s="283"/>
      <c r="CN60" s="282"/>
      <c r="CO60" s="283"/>
      <c r="CP60" s="282"/>
      <c r="CQ60" s="283"/>
      <c r="CR60" s="282"/>
      <c r="CS60" s="283"/>
      <c r="CT60" s="282"/>
      <c r="CU60" s="283"/>
      <c r="CV60" s="282"/>
      <c r="CW60" s="283"/>
      <c r="CX60" s="282"/>
      <c r="CY60" s="319" t="n">
        <f aca="false">W60+Y60+AA60+AC60+AE60+AG60+AI60+AK60+AM60+AO60+AQ60+AS60+AU60+AW60+AY60+BA60+BC60+BE60+BG60+BI60+BK60+BM60+BO60+BQ60+BS60+BU60+BW60+BY60+CA60+CC60+CE60+CG60+CI60+CK60+CM60+CO60+CQ60+CS60+CU60+CW60</f>
        <v>0</v>
      </c>
      <c r="CZ60" s="320" t="n">
        <f aca="false">IF(AND(CY60=0,DC60=0),0,(DF60+DG60)/DC60)</f>
        <v>0</v>
      </c>
      <c r="DL60" s="21" t="n">
        <v>0</v>
      </c>
      <c r="DR60" s="300" t="n">
        <f aca="false">+'NYISO J'!DR60</f>
        <v>20</v>
      </c>
    </row>
    <row r="61" customFormat="false" ht="16.5" hidden="false" customHeight="false" outlineLevel="0" collapsed="false">
      <c r="A61" s="24"/>
      <c r="B61" s="24"/>
      <c r="E61" s="27"/>
      <c r="L61" s="24"/>
      <c r="N61" s="24"/>
      <c r="O61" s="24"/>
      <c r="DA61" s="21" t="n">
        <f aca="false">SUM(DA12:DA60)</f>
        <v>0</v>
      </c>
      <c r="DR61" s="300" t="n">
        <f aca="false">+'NYISO J'!DR61</f>
        <v>0</v>
      </c>
    </row>
    <row r="62" customFormat="false" ht="21" hidden="false" customHeight="false" outlineLevel="0" collapsed="false">
      <c r="A62" s="204"/>
      <c r="B62" s="205" t="s">
        <v>80</v>
      </c>
      <c r="C62" s="205"/>
      <c r="D62" s="205"/>
      <c r="E62" s="205"/>
      <c r="F62" s="205"/>
      <c r="G62" s="205"/>
      <c r="H62" s="205"/>
      <c r="I62" s="205"/>
      <c r="J62" s="205"/>
      <c r="K62" s="205"/>
      <c r="L62" s="206" t="s">
        <v>81</v>
      </c>
      <c r="M62" s="206"/>
      <c r="N62" s="206"/>
      <c r="O62" s="206"/>
      <c r="P62" s="206"/>
      <c r="Q62" s="206"/>
      <c r="R62" s="206"/>
      <c r="S62" s="206"/>
      <c r="T62" s="207"/>
      <c r="U62" s="208"/>
      <c r="V62" s="205" t="s">
        <v>82</v>
      </c>
      <c r="W62" s="205"/>
      <c r="X62" s="205"/>
      <c r="Y62" s="205"/>
      <c r="Z62" s="205"/>
      <c r="AA62" s="205"/>
      <c r="AB62" s="205"/>
      <c r="AC62" s="205"/>
      <c r="AD62" s="205"/>
      <c r="AE62" s="205"/>
      <c r="AF62" s="205"/>
      <c r="AG62" s="205"/>
      <c r="AH62" s="205"/>
      <c r="AI62" s="205"/>
      <c r="AJ62" s="205"/>
      <c r="AK62" s="205"/>
      <c r="AL62" s="205"/>
      <c r="AM62" s="205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09"/>
      <c r="BN62" s="209"/>
      <c r="BO62" s="209"/>
      <c r="BP62" s="209"/>
      <c r="BQ62" s="209"/>
      <c r="BR62" s="209"/>
      <c r="BS62" s="209"/>
      <c r="BT62" s="209"/>
      <c r="BU62" s="209"/>
      <c r="BV62" s="209"/>
      <c r="BW62" s="209"/>
      <c r="BX62" s="209"/>
      <c r="BY62" s="209"/>
      <c r="BZ62" s="209"/>
      <c r="CA62" s="209"/>
      <c r="CB62" s="209"/>
      <c r="CC62" s="209"/>
      <c r="CD62" s="209"/>
      <c r="CE62" s="209"/>
      <c r="CF62" s="209"/>
      <c r="CG62" s="209"/>
      <c r="CH62" s="209"/>
      <c r="CI62" s="209"/>
      <c r="CJ62" s="209"/>
      <c r="CK62" s="209"/>
      <c r="CL62" s="209"/>
      <c r="CM62" s="209"/>
      <c r="CN62" s="209"/>
      <c r="CO62" s="209"/>
      <c r="CP62" s="209"/>
      <c r="CQ62" s="209"/>
      <c r="CR62" s="209"/>
      <c r="CS62" s="209"/>
      <c r="CT62" s="209"/>
      <c r="CU62" s="209"/>
      <c r="CV62" s="209"/>
      <c r="CW62" s="209"/>
      <c r="CX62" s="209"/>
      <c r="CY62" s="209"/>
      <c r="CZ62" s="209"/>
      <c r="DA62" s="209"/>
      <c r="DB62" s="209"/>
      <c r="DC62" s="209"/>
      <c r="DD62" s="209"/>
      <c r="DE62" s="209"/>
      <c r="DF62" s="209"/>
      <c r="DG62" s="209"/>
      <c r="DH62" s="209"/>
      <c r="DI62" s="209"/>
      <c r="DJ62" s="209"/>
      <c r="DK62" s="209"/>
      <c r="DL62" s="209"/>
      <c r="DM62" s="209"/>
      <c r="DN62" s="209"/>
      <c r="DO62" s="209"/>
      <c r="DP62" s="209"/>
      <c r="DQ62" s="209"/>
      <c r="DR62" s="300" t="n">
        <f aca="false">+'NYISO J'!DR63</f>
        <v>0</v>
      </c>
      <c r="DS62" s="209"/>
      <c r="DT62" s="209"/>
      <c r="DU62" s="209"/>
      <c r="DV62" s="209"/>
      <c r="DW62" s="209"/>
      <c r="DX62" s="209"/>
      <c r="DY62" s="209"/>
      <c r="DZ62" s="209"/>
      <c r="EA62" s="209"/>
      <c r="EB62" s="209"/>
      <c r="EC62" s="209"/>
      <c r="ED62" s="209"/>
      <c r="EE62" s="209"/>
      <c r="EF62" s="209"/>
      <c r="EG62" s="209"/>
      <c r="EH62" s="209"/>
      <c r="EI62" s="209"/>
      <c r="EJ62" s="209"/>
      <c r="EK62" s="209"/>
      <c r="EL62" s="209"/>
      <c r="EM62" s="209"/>
      <c r="EN62" s="209"/>
      <c r="EO62" s="209"/>
      <c r="EP62" s="209"/>
      <c r="EQ62" s="209"/>
      <c r="ER62" s="209"/>
      <c r="ES62" s="209"/>
      <c r="ET62" s="209"/>
      <c r="EU62" s="209"/>
      <c r="EV62" s="209"/>
      <c r="EW62" s="209"/>
      <c r="EX62" s="209"/>
      <c r="EY62" s="209"/>
      <c r="EZ62" s="209"/>
      <c r="FA62" s="209"/>
      <c r="FB62" s="209"/>
      <c r="FC62" s="209"/>
      <c r="FD62" s="209"/>
      <c r="FE62" s="209"/>
      <c r="FF62" s="209"/>
      <c r="FG62" s="209"/>
      <c r="FH62" s="209"/>
      <c r="FI62" s="209"/>
      <c r="FJ62" s="209"/>
      <c r="FK62" s="209"/>
      <c r="FL62" s="209"/>
      <c r="FM62" s="209"/>
      <c r="FN62" s="209"/>
      <c r="FO62" s="209"/>
      <c r="FP62" s="209"/>
      <c r="FQ62" s="209"/>
      <c r="FR62" s="209"/>
      <c r="FS62" s="209"/>
      <c r="FT62" s="209"/>
      <c r="FU62" s="209"/>
      <c r="FV62" s="209"/>
      <c r="FW62" s="209"/>
      <c r="FX62" s="209"/>
      <c r="FY62" s="209"/>
      <c r="FZ62" s="209"/>
      <c r="GA62" s="209"/>
      <c r="GB62" s="209"/>
      <c r="GC62" s="209"/>
      <c r="GD62" s="209"/>
      <c r="GE62" s="209"/>
      <c r="GF62" s="209"/>
      <c r="GG62" s="209"/>
      <c r="GH62" s="209"/>
      <c r="GI62" s="209"/>
      <c r="GJ62" s="209"/>
      <c r="GK62" s="209"/>
      <c r="GL62" s="209"/>
      <c r="GM62" s="209"/>
      <c r="GN62" s="209"/>
      <c r="GO62" s="209"/>
      <c r="GP62" s="209"/>
      <c r="GQ62" s="209"/>
      <c r="GR62" s="209"/>
      <c r="GS62" s="209"/>
      <c r="GT62" s="209"/>
      <c r="GU62" s="209"/>
      <c r="GV62" s="209"/>
      <c r="GW62" s="209"/>
      <c r="GX62" s="209"/>
      <c r="GY62" s="209"/>
      <c r="GZ62" s="209"/>
      <c r="HA62" s="209"/>
      <c r="HB62" s="209"/>
      <c r="HC62" s="209"/>
      <c r="HD62" s="209"/>
      <c r="HE62" s="209"/>
      <c r="HF62" s="209"/>
      <c r="HG62" s="209"/>
      <c r="HH62" s="209"/>
      <c r="HI62" s="209"/>
      <c r="HJ62" s="209"/>
      <c r="HK62" s="209"/>
      <c r="HL62" s="209"/>
      <c r="HM62" s="209"/>
      <c r="HN62" s="209"/>
      <c r="HO62" s="209"/>
      <c r="HP62" s="209"/>
      <c r="HQ62" s="209"/>
      <c r="HR62" s="209"/>
      <c r="HS62" s="209"/>
      <c r="HT62" s="209"/>
      <c r="HU62" s="209"/>
      <c r="HV62" s="209"/>
      <c r="HW62" s="209"/>
      <c r="HX62" s="209"/>
      <c r="HY62" s="209"/>
      <c r="HZ62" s="209"/>
      <c r="IA62" s="209"/>
      <c r="IB62" s="209"/>
      <c r="IC62" s="209"/>
      <c r="ID62" s="209"/>
      <c r="IE62" s="209"/>
      <c r="IF62" s="209"/>
      <c r="IG62" s="209"/>
      <c r="IH62" s="209"/>
      <c r="II62" s="209"/>
      <c r="IJ62" s="209"/>
      <c r="IK62" s="209"/>
      <c r="IL62" s="209"/>
      <c r="IM62" s="209"/>
      <c r="IN62" s="209"/>
      <c r="IO62" s="209"/>
      <c r="IP62" s="209"/>
      <c r="IQ62" s="209"/>
      <c r="IR62" s="209"/>
      <c r="IS62" s="209"/>
      <c r="IT62" s="209"/>
      <c r="IU62" s="209"/>
      <c r="IV62" s="209"/>
      <c r="IW62" s="209"/>
    </row>
    <row r="63" customFormat="false" ht="19.5" hidden="false" customHeight="false" outlineLevel="0" collapsed="false">
      <c r="A63" s="210"/>
      <c r="B63" s="211" t="s">
        <v>84</v>
      </c>
      <c r="C63" s="211"/>
      <c r="D63" s="211"/>
      <c r="E63" s="211"/>
      <c r="F63" s="211"/>
      <c r="G63" s="212" t="s">
        <v>85</v>
      </c>
      <c r="H63" s="212"/>
      <c r="I63" s="212"/>
      <c r="J63" s="212"/>
      <c r="K63" s="212"/>
      <c r="L63" s="213" t="s">
        <v>84</v>
      </c>
      <c r="M63" s="213"/>
      <c r="N63" s="214"/>
      <c r="O63" s="214"/>
      <c r="P63" s="215"/>
      <c r="Q63" s="216" t="s">
        <v>85</v>
      </c>
      <c r="R63" s="216"/>
      <c r="S63" s="216"/>
      <c r="T63" s="217"/>
      <c r="U63" s="218"/>
      <c r="V63" s="211" t="s">
        <v>84</v>
      </c>
      <c r="W63" s="211"/>
      <c r="X63" s="211"/>
      <c r="Y63" s="211"/>
      <c r="Z63" s="211"/>
      <c r="AA63" s="212" t="s">
        <v>85</v>
      </c>
      <c r="AB63" s="212"/>
      <c r="AC63" s="212"/>
      <c r="AD63" s="212"/>
      <c r="AE63" s="212"/>
      <c r="AF63" s="213" t="s">
        <v>84</v>
      </c>
      <c r="AG63" s="213"/>
      <c r="AH63" s="213"/>
      <c r="AI63" s="213"/>
      <c r="AJ63" s="213"/>
      <c r="AK63" s="286" t="s">
        <v>85</v>
      </c>
      <c r="AL63" s="286"/>
      <c r="AM63" s="286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6.5" hidden="false" customHeight="false" outlineLevel="0" collapsed="false">
      <c r="A64" s="220" t="s">
        <v>86</v>
      </c>
      <c r="B64" s="221" t="n">
        <v>0</v>
      </c>
      <c r="C64" s="222" t="n">
        <v>0</v>
      </c>
      <c r="D64" s="222" t="n">
        <v>0</v>
      </c>
      <c r="E64" s="222" t="n">
        <v>0</v>
      </c>
      <c r="F64" s="223" t="n">
        <v>0</v>
      </c>
      <c r="G64" s="221" t="n">
        <v>0</v>
      </c>
      <c r="H64" s="222" t="n">
        <v>0</v>
      </c>
      <c r="I64" s="222" t="n">
        <v>0</v>
      </c>
      <c r="J64" s="222" t="n">
        <v>0</v>
      </c>
      <c r="K64" s="223" t="n">
        <v>0</v>
      </c>
      <c r="L64" s="221" t="n">
        <v>0</v>
      </c>
      <c r="M64" s="222" t="n">
        <v>0</v>
      </c>
      <c r="N64" s="222" t="n">
        <v>0</v>
      </c>
      <c r="O64" s="222" t="n">
        <v>0</v>
      </c>
      <c r="P64" s="223" t="n">
        <v>0</v>
      </c>
      <c r="Q64" s="221" t="n">
        <v>0</v>
      </c>
      <c r="R64" s="222" t="n">
        <v>0</v>
      </c>
      <c r="S64" s="222" t="n">
        <v>0</v>
      </c>
      <c r="T64" s="222" t="n">
        <v>0</v>
      </c>
      <c r="U64" s="223" t="n">
        <v>0</v>
      </c>
      <c r="V64" s="221" t="n">
        <v>0</v>
      </c>
      <c r="W64" s="222" t="n">
        <v>0</v>
      </c>
      <c r="X64" s="222" t="n">
        <v>0</v>
      </c>
      <c r="Y64" s="222" t="n">
        <v>0</v>
      </c>
      <c r="Z64" s="223" t="n">
        <v>0</v>
      </c>
      <c r="AA64" s="221" t="n">
        <v>0</v>
      </c>
      <c r="AB64" s="222" t="n">
        <v>0</v>
      </c>
      <c r="AC64" s="222" t="n">
        <v>0</v>
      </c>
      <c r="AD64" s="222" t="n">
        <v>0</v>
      </c>
      <c r="AE64" s="223" t="n">
        <v>0</v>
      </c>
      <c r="AF64" s="221" t="n">
        <v>0</v>
      </c>
      <c r="AG64" s="222" t="n">
        <v>0</v>
      </c>
      <c r="AH64" s="222" t="n">
        <v>0</v>
      </c>
      <c r="AI64" s="221"/>
      <c r="AJ64" s="222"/>
      <c r="AK64" s="222" t="n">
        <v>0</v>
      </c>
      <c r="AL64" s="222" t="n">
        <v>0</v>
      </c>
      <c r="AM64" s="223" t="n">
        <v>0</v>
      </c>
      <c r="AN64" s="224" t="n">
        <v>0</v>
      </c>
      <c r="AO64" s="224" t="n">
        <v>0</v>
      </c>
      <c r="AP64" s="224"/>
      <c r="AQ64" s="224"/>
      <c r="AR64" s="224"/>
      <c r="AS64" s="224"/>
      <c r="AT64" s="224"/>
      <c r="AU64" s="224"/>
      <c r="AV64" s="224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  <c r="CM64" s="224"/>
      <c r="CN64" s="224"/>
      <c r="CO64" s="224"/>
      <c r="CP64" s="224"/>
      <c r="CQ64" s="224"/>
      <c r="CR64" s="224"/>
      <c r="CS64" s="224"/>
      <c r="CT64" s="224"/>
      <c r="CU64" s="224"/>
      <c r="CV64" s="224"/>
      <c r="CW64" s="224"/>
      <c r="CX64" s="224"/>
      <c r="CY64" s="224"/>
      <c r="CZ64" s="224"/>
      <c r="DA64" s="224"/>
      <c r="DB64" s="224"/>
      <c r="DC64" s="224"/>
      <c r="DD64" s="224"/>
      <c r="DE64" s="224"/>
      <c r="DF64" s="224"/>
      <c r="DG64" s="224"/>
      <c r="DH64" s="224"/>
      <c r="DI64" s="224"/>
      <c r="DJ64" s="224"/>
      <c r="DK64" s="224"/>
      <c r="DL64" s="224"/>
      <c r="DM64" s="224"/>
      <c r="DN64" s="224"/>
      <c r="DO64" s="224"/>
      <c r="DP64" s="224"/>
      <c r="DQ64" s="224"/>
      <c r="DR64" s="224"/>
      <c r="DS64" s="224"/>
      <c r="DT64" s="224"/>
      <c r="DU64" s="224"/>
      <c r="DV64" s="224"/>
      <c r="DW64" s="224"/>
      <c r="DX64" s="224"/>
      <c r="DY64" s="224"/>
      <c r="DZ64" s="224"/>
      <c r="EA64" s="224"/>
      <c r="EB64" s="224"/>
      <c r="EC64" s="224"/>
      <c r="ED64" s="224"/>
      <c r="EE64" s="224"/>
      <c r="EF64" s="224"/>
      <c r="EG64" s="224"/>
      <c r="EH64" s="224"/>
      <c r="EI64" s="224"/>
      <c r="EJ64" s="224"/>
      <c r="EK64" s="224"/>
      <c r="EL64" s="224"/>
      <c r="EM64" s="224"/>
      <c r="EN64" s="224"/>
      <c r="EO64" s="224"/>
      <c r="EP64" s="224"/>
      <c r="EQ64" s="224"/>
      <c r="ER64" s="224"/>
      <c r="ES64" s="224"/>
      <c r="ET64" s="224"/>
      <c r="EU64" s="224"/>
      <c r="EV64" s="224"/>
      <c r="EW64" s="224"/>
      <c r="EX64" s="224"/>
      <c r="EY64" s="224"/>
      <c r="EZ64" s="224"/>
      <c r="FA64" s="224"/>
      <c r="FB64" s="224"/>
      <c r="FC64" s="224"/>
      <c r="FD64" s="224"/>
      <c r="FE64" s="224"/>
      <c r="FF64" s="224"/>
      <c r="FG64" s="224"/>
      <c r="FH64" s="224"/>
      <c r="FI64" s="224"/>
      <c r="FJ64" s="224"/>
      <c r="FK64" s="224"/>
      <c r="FL64" s="224"/>
      <c r="FM64" s="224"/>
      <c r="FN64" s="224"/>
      <c r="FO64" s="224"/>
      <c r="FP64" s="224"/>
      <c r="FQ64" s="224"/>
      <c r="FR64" s="224"/>
      <c r="FS64" s="224"/>
      <c r="FT64" s="224"/>
      <c r="FU64" s="224"/>
      <c r="FV64" s="224"/>
      <c r="FW64" s="224"/>
      <c r="FX64" s="224"/>
      <c r="FY64" s="224"/>
      <c r="FZ64" s="224"/>
      <c r="GA64" s="224"/>
      <c r="GB64" s="224"/>
      <c r="GC64" s="224"/>
      <c r="GD64" s="224"/>
      <c r="GE64" s="224"/>
      <c r="GF64" s="224"/>
      <c r="GG64" s="224"/>
      <c r="GH64" s="224"/>
      <c r="GI64" s="224"/>
      <c r="GJ64" s="224"/>
      <c r="GK64" s="224"/>
      <c r="GL64" s="224"/>
      <c r="GM64" s="224"/>
      <c r="GN64" s="224"/>
      <c r="GO64" s="224"/>
      <c r="GP64" s="224"/>
      <c r="GQ64" s="224"/>
      <c r="GR64" s="224"/>
      <c r="GS64" s="224"/>
      <c r="GT64" s="224"/>
      <c r="GU64" s="224"/>
      <c r="GV64" s="224"/>
      <c r="GW64" s="224"/>
      <c r="GX64" s="224"/>
      <c r="GY64" s="224"/>
      <c r="GZ64" s="224"/>
      <c r="HA64" s="224"/>
      <c r="HB64" s="224"/>
      <c r="HC64" s="224"/>
      <c r="HD64" s="224"/>
      <c r="HE64" s="224"/>
      <c r="HF64" s="224"/>
      <c r="HG64" s="224"/>
      <c r="HH64" s="224"/>
      <c r="HI64" s="224"/>
      <c r="HJ64" s="224"/>
      <c r="HK64" s="224"/>
      <c r="HL64" s="224"/>
      <c r="HM64" s="224"/>
      <c r="HN64" s="224"/>
      <c r="HO64" s="224"/>
      <c r="HP64" s="224"/>
      <c r="HQ64" s="224"/>
      <c r="HR64" s="224"/>
      <c r="HS64" s="224"/>
      <c r="HT64" s="224"/>
      <c r="HU64" s="224"/>
      <c r="HV64" s="224"/>
      <c r="HW64" s="224"/>
      <c r="HX64" s="224"/>
      <c r="HY64" s="224"/>
      <c r="HZ64" s="224"/>
      <c r="IA64" s="224"/>
      <c r="IB64" s="224"/>
      <c r="IC64" s="224"/>
      <c r="ID64" s="224"/>
      <c r="IE64" s="224"/>
      <c r="IF64" s="224"/>
      <c r="IG64" s="224"/>
      <c r="IH64" s="224"/>
      <c r="II64" s="224"/>
      <c r="IJ64" s="224"/>
      <c r="IK64" s="224"/>
      <c r="IL64" s="224"/>
      <c r="IM64" s="224"/>
      <c r="IN64" s="224"/>
      <c r="IO64" s="224"/>
      <c r="IP64" s="224"/>
      <c r="IQ64" s="224"/>
      <c r="IR64" s="224"/>
      <c r="IS64" s="224"/>
      <c r="IT64" s="224"/>
      <c r="IU64" s="224"/>
      <c r="IV64" s="224"/>
      <c r="IW64" s="224"/>
    </row>
    <row r="65" customFormat="false" ht="15.75" hidden="false" customHeight="false" outlineLevel="0" collapsed="false">
      <c r="A65" s="225" t="s">
        <v>87</v>
      </c>
      <c r="B65" s="226" t="n">
        <v>0</v>
      </c>
      <c r="C65" s="227" t="n">
        <v>0</v>
      </c>
      <c r="D65" s="227" t="n">
        <v>0</v>
      </c>
      <c r="E65" s="227" t="n">
        <v>0</v>
      </c>
      <c r="F65" s="228" t="n">
        <v>0</v>
      </c>
      <c r="G65" s="226" t="n">
        <v>0</v>
      </c>
      <c r="H65" s="227" t="n">
        <v>0</v>
      </c>
      <c r="I65" s="227" t="n">
        <v>0</v>
      </c>
      <c r="J65" s="227" t="n">
        <v>0</v>
      </c>
      <c r="K65" s="228" t="n">
        <v>0</v>
      </c>
      <c r="L65" s="226" t="n">
        <v>0</v>
      </c>
      <c r="M65" s="227" t="n">
        <v>0</v>
      </c>
      <c r="N65" s="227" t="n">
        <v>0</v>
      </c>
      <c r="O65" s="227" t="n">
        <v>0</v>
      </c>
      <c r="P65" s="228" t="n">
        <v>0</v>
      </c>
      <c r="Q65" s="227" t="n">
        <v>0</v>
      </c>
      <c r="R65" s="227" t="n">
        <v>0</v>
      </c>
      <c r="S65" s="227" t="n">
        <v>0</v>
      </c>
      <c r="T65" s="227" t="n">
        <v>0</v>
      </c>
      <c r="U65" s="228" t="n">
        <v>0</v>
      </c>
      <c r="V65" s="226" t="n">
        <v>0</v>
      </c>
      <c r="W65" s="227" t="n">
        <v>0</v>
      </c>
      <c r="X65" s="227" t="n">
        <v>0</v>
      </c>
      <c r="Y65" s="227" t="n">
        <v>0</v>
      </c>
      <c r="Z65" s="228" t="n">
        <v>0</v>
      </c>
      <c r="AA65" s="226" t="n">
        <v>0</v>
      </c>
      <c r="AB65" s="227" t="n">
        <v>0</v>
      </c>
      <c r="AC65" s="227" t="n">
        <v>0</v>
      </c>
      <c r="AD65" s="227" t="n">
        <v>0</v>
      </c>
      <c r="AE65" s="228" t="n">
        <v>0</v>
      </c>
      <c r="AF65" s="226" t="n">
        <v>0</v>
      </c>
      <c r="AG65" s="227" t="n">
        <v>0</v>
      </c>
      <c r="AH65" s="227" t="n">
        <v>0</v>
      </c>
      <c r="AI65" s="226"/>
      <c r="AJ65" s="227"/>
      <c r="AK65" s="227" t="n">
        <v>0</v>
      </c>
      <c r="AL65" s="227" t="n">
        <v>0</v>
      </c>
      <c r="AM65" s="228" t="n">
        <v>0</v>
      </c>
      <c r="AN65" s="21" t="n">
        <v>0</v>
      </c>
      <c r="AO65" s="21" t="n">
        <v>0</v>
      </c>
    </row>
    <row r="66" customFormat="false" ht="16.5" hidden="false" customHeight="false" outlineLevel="0" collapsed="false">
      <c r="A66" s="225" t="s">
        <v>88</v>
      </c>
      <c r="B66" s="226"/>
      <c r="C66" s="227"/>
      <c r="D66" s="227"/>
      <c r="E66" s="227"/>
      <c r="F66" s="228"/>
      <c r="G66" s="229"/>
      <c r="H66" s="230"/>
      <c r="I66" s="230"/>
      <c r="J66" s="230"/>
      <c r="K66" s="231"/>
      <c r="L66" s="226"/>
      <c r="M66" s="227"/>
      <c r="N66" s="233"/>
      <c r="O66" s="233"/>
      <c r="P66" s="228"/>
      <c r="Q66" s="229"/>
      <c r="R66" s="230"/>
      <c r="S66" s="230"/>
      <c r="T66" s="230"/>
      <c r="U66" s="231"/>
      <c r="V66" s="226"/>
      <c r="W66" s="227"/>
      <c r="X66" s="227"/>
      <c r="Y66" s="227"/>
      <c r="Z66" s="228"/>
      <c r="AA66" s="229"/>
      <c r="AB66" s="230"/>
      <c r="AC66" s="230"/>
      <c r="AD66" s="230"/>
      <c r="AE66" s="231"/>
      <c r="AF66" s="226"/>
      <c r="AG66" s="227"/>
      <c r="AH66" s="227"/>
      <c r="AI66" s="229"/>
      <c r="AJ66" s="230"/>
      <c r="AK66" s="230"/>
      <c r="AL66" s="230"/>
      <c r="AM66" s="231"/>
    </row>
    <row r="67" customFormat="false" ht="16.5" hidden="false" customHeight="false" outlineLevel="0" collapsed="false">
      <c r="A67" s="36" t="s">
        <v>89</v>
      </c>
      <c r="B67" s="232"/>
      <c r="C67" s="233"/>
      <c r="D67" s="233"/>
      <c r="E67" s="233"/>
      <c r="F67" s="234"/>
      <c r="G67" s="235"/>
      <c r="H67" s="236"/>
      <c r="I67" s="236"/>
      <c r="J67" s="236"/>
      <c r="K67" s="237"/>
      <c r="L67" s="232"/>
      <c r="M67" s="233"/>
      <c r="N67" s="243"/>
      <c r="O67" s="243"/>
      <c r="P67" s="234"/>
      <c r="Q67" s="235"/>
      <c r="R67" s="236"/>
      <c r="S67" s="236"/>
      <c r="T67" s="236"/>
      <c r="U67" s="237"/>
      <c r="V67" s="232"/>
      <c r="W67" s="233"/>
      <c r="X67" s="233"/>
      <c r="Y67" s="233"/>
      <c r="Z67" s="234"/>
      <c r="AA67" s="235"/>
      <c r="AB67" s="236"/>
      <c r="AC67" s="236"/>
      <c r="AD67" s="236"/>
      <c r="AE67" s="237"/>
      <c r="AF67" s="232"/>
      <c r="AG67" s="233"/>
      <c r="AH67" s="233"/>
      <c r="AI67" s="235"/>
      <c r="AJ67" s="236"/>
      <c r="AK67" s="236"/>
      <c r="AL67" s="236"/>
      <c r="AM67" s="237"/>
    </row>
    <row r="68" customFormat="false" ht="16.5" hidden="false" customHeight="false" outlineLevel="0" collapsed="false">
      <c r="A68" s="238" t="s">
        <v>90</v>
      </c>
      <c r="B68" s="239" t="n">
        <f aca="false">B65*B66</f>
        <v>0</v>
      </c>
      <c r="C68" s="240" t="n">
        <f aca="false">C65*C66</f>
        <v>0</v>
      </c>
      <c r="D68" s="240" t="n">
        <f aca="false">D65*D66</f>
        <v>0</v>
      </c>
      <c r="E68" s="240" t="n">
        <f aca="false">E65*E66</f>
        <v>0</v>
      </c>
      <c r="F68" s="241" t="n">
        <f aca="false">F65*F66</f>
        <v>0</v>
      </c>
      <c r="G68" s="239" t="n">
        <f aca="false">G65*G66</f>
        <v>0</v>
      </c>
      <c r="H68" s="240" t="n">
        <f aca="false">H65*H66</f>
        <v>0</v>
      </c>
      <c r="I68" s="240" t="n">
        <f aca="false">I65*I66</f>
        <v>0</v>
      </c>
      <c r="J68" s="240" t="n">
        <f aca="false">J65*J66</f>
        <v>0</v>
      </c>
      <c r="K68" s="241" t="n">
        <f aca="false">K65*K66</f>
        <v>0</v>
      </c>
      <c r="L68" s="242"/>
      <c r="M68" s="243"/>
      <c r="N68" s="251"/>
      <c r="O68" s="251"/>
      <c r="P68" s="244"/>
      <c r="Q68" s="242"/>
      <c r="R68" s="243"/>
      <c r="S68" s="243"/>
      <c r="T68" s="243"/>
      <c r="U68" s="244"/>
      <c r="V68" s="239" t="n">
        <f aca="false">-V65*V66</f>
        <v>-0</v>
      </c>
      <c r="W68" s="240" t="n">
        <f aca="false">-W65*W66</f>
        <v>-0</v>
      </c>
      <c r="X68" s="240" t="n">
        <f aca="false">-X65*X66</f>
        <v>-0</v>
      </c>
      <c r="Y68" s="240" t="n">
        <f aca="false">-Y65*Y66</f>
        <v>-0</v>
      </c>
      <c r="Z68" s="241" t="n">
        <f aca="false">-Z65*Z66</f>
        <v>-0</v>
      </c>
      <c r="AA68" s="239" t="n">
        <f aca="false">-AA65*AA66</f>
        <v>-0</v>
      </c>
      <c r="AB68" s="240" t="n">
        <f aca="false">-AB65*AB66</f>
        <v>-0</v>
      </c>
      <c r="AC68" s="240" t="n">
        <f aca="false">-AC65*AC66</f>
        <v>-0</v>
      </c>
      <c r="AD68" s="240" t="n">
        <f aca="false">-AD65*AD66</f>
        <v>-0</v>
      </c>
      <c r="AE68" s="241" t="n">
        <f aca="false">-AE65*AE66</f>
        <v>-0</v>
      </c>
      <c r="AF68" s="242"/>
      <c r="AG68" s="243"/>
      <c r="AH68" s="243"/>
      <c r="AI68" s="243"/>
      <c r="AJ68" s="243"/>
      <c r="AK68" s="243"/>
      <c r="AL68" s="243"/>
      <c r="AM68" s="244"/>
      <c r="AN68" s="245"/>
      <c r="AP68" s="21" t="n">
        <f aca="false">SUM(B68:AO68)</f>
        <v>0</v>
      </c>
    </row>
    <row r="69" customFormat="false" ht="16.5" hidden="false" customHeight="false" outlineLevel="0" collapsed="false">
      <c r="A69" s="246" t="s">
        <v>91</v>
      </c>
      <c r="B69" s="247"/>
      <c r="C69" s="248"/>
      <c r="D69" s="248"/>
      <c r="E69" s="248"/>
      <c r="F69" s="249"/>
      <c r="G69" s="247"/>
      <c r="H69" s="248"/>
      <c r="I69" s="248"/>
      <c r="J69" s="248"/>
      <c r="K69" s="249"/>
      <c r="L69" s="250" t="n">
        <f aca="false">L65*L66</f>
        <v>0</v>
      </c>
      <c r="M69" s="251" t="n">
        <f aca="false">M65*M66</f>
        <v>0</v>
      </c>
      <c r="N69" s="21" t="n">
        <f aca="false">N65*N66</f>
        <v>0</v>
      </c>
      <c r="O69" s="21" t="n">
        <f aca="false">O65*O66</f>
        <v>0</v>
      </c>
      <c r="P69" s="252" t="n">
        <f aca="false">P65*P66</f>
        <v>0</v>
      </c>
      <c r="Q69" s="250" t="n">
        <f aca="false">Q66*Q65</f>
        <v>0</v>
      </c>
      <c r="R69" s="251" t="n">
        <f aca="false">R66*R65</f>
        <v>0</v>
      </c>
      <c r="S69" s="251" t="n">
        <f aca="false">S66*S65</f>
        <v>0</v>
      </c>
      <c r="T69" s="251" t="n">
        <f aca="false">T66*T65</f>
        <v>0</v>
      </c>
      <c r="U69" s="252" t="n">
        <f aca="false">U66*U65</f>
        <v>0</v>
      </c>
      <c r="V69" s="247"/>
      <c r="W69" s="248"/>
      <c r="X69" s="248"/>
      <c r="Y69" s="248"/>
      <c r="Z69" s="249"/>
      <c r="AA69" s="247"/>
      <c r="AB69" s="248"/>
      <c r="AC69" s="248"/>
      <c r="AD69" s="248"/>
      <c r="AE69" s="249"/>
      <c r="AF69" s="250" t="n">
        <f aca="false">-AF65*AF66</f>
        <v>-0</v>
      </c>
      <c r="AG69" s="251" t="n">
        <f aca="false">-AG65*AG66</f>
        <v>-0</v>
      </c>
      <c r="AH69" s="251" t="n">
        <f aca="false">-AH65*AH66</f>
        <v>-0</v>
      </c>
      <c r="AI69" s="251"/>
      <c r="AJ69" s="251"/>
      <c r="AK69" s="251" t="n">
        <f aca="false">-AK65*AK66</f>
        <v>-0</v>
      </c>
      <c r="AL69" s="251" t="n">
        <f aca="false">-AL65*AL66</f>
        <v>-0</v>
      </c>
      <c r="AM69" s="252" t="n">
        <f aca="false">-AM65*AM66</f>
        <v>-0</v>
      </c>
      <c r="AN69" s="253" t="n">
        <f aca="false">-AN65*AN66</f>
        <v>-0</v>
      </c>
      <c r="AO69" s="21" t="n">
        <f aca="false">-AO65*AO66</f>
        <v>-0</v>
      </c>
      <c r="AP69" s="21" t="n">
        <f aca="false">SUM(B69:AO69)</f>
        <v>0</v>
      </c>
    </row>
    <row r="70" customFormat="false" ht="12.75" hidden="false" customHeight="false" outlineLevel="0" collapsed="false">
      <c r="A70" s="24"/>
      <c r="B70" s="24" t="n">
        <f aca="false">(B64-$H$12)*B68*16</f>
        <v>-0</v>
      </c>
      <c r="C70" s="24" t="n">
        <f aca="false">(C64-$H$12)*C68*16</f>
        <v>-0</v>
      </c>
      <c r="D70" s="24" t="n">
        <f aca="false">(D64-$H$12)*D68*16</f>
        <v>-0</v>
      </c>
      <c r="E70" s="24" t="n">
        <f aca="false">(E64-$H$12)*E68*16</f>
        <v>-0</v>
      </c>
      <c r="F70" s="24" t="n">
        <f aca="false">(F64-$H$12)*F68*16</f>
        <v>-0</v>
      </c>
      <c r="G70" s="24" t="n">
        <f aca="false">($H$12-G64)*G68*16</f>
        <v>0</v>
      </c>
      <c r="H70" s="24" t="n">
        <f aca="false">($H$12-H64)*H68*16</f>
        <v>0</v>
      </c>
      <c r="I70" s="24" t="n">
        <f aca="false">($H$12-I64)*I68*16</f>
        <v>0</v>
      </c>
      <c r="J70" s="24" t="n">
        <f aca="false">($H$12-J64)*J68*16</f>
        <v>0</v>
      </c>
      <c r="K70" s="24" t="n">
        <f aca="false">($H$12-K64)*K68*16</f>
        <v>0</v>
      </c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 t="n">
        <f aca="false">V68*($H$12-V64)*16</f>
        <v>-0</v>
      </c>
      <c r="W70" s="24" t="n">
        <f aca="false">W68*($H$12-W64)*16</f>
        <v>-0</v>
      </c>
      <c r="X70" s="24" t="n">
        <f aca="false">X68*($H$12-X64)*16</f>
        <v>-0</v>
      </c>
      <c r="Y70" s="24" t="n">
        <f aca="false">Y68*($H$12-Y64)*16</f>
        <v>-0</v>
      </c>
      <c r="Z70" s="24" t="n">
        <f aca="false">Z68*($H$12-Z64)*16</f>
        <v>-0</v>
      </c>
      <c r="AA70" s="24" t="n">
        <f aca="false">AA68*($H$12-AA64)*16</f>
        <v>-0</v>
      </c>
      <c r="AB70" s="24" t="n">
        <f aca="false">AB68*($H$12-AB64)*16</f>
        <v>-0</v>
      </c>
      <c r="AC70" s="24" t="n">
        <f aca="false">AC68*($H$12-AC64)*16</f>
        <v>-0</v>
      </c>
      <c r="AD70" s="24" t="n">
        <f aca="false">AD68*($H$12-AD64)*16</f>
        <v>-0</v>
      </c>
      <c r="AE70" s="24" t="n">
        <f aca="false">AE68*($H$12-AE64)*16</f>
        <v>-0</v>
      </c>
      <c r="AH70" s="21"/>
      <c r="AI70" s="21"/>
      <c r="AJ70" s="21"/>
      <c r="AK70" s="21"/>
      <c r="AP70" s="21" t="n">
        <f aca="false">SUM(B70:AO70)</f>
        <v>0</v>
      </c>
    </row>
    <row r="73" customFormat="false" ht="15.75" hidden="false" customHeight="false" outlineLevel="0" collapsed="false">
      <c r="B73" s="254"/>
      <c r="C73" s="255"/>
      <c r="D73" s="255"/>
      <c r="E73" s="255"/>
      <c r="F73" s="51"/>
    </row>
    <row r="74" customFormat="false" ht="15.75" hidden="false" customHeight="false" outlineLevel="0" collapsed="false">
      <c r="B74" s="131"/>
      <c r="C74" s="131"/>
      <c r="D74" s="131"/>
      <c r="E74" s="131"/>
      <c r="F74" s="131"/>
    </row>
    <row r="75" customFormat="false" ht="15.75" hidden="false" customHeight="false" outlineLevel="0" collapsed="false">
      <c r="B75" s="131"/>
      <c r="C75" s="131"/>
      <c r="D75" s="131"/>
      <c r="E75" s="131"/>
      <c r="F75" s="131"/>
    </row>
    <row r="76" customFormat="false" ht="12" hidden="false" customHeight="true" outlineLevel="0" collapsed="false">
      <c r="B76" s="131"/>
      <c r="C76" s="131"/>
      <c r="D76" s="131"/>
      <c r="E76" s="131"/>
      <c r="F76" s="131"/>
    </row>
    <row r="78" customFormat="false" ht="15.75" hidden="false" customHeight="false" outlineLevel="0" collapsed="false">
      <c r="B78" s="131"/>
      <c r="C78" s="131"/>
      <c r="D78" s="131"/>
      <c r="E78" s="131"/>
      <c r="F78" s="131"/>
    </row>
    <row r="79" customFormat="false" ht="15.75" hidden="false" customHeight="false" outlineLevel="0" collapsed="false">
      <c r="B79" s="131"/>
      <c r="C79" s="131"/>
      <c r="D79" s="131"/>
      <c r="E79" s="131"/>
      <c r="F79" s="131"/>
    </row>
    <row r="80" customFormat="false" ht="15.75" hidden="false" customHeight="false" outlineLevel="0" collapsed="false">
      <c r="B80" s="131"/>
      <c r="C80" s="131"/>
      <c r="D80" s="131"/>
      <c r="E80" s="131"/>
      <c r="F80" s="131"/>
    </row>
    <row r="81" customFormat="false" ht="15.75" hidden="false" customHeight="false" outlineLevel="0" collapsed="false">
      <c r="B81" s="254"/>
      <c r="C81" s="255"/>
      <c r="D81" s="255"/>
      <c r="E81" s="255"/>
      <c r="F81" s="131"/>
    </row>
    <row r="82" customFormat="false" ht="15.75" hidden="false" customHeight="false" outlineLevel="0" collapsed="false">
      <c r="B82" s="131"/>
      <c r="C82" s="131"/>
      <c r="D82" s="131"/>
      <c r="E82" s="131"/>
      <c r="F82" s="131"/>
    </row>
    <row r="83" customFormat="false" ht="15.75" hidden="false" customHeight="false" outlineLevel="0" collapsed="false">
      <c r="B83" s="131"/>
      <c r="C83" s="131"/>
      <c r="D83" s="131"/>
      <c r="E83" s="131"/>
      <c r="F83" s="131"/>
    </row>
    <row r="84" customFormat="false" ht="15.75" hidden="false" customHeight="false" outlineLevel="0" collapsed="false">
      <c r="B84" s="131"/>
      <c r="C84" s="131"/>
      <c r="D84" s="131"/>
      <c r="E84" s="131"/>
      <c r="F84" s="131"/>
    </row>
    <row r="85" customFormat="false" ht="15.75" hidden="false" customHeight="false" outlineLevel="0" collapsed="false">
      <c r="B85" s="131"/>
      <c r="C85" s="131"/>
      <c r="D85" s="131"/>
      <c r="E85" s="131"/>
      <c r="F85" s="131"/>
    </row>
    <row r="86" customFormat="false" ht="15.75" hidden="false" customHeight="false" outlineLevel="0" collapsed="false">
      <c r="B86" s="131"/>
      <c r="C86" s="131"/>
      <c r="D86" s="131"/>
      <c r="E86" s="131"/>
      <c r="F86" s="131"/>
    </row>
    <row r="87" customFormat="false" ht="15.75" hidden="false" customHeight="false" outlineLevel="0" collapsed="false">
      <c r="B87" s="256"/>
      <c r="C87" s="255"/>
      <c r="D87" s="255"/>
      <c r="E87" s="255"/>
      <c r="F87" s="131"/>
    </row>
    <row r="88" customFormat="false" ht="15.75" hidden="false" customHeight="false" outlineLevel="0" collapsed="false">
      <c r="B88" s="257"/>
      <c r="C88" s="131"/>
      <c r="D88" s="131"/>
      <c r="E88" s="131"/>
      <c r="F88" s="131"/>
    </row>
    <row r="89" customFormat="false" ht="15.75" hidden="false" customHeight="false" outlineLevel="0" collapsed="false">
      <c r="B89" s="131"/>
      <c r="C89" s="131"/>
      <c r="D89" s="131"/>
      <c r="E89" s="131"/>
      <c r="F89" s="131"/>
    </row>
    <row r="90" customFormat="false" ht="15.75" hidden="false" customHeight="false" outlineLevel="0" collapsed="false">
      <c r="B90" s="131"/>
      <c r="C90" s="131"/>
      <c r="D90" s="131"/>
      <c r="E90" s="131"/>
      <c r="F90" s="131"/>
    </row>
    <row r="91" customFormat="false" ht="15.75" hidden="false" customHeight="false" outlineLevel="0" collapsed="false">
      <c r="B91" s="131"/>
      <c r="C91" s="131"/>
      <c r="D91" s="131"/>
      <c r="E91" s="131"/>
      <c r="F91" s="131"/>
    </row>
    <row r="92" customFormat="false" ht="15.75" hidden="false" customHeight="false" outlineLevel="0" collapsed="false">
      <c r="B92" s="131"/>
      <c r="C92" s="131"/>
      <c r="D92" s="131"/>
      <c r="E92" s="131"/>
      <c r="F92" s="131"/>
    </row>
    <row r="94" customFormat="false" ht="12" hidden="false" customHeight="true" outlineLevel="0" collapsed="false">
      <c r="B94" s="131"/>
      <c r="C94" s="131"/>
      <c r="D94" s="131"/>
      <c r="E94" s="131"/>
      <c r="F94" s="131"/>
    </row>
    <row r="95" customFormat="false" ht="15.75" hidden="false" customHeight="false" outlineLevel="0" collapsed="false">
      <c r="B95" s="131"/>
      <c r="C95" s="131"/>
      <c r="D95" s="131"/>
      <c r="E95" s="131"/>
      <c r="F95" s="131"/>
    </row>
    <row r="96" customFormat="false" ht="15.75" hidden="false" customHeight="false" outlineLevel="0" collapsed="false">
      <c r="B96" s="131"/>
      <c r="C96" s="131"/>
      <c r="D96" s="131"/>
      <c r="E96" s="131"/>
      <c r="F96" s="131"/>
    </row>
    <row r="97" customFormat="false" ht="15.75" hidden="false" customHeight="false" outlineLevel="0" collapsed="false">
      <c r="B97" s="131"/>
      <c r="C97" s="131"/>
      <c r="D97" s="131"/>
      <c r="E97" s="131"/>
      <c r="F97" s="131"/>
    </row>
    <row r="98" customFormat="false" ht="15.75" hidden="false" customHeight="false" outlineLevel="0" collapsed="false">
      <c r="B98" s="131"/>
      <c r="C98" s="131"/>
      <c r="D98" s="131"/>
      <c r="E98" s="131"/>
      <c r="F98" s="131"/>
    </row>
    <row r="99" customFormat="false" ht="15.75" hidden="false" customHeight="false" outlineLevel="0" collapsed="false">
      <c r="B99" s="131"/>
      <c r="C99" s="131"/>
      <c r="D99" s="131"/>
      <c r="E99" s="131"/>
      <c r="F99" s="131"/>
    </row>
    <row r="100" customFormat="false" ht="15.75" hidden="false" customHeight="false" outlineLevel="0" collapsed="false">
      <c r="B100" s="131"/>
      <c r="C100" s="131"/>
      <c r="D100" s="131"/>
      <c r="E100" s="131"/>
      <c r="F100" s="131"/>
    </row>
    <row r="101" customFormat="false" ht="15.75" hidden="false" customHeight="false" outlineLevel="0" collapsed="false">
      <c r="B101" s="131"/>
      <c r="C101" s="131"/>
      <c r="D101" s="131"/>
      <c r="E101" s="258"/>
      <c r="F101" s="258"/>
    </row>
    <row r="102" customFormat="false" ht="15.75" hidden="false" customHeight="false" outlineLevel="0" collapsed="false">
      <c r="B102" s="131"/>
      <c r="C102" s="131"/>
      <c r="D102" s="131"/>
      <c r="E102" s="131"/>
      <c r="F102" s="131"/>
    </row>
  </sheetData>
  <mergeCells count="51">
    <mergeCell ref="W10:X10"/>
    <mergeCell ref="Y10:Z10"/>
    <mergeCell ref="AA10:AB10"/>
    <mergeCell ref="AC10:AD10"/>
    <mergeCell ref="AE10:AF10"/>
    <mergeCell ref="AG10:AH10"/>
    <mergeCell ref="AI10:AJ10"/>
    <mergeCell ref="AK10:AL10"/>
    <mergeCell ref="AM10:AN10"/>
    <mergeCell ref="AO10:AP10"/>
    <mergeCell ref="AQ10:AR10"/>
    <mergeCell ref="AS10:AT10"/>
    <mergeCell ref="AU10:AV10"/>
    <mergeCell ref="AW10:AX10"/>
    <mergeCell ref="AY10:AZ10"/>
    <mergeCell ref="BA10:BB10"/>
    <mergeCell ref="BC10:BD10"/>
    <mergeCell ref="BE10:BF10"/>
    <mergeCell ref="BG10:BH10"/>
    <mergeCell ref="BI10:BJ10"/>
    <mergeCell ref="BK10:BL10"/>
    <mergeCell ref="BM10:BN10"/>
    <mergeCell ref="BO10:BP10"/>
    <mergeCell ref="BQ10:BR10"/>
    <mergeCell ref="BS10:BT10"/>
    <mergeCell ref="BU10:BV10"/>
    <mergeCell ref="BW10:BX10"/>
    <mergeCell ref="BY10:BZ10"/>
    <mergeCell ref="CA10:CB10"/>
    <mergeCell ref="CC10:CD10"/>
    <mergeCell ref="CE10:CF10"/>
    <mergeCell ref="CG10:CH10"/>
    <mergeCell ref="CI10:CJ10"/>
    <mergeCell ref="CK10:CL10"/>
    <mergeCell ref="CM10:CN10"/>
    <mergeCell ref="CO10:CP10"/>
    <mergeCell ref="CQ10:CR10"/>
    <mergeCell ref="CS10:CT10"/>
    <mergeCell ref="CU10:CV10"/>
    <mergeCell ref="CW10:CX10"/>
    <mergeCell ref="B62:K62"/>
    <mergeCell ref="L62:S62"/>
    <mergeCell ref="V62:AM62"/>
    <mergeCell ref="B63:F63"/>
    <mergeCell ref="G63:K63"/>
    <mergeCell ref="L63:M63"/>
    <mergeCell ref="Q63:S63"/>
    <mergeCell ref="V63:Z63"/>
    <mergeCell ref="AA63:AE63"/>
    <mergeCell ref="AF63:AJ63"/>
    <mergeCell ref="AK63:AM6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">
              <controlPr defaultSize="0" locked="1" autoFill="0" autoLine="0" autoPict="0" print="true" altText="Check Box 1">
                <anchor moveWithCells="true" sizeWithCells="false">
                  <from>
                    <xdr:col>16</xdr:col>
                    <xdr:colOff>9720</xdr:colOff>
                    <xdr:row>8</xdr:row>
                    <xdr:rowOff>37800</xdr:rowOff>
                  </from>
                  <to>
                    <xdr:col>17</xdr:col>
                    <xdr:colOff>-511920</xdr:colOff>
                    <xdr:row>9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">
              <controlPr defaultSize="0" locked="1" autoFill="0" autoLine="0" autoPict="0" print="true" altText="Check Box 2">
                <anchor moveWithCells="true" sizeWithCells="false">
                  <from>
                    <xdr:col>16</xdr:col>
                    <xdr:colOff>9720</xdr:colOff>
                    <xdr:row>8</xdr:row>
                    <xdr:rowOff>29160</xdr:rowOff>
                  </from>
                  <to>
                    <xdr:col>17</xdr:col>
                    <xdr:colOff>-471960</xdr:colOff>
                    <xdr:row>9</xdr:row>
                    <xdr:rowOff>28800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9"/>
  <sheetViews>
    <sheetView showFormulas="false" showGridLines="true" showRowColHeaders="true" showZeros="true" rightToLeft="false" tabSelected="false" showOutlineSymbols="true" defaultGridColor="true" view="normal" topLeftCell="E25" colorId="64" zoomScale="75" zoomScaleNormal="75" zoomScalePageLayoutView="100" workbookViewId="0">
      <selection pane="topLeft" activeCell="N44" activeCellId="0" sqref="N44:O4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" width="12.56"/>
    <col collapsed="false" customWidth="true" hidden="false" outlineLevel="0" max="2" min="2" style="21" width="12.28"/>
    <col collapsed="false" customWidth="true" hidden="false" outlineLevel="0" max="3" min="3" style="21" width="9.99"/>
    <col collapsed="false" customWidth="true" hidden="false" outlineLevel="0" max="5" min="4" style="21" width="12.14"/>
    <col collapsed="false" customWidth="true" hidden="false" outlineLevel="0" max="6" min="6" style="21" width="10.13"/>
    <col collapsed="false" customWidth="true" hidden="false" outlineLevel="0" max="7" min="7" style="21" width="9.99"/>
    <col collapsed="false" customWidth="true" hidden="false" outlineLevel="0" max="8" min="8" style="21" width="11.85"/>
    <col collapsed="false" customWidth="true" hidden="false" outlineLevel="0" max="9" min="9" style="21" width="12.42"/>
    <col collapsed="false" customWidth="true" hidden="false" outlineLevel="0" max="10" min="10" style="21" width="17.85"/>
    <col collapsed="false" customWidth="true" hidden="false" outlineLevel="0" max="11" min="11" style="21" width="18.56"/>
    <col collapsed="false" customWidth="true" hidden="false" outlineLevel="0" max="12" min="12" style="21" width="8.14"/>
    <col collapsed="false" customWidth="true" hidden="false" outlineLevel="0" max="13" min="13" style="21" width="13.41"/>
    <col collapsed="false" customWidth="true" hidden="false" outlineLevel="0" max="15" min="14" style="21" width="9.85"/>
    <col collapsed="false" customWidth="true" hidden="false" outlineLevel="0" max="17" min="16" style="21" width="11.85"/>
    <col collapsed="false" customWidth="true" hidden="false" outlineLevel="0" max="18" min="18" style="21" width="11.28"/>
    <col collapsed="false" customWidth="true" hidden="false" outlineLevel="0" max="19" min="19" style="22" width="11.7"/>
    <col collapsed="false" customWidth="true" hidden="false" outlineLevel="0" max="20" min="20" style="23" width="12.85"/>
    <col collapsed="false" customWidth="false" hidden="false" outlineLevel="0" max="21" min="21" style="23" width="9.14"/>
    <col collapsed="false" customWidth="true" hidden="false" outlineLevel="0" max="22" min="22" style="21" width="13.41"/>
    <col collapsed="false" customWidth="true" hidden="false" outlineLevel="0" max="24" min="23" style="21" width="9.99"/>
    <col collapsed="false" customWidth="false" hidden="false" outlineLevel="0" max="25" min="25" style="21" width="9.14"/>
    <col collapsed="false" customWidth="true" hidden="false" outlineLevel="0" max="30" min="26" style="21" width="9.99"/>
    <col collapsed="false" customWidth="false" hidden="false" outlineLevel="0" max="31" min="31" style="21" width="9.14"/>
    <col collapsed="false" customWidth="true" hidden="false" outlineLevel="0" max="32" min="32" style="21" width="9.99"/>
    <col collapsed="false" customWidth="false" hidden="false" outlineLevel="0" max="33" min="33" style="21" width="9.14"/>
    <col collapsed="false" customWidth="true" hidden="false" outlineLevel="0" max="34" min="34" style="24" width="9.99"/>
    <col collapsed="false" customWidth="false" hidden="false" outlineLevel="0" max="35" min="35" style="24" width="9.14"/>
    <col collapsed="false" customWidth="true" hidden="false" outlineLevel="0" max="36" min="36" style="24" width="9.99"/>
    <col collapsed="false" customWidth="false" hidden="false" outlineLevel="0" max="37" min="37" style="24" width="9.14"/>
    <col collapsed="false" customWidth="true" hidden="false" outlineLevel="0" max="38" min="38" style="21" width="9.99"/>
    <col collapsed="false" customWidth="false" hidden="false" outlineLevel="0" max="39" min="39" style="21" width="9.14"/>
    <col collapsed="false" customWidth="true" hidden="false" outlineLevel="0" max="40" min="40" style="21" width="9.99"/>
    <col collapsed="false" customWidth="false" hidden="false" outlineLevel="0" max="41" min="41" style="21" width="9.14"/>
    <col collapsed="false" customWidth="true" hidden="false" outlineLevel="0" max="42" min="42" style="21" width="9.99"/>
    <col collapsed="false" customWidth="true" hidden="false" outlineLevel="0" max="46" min="43" style="21" width="10.13"/>
    <col collapsed="false" customWidth="true" hidden="true" outlineLevel="0" max="52" min="47" style="21" width="10.13"/>
    <col collapsed="false" customWidth="true" hidden="true" outlineLevel="0" max="53" min="53" style="21" width="9.06"/>
    <col collapsed="false" customWidth="true" hidden="true" outlineLevel="0" max="54" min="54" style="21" width="9.99"/>
    <col collapsed="false" customWidth="true" hidden="true" outlineLevel="0" max="55" min="55" style="21" width="9.06"/>
    <col collapsed="false" customWidth="true" hidden="true" outlineLevel="0" max="56" min="56" style="21" width="9.99"/>
    <col collapsed="false" customWidth="true" hidden="true" outlineLevel="0" max="57" min="57" style="21" width="9.06"/>
    <col collapsed="false" customWidth="true" hidden="true" outlineLevel="0" max="58" min="58" style="21" width="9.99"/>
    <col collapsed="false" customWidth="true" hidden="true" outlineLevel="0" max="59" min="59" style="21" width="9.06"/>
    <col collapsed="false" customWidth="true" hidden="true" outlineLevel="0" max="60" min="60" style="21" width="9.99"/>
    <col collapsed="false" customWidth="true" hidden="true" outlineLevel="0" max="61" min="61" style="21" width="9.06"/>
    <col collapsed="false" customWidth="true" hidden="true" outlineLevel="0" max="62" min="62" style="21" width="9.99"/>
    <col collapsed="false" customWidth="true" hidden="true" outlineLevel="0" max="63" min="63" style="21" width="9.06"/>
    <col collapsed="false" customWidth="true" hidden="true" outlineLevel="0" max="64" min="64" style="21" width="9.99"/>
    <col collapsed="false" customWidth="true" hidden="true" outlineLevel="0" max="65" min="65" style="21" width="9.06"/>
    <col collapsed="false" customWidth="true" hidden="true" outlineLevel="0" max="66" min="66" style="21" width="9.99"/>
    <col collapsed="false" customWidth="true" hidden="true" outlineLevel="0" max="67" min="67" style="21" width="9.06"/>
    <col collapsed="false" customWidth="true" hidden="true" outlineLevel="0" max="68" min="68" style="21" width="9.99"/>
    <col collapsed="false" customWidth="true" hidden="true" outlineLevel="0" max="69" min="69" style="21" width="9.06"/>
    <col collapsed="false" customWidth="true" hidden="true" outlineLevel="0" max="70" min="70" style="21" width="9.99"/>
    <col collapsed="false" customWidth="true" hidden="true" outlineLevel="0" max="71" min="71" style="21" width="9.06"/>
    <col collapsed="false" customWidth="true" hidden="true" outlineLevel="0" max="72" min="72" style="21" width="9.99"/>
    <col collapsed="false" customWidth="true" hidden="true" outlineLevel="0" max="89" min="73" style="21" width="9.06"/>
    <col collapsed="false" customWidth="true" hidden="true" outlineLevel="0" max="90" min="90" style="21" width="10.99"/>
    <col collapsed="false" customWidth="true" hidden="true" outlineLevel="0" max="91" min="91" style="21" width="14.41"/>
    <col collapsed="false" customWidth="true" hidden="true" outlineLevel="0" max="97" min="92" style="21" width="9.06"/>
    <col collapsed="false" customWidth="true" hidden="true" outlineLevel="0" max="98" min="98" style="21" width="9.99"/>
    <col collapsed="false" customWidth="true" hidden="true" outlineLevel="0" max="99" min="99" style="21" width="9.06"/>
    <col collapsed="false" customWidth="true" hidden="true" outlineLevel="0" max="100" min="100" style="21" width="9.99"/>
    <col collapsed="false" customWidth="true" hidden="true" outlineLevel="0" max="101" min="101" style="21" width="9.06"/>
    <col collapsed="false" customWidth="true" hidden="true" outlineLevel="0" max="102" min="102" style="21" width="9.99"/>
    <col collapsed="false" customWidth="false" hidden="false" outlineLevel="0" max="105" min="103" style="21" width="9.14"/>
    <col collapsed="false" customWidth="true" hidden="false" outlineLevel="0" max="106" min="106" style="21" width="10.99"/>
    <col collapsed="false" customWidth="true" hidden="false" outlineLevel="0" max="107" min="107" style="21" width="14.41"/>
    <col collapsed="false" customWidth="false" hidden="false" outlineLevel="0" max="108" min="108" style="21" width="9.14"/>
    <col collapsed="false" customWidth="true" hidden="false" outlineLevel="0" max="109" min="109" style="21" width="17.28"/>
    <col collapsed="false" customWidth="false" hidden="false" outlineLevel="0" max="114" min="110" style="21" width="9.14"/>
    <col collapsed="false" customWidth="true" hidden="false" outlineLevel="0" max="115" min="115" style="21" width="10.99"/>
    <col collapsed="false" customWidth="false" hidden="false" outlineLevel="0" max="257" min="116" style="21" width="9.14"/>
  </cols>
  <sheetData>
    <row r="1" customFormat="false" ht="15.75" hidden="false" customHeight="false" outlineLevel="0" collapsed="false">
      <c r="AH1" s="21"/>
      <c r="AI1" s="21"/>
      <c r="AJ1" s="21"/>
      <c r="AK1" s="21"/>
    </row>
    <row r="2" customFormat="false" ht="25.5" hidden="false" customHeight="false" outlineLevel="0" collapsed="false">
      <c r="A2" s="259" t="s">
        <v>40</v>
      </c>
      <c r="N2" s="26"/>
      <c r="AH2" s="21"/>
      <c r="AI2" s="21"/>
      <c r="AJ2" s="21"/>
      <c r="AK2" s="21"/>
    </row>
    <row r="3" customFormat="false" ht="16.5" hidden="false" customHeight="false" outlineLevel="0" collapsed="false">
      <c r="N3" s="26"/>
      <c r="AH3" s="21"/>
      <c r="AI3" s="21"/>
      <c r="AJ3" s="21"/>
      <c r="AK3" s="21"/>
    </row>
    <row r="4" customFormat="false" ht="16.5" hidden="false" customHeight="false" outlineLevel="0" collapsed="false">
      <c r="I4" s="28" t="s">
        <v>41</v>
      </c>
      <c r="J4" s="29" t="s">
        <v>42</v>
      </c>
      <c r="K4" s="29"/>
      <c r="N4" s="26"/>
      <c r="S4" s="24"/>
      <c r="T4" s="24"/>
      <c r="AH4" s="21"/>
      <c r="AI4" s="21"/>
      <c r="AJ4" s="21"/>
      <c r="AK4" s="21"/>
    </row>
    <row r="5" customFormat="false" ht="13.5" hidden="false" customHeight="false" outlineLevel="0" collapsed="false">
      <c r="A5" s="31" t="s">
        <v>43</v>
      </c>
      <c r="B5" s="32" t="n">
        <f aca="false">[3]Top!$B$4</f>
        <v>37134</v>
      </c>
      <c r="I5" s="33" t="s">
        <v>44</v>
      </c>
      <c r="J5" s="34" t="s">
        <v>45</v>
      </c>
      <c r="K5" s="34" t="s">
        <v>46</v>
      </c>
      <c r="S5" s="24"/>
      <c r="T5" s="24"/>
      <c r="U5" s="35"/>
      <c r="AH5" s="21"/>
      <c r="AI5" s="21"/>
      <c r="AJ5" s="21"/>
      <c r="AK5" s="21"/>
    </row>
    <row r="6" customFormat="false" ht="16.5" hidden="false" customHeight="false" outlineLevel="0" collapsed="false">
      <c r="A6" s="36" t="s">
        <v>47</v>
      </c>
      <c r="B6" s="37" t="n">
        <f aca="false">[3]Top!$B$5</f>
        <v>37133</v>
      </c>
      <c r="E6" s="38"/>
      <c r="I6" s="39" t="n">
        <f aca="false">SUM(I12:I56)</f>
        <v>-203136.282627643</v>
      </c>
      <c r="J6" s="39" t="n">
        <f aca="false">SUM(J12:J56)</f>
        <v>42000</v>
      </c>
      <c r="K6" s="39" t="n">
        <f aca="false">SUM(K12:K56)</f>
        <v>-161136.282627643</v>
      </c>
      <c r="S6" s="24"/>
      <c r="T6" s="24"/>
      <c r="U6" s="35"/>
      <c r="AH6" s="21"/>
      <c r="AI6" s="21"/>
      <c r="AJ6" s="21"/>
      <c r="AK6" s="21"/>
    </row>
    <row r="7" customFormat="false" ht="33" hidden="false" customHeight="false" outlineLevel="0" collapsed="false">
      <c r="D7" s="321" t="s">
        <v>94</v>
      </c>
      <c r="E7" s="322"/>
      <c r="F7" s="322"/>
      <c r="G7" s="322"/>
      <c r="N7" s="21" t="s">
        <v>39</v>
      </c>
      <c r="S7" s="24"/>
      <c r="T7" s="24"/>
      <c r="U7" s="35"/>
      <c r="AH7" s="21"/>
      <c r="AI7" s="21"/>
      <c r="AJ7" s="21"/>
      <c r="AK7" s="21"/>
    </row>
    <row r="8" customFormat="false" ht="13.5" hidden="false" customHeight="false" outlineLevel="0" collapsed="false">
      <c r="P8" s="43"/>
      <c r="Q8" s="43"/>
      <c r="R8" s="43"/>
      <c r="S8" s="24"/>
      <c r="T8" s="24"/>
      <c r="U8" s="35"/>
      <c r="AH8" s="21"/>
      <c r="AI8" s="21"/>
      <c r="AJ8" s="21"/>
      <c r="AK8" s="21"/>
    </row>
    <row r="9" customFormat="false" ht="25.5" hidden="false" customHeight="true" outlineLevel="0" collapsed="false">
      <c r="H9" s="44"/>
      <c r="L9" s="24"/>
      <c r="P9" s="43"/>
      <c r="Q9" s="45" t="b">
        <f aca="false">FALSE()</f>
        <v>0</v>
      </c>
      <c r="R9" s="43"/>
      <c r="S9" s="24"/>
      <c r="T9" s="24"/>
      <c r="U9" s="35"/>
      <c r="AH9" s="21"/>
      <c r="AI9" s="21"/>
      <c r="AJ9" s="21"/>
      <c r="AK9" s="21"/>
    </row>
    <row r="10" customFormat="false" ht="13.5" hidden="false" customHeight="false" outlineLevel="0" collapsed="false">
      <c r="A10" s="28"/>
      <c r="B10" s="28" t="s">
        <v>48</v>
      </c>
      <c r="C10" s="28" t="s">
        <v>49</v>
      </c>
      <c r="D10" s="28" t="s">
        <v>50</v>
      </c>
      <c r="E10" s="28" t="s">
        <v>51</v>
      </c>
      <c r="F10" s="28" t="s">
        <v>52</v>
      </c>
      <c r="G10" s="28" t="s">
        <v>49</v>
      </c>
      <c r="H10" s="28" t="s">
        <v>53</v>
      </c>
      <c r="I10" s="28" t="s">
        <v>41</v>
      </c>
      <c r="J10" s="29" t="s">
        <v>54</v>
      </c>
      <c r="K10" s="29"/>
      <c r="L10" s="24"/>
      <c r="M10" s="46"/>
      <c r="N10" s="46"/>
      <c r="O10" s="46"/>
      <c r="P10" s="28" t="s">
        <v>55</v>
      </c>
      <c r="Q10" s="28" t="s">
        <v>56</v>
      </c>
      <c r="R10" s="28" t="s">
        <v>53</v>
      </c>
      <c r="S10" s="24"/>
      <c r="T10" s="24"/>
      <c r="U10" s="35"/>
      <c r="V10" s="47"/>
      <c r="W10" s="28" t="n">
        <v>1</v>
      </c>
      <c r="X10" s="28"/>
      <c r="Y10" s="28" t="n">
        <v>2</v>
      </c>
      <c r="Z10" s="28"/>
      <c r="AA10" s="28" t="n">
        <v>3</v>
      </c>
      <c r="AB10" s="28"/>
      <c r="AC10" s="28" t="n">
        <v>4</v>
      </c>
      <c r="AD10" s="28"/>
      <c r="AE10" s="28" t="n">
        <v>5</v>
      </c>
      <c r="AF10" s="28"/>
      <c r="AG10" s="28" t="n">
        <v>6</v>
      </c>
      <c r="AH10" s="28"/>
      <c r="AI10" s="28" t="n">
        <v>7</v>
      </c>
      <c r="AJ10" s="28"/>
      <c r="AK10" s="28" t="n">
        <v>8</v>
      </c>
      <c r="AL10" s="28"/>
      <c r="AM10" s="28" t="n">
        <v>9</v>
      </c>
      <c r="AN10" s="28"/>
      <c r="AO10" s="28" t="n">
        <v>10</v>
      </c>
      <c r="AP10" s="28"/>
      <c r="AQ10" s="28" t="n">
        <v>11</v>
      </c>
      <c r="AR10" s="28"/>
      <c r="AS10" s="28" t="n">
        <v>12</v>
      </c>
      <c r="AT10" s="28"/>
      <c r="AU10" s="28" t="n">
        <v>13</v>
      </c>
      <c r="AV10" s="28"/>
      <c r="AW10" s="28" t="n">
        <v>14</v>
      </c>
      <c r="AX10" s="28"/>
      <c r="AY10" s="28" t="n">
        <v>15</v>
      </c>
      <c r="AZ10" s="28"/>
      <c r="BA10" s="28" t="n">
        <v>16</v>
      </c>
      <c r="BB10" s="28"/>
      <c r="BC10" s="28" t="n">
        <v>17</v>
      </c>
      <c r="BD10" s="28"/>
      <c r="BE10" s="28" t="n">
        <v>18</v>
      </c>
      <c r="BF10" s="28"/>
      <c r="BG10" s="28" t="n">
        <v>19</v>
      </c>
      <c r="BH10" s="28"/>
      <c r="BI10" s="28" t="n">
        <v>20</v>
      </c>
      <c r="BJ10" s="28"/>
      <c r="BK10" s="28" t="n">
        <v>21</v>
      </c>
      <c r="BL10" s="28"/>
      <c r="BM10" s="28" t="n">
        <v>22</v>
      </c>
      <c r="BN10" s="28"/>
      <c r="BO10" s="28" t="n">
        <v>23</v>
      </c>
      <c r="BP10" s="28"/>
      <c r="BQ10" s="28" t="n">
        <v>24</v>
      </c>
      <c r="BR10" s="28"/>
      <c r="BS10" s="28" t="n">
        <v>25</v>
      </c>
      <c r="BT10" s="28"/>
      <c r="BU10" s="28" t="n">
        <v>26</v>
      </c>
      <c r="BV10" s="28"/>
      <c r="BW10" s="28" t="n">
        <v>27</v>
      </c>
      <c r="BX10" s="28"/>
      <c r="BY10" s="28" t="n">
        <v>28</v>
      </c>
      <c r="BZ10" s="28"/>
      <c r="CA10" s="28" t="n">
        <v>29</v>
      </c>
      <c r="CB10" s="28"/>
      <c r="CC10" s="28" t="n">
        <v>30</v>
      </c>
      <c r="CD10" s="28"/>
      <c r="CE10" s="28" t="n">
        <v>31</v>
      </c>
      <c r="CF10" s="28"/>
      <c r="CG10" s="28" t="n">
        <v>32</v>
      </c>
      <c r="CH10" s="28"/>
      <c r="CI10" s="28" t="n">
        <v>33</v>
      </c>
      <c r="CJ10" s="28"/>
      <c r="CK10" s="28" t="n">
        <v>34</v>
      </c>
      <c r="CL10" s="28"/>
      <c r="CM10" s="28" t="n">
        <v>35</v>
      </c>
      <c r="CN10" s="28"/>
      <c r="CO10" s="28" t="n">
        <v>36</v>
      </c>
      <c r="CP10" s="28"/>
      <c r="CQ10" s="28" t="n">
        <v>37</v>
      </c>
      <c r="CR10" s="28"/>
      <c r="CS10" s="28" t="n">
        <v>38</v>
      </c>
      <c r="CT10" s="28"/>
      <c r="CU10" s="28" t="n">
        <v>39</v>
      </c>
      <c r="CV10" s="28"/>
      <c r="CW10" s="28" t="n">
        <v>40</v>
      </c>
      <c r="CX10" s="28"/>
      <c r="CY10" s="48" t="s">
        <v>57</v>
      </c>
      <c r="CZ10" s="49" t="s">
        <v>58</v>
      </c>
      <c r="DA10" s="50"/>
      <c r="DB10" s="50"/>
      <c r="DC10" s="50" t="s">
        <v>59</v>
      </c>
      <c r="DD10" s="50" t="s">
        <v>60</v>
      </c>
      <c r="DE10" s="50" t="s">
        <v>61</v>
      </c>
      <c r="DF10" s="50" t="s">
        <v>62</v>
      </c>
      <c r="DG10" s="50" t="s">
        <v>62</v>
      </c>
      <c r="DH10" s="50" t="s">
        <v>63</v>
      </c>
      <c r="DI10" s="50" t="s">
        <v>63</v>
      </c>
      <c r="DL10" s="51" t="s">
        <v>52</v>
      </c>
    </row>
    <row r="11" customFormat="false" ht="13.5" hidden="false" customHeight="false" outlineLevel="0" collapsed="false">
      <c r="A11" s="52" t="s">
        <v>64</v>
      </c>
      <c r="B11" s="34" t="s">
        <v>68</v>
      </c>
      <c r="C11" s="33" t="s">
        <v>66</v>
      </c>
      <c r="D11" s="33" t="s">
        <v>87</v>
      </c>
      <c r="E11" s="33" t="s">
        <v>68</v>
      </c>
      <c r="F11" s="33" t="s">
        <v>69</v>
      </c>
      <c r="G11" s="33" t="s">
        <v>70</v>
      </c>
      <c r="H11" s="33" t="s">
        <v>69</v>
      </c>
      <c r="I11" s="33" t="s">
        <v>44</v>
      </c>
      <c r="J11" s="34" t="s">
        <v>45</v>
      </c>
      <c r="K11" s="34" t="s">
        <v>46</v>
      </c>
      <c r="L11" s="24"/>
      <c r="M11" s="52" t="s">
        <v>64</v>
      </c>
      <c r="N11" s="52" t="s">
        <v>71</v>
      </c>
      <c r="O11" s="52" t="s">
        <v>72</v>
      </c>
      <c r="P11" s="33" t="s">
        <v>56</v>
      </c>
      <c r="Q11" s="33" t="s">
        <v>73</v>
      </c>
      <c r="R11" s="33" t="s">
        <v>69</v>
      </c>
      <c r="S11" s="24"/>
      <c r="T11" s="24"/>
      <c r="U11" s="35"/>
      <c r="V11" s="33" t="s">
        <v>64</v>
      </c>
      <c r="W11" s="53" t="s">
        <v>74</v>
      </c>
      <c r="X11" s="34" t="s">
        <v>69</v>
      </c>
      <c r="Y11" s="53" t="s">
        <v>74</v>
      </c>
      <c r="Z11" s="34" t="s">
        <v>69</v>
      </c>
      <c r="AA11" s="53" t="s">
        <v>74</v>
      </c>
      <c r="AB11" s="34" t="s">
        <v>69</v>
      </c>
      <c r="AC11" s="53" t="s">
        <v>74</v>
      </c>
      <c r="AD11" s="34" t="s">
        <v>69</v>
      </c>
      <c r="AE11" s="53" t="s">
        <v>74</v>
      </c>
      <c r="AF11" s="34" t="s">
        <v>69</v>
      </c>
      <c r="AG11" s="53" t="s">
        <v>74</v>
      </c>
      <c r="AH11" s="34" t="s">
        <v>69</v>
      </c>
      <c r="AI11" s="53" t="s">
        <v>74</v>
      </c>
      <c r="AJ11" s="34" t="s">
        <v>69</v>
      </c>
      <c r="AK11" s="53" t="s">
        <v>74</v>
      </c>
      <c r="AL11" s="34" t="s">
        <v>69</v>
      </c>
      <c r="AM11" s="53" t="s">
        <v>74</v>
      </c>
      <c r="AN11" s="34" t="s">
        <v>69</v>
      </c>
      <c r="AO11" s="53" t="s">
        <v>74</v>
      </c>
      <c r="AP11" s="34" t="s">
        <v>69</v>
      </c>
      <c r="AQ11" s="53" t="s">
        <v>74</v>
      </c>
      <c r="AR11" s="34" t="s">
        <v>69</v>
      </c>
      <c r="AS11" s="53" t="s">
        <v>74</v>
      </c>
      <c r="AT11" s="34" t="s">
        <v>69</v>
      </c>
      <c r="AU11" s="54" t="s">
        <v>74</v>
      </c>
      <c r="AV11" s="55" t="s">
        <v>69</v>
      </c>
      <c r="AW11" s="53" t="s">
        <v>74</v>
      </c>
      <c r="AX11" s="34" t="s">
        <v>69</v>
      </c>
      <c r="AY11" s="53" t="s">
        <v>74</v>
      </c>
      <c r="AZ11" s="34" t="s">
        <v>69</v>
      </c>
      <c r="BA11" s="53" t="s">
        <v>74</v>
      </c>
      <c r="BB11" s="34" t="s">
        <v>69</v>
      </c>
      <c r="BC11" s="53" t="s">
        <v>74</v>
      </c>
      <c r="BD11" s="34" t="s">
        <v>69</v>
      </c>
      <c r="BE11" s="53" t="s">
        <v>74</v>
      </c>
      <c r="BF11" s="34" t="s">
        <v>69</v>
      </c>
      <c r="BG11" s="53" t="s">
        <v>74</v>
      </c>
      <c r="BH11" s="34" t="s">
        <v>69</v>
      </c>
      <c r="BI11" s="53" t="s">
        <v>74</v>
      </c>
      <c r="BJ11" s="34" t="s">
        <v>69</v>
      </c>
      <c r="BK11" s="53" t="s">
        <v>74</v>
      </c>
      <c r="BL11" s="34" t="s">
        <v>69</v>
      </c>
      <c r="BM11" s="53" t="s">
        <v>74</v>
      </c>
      <c r="BN11" s="34" t="s">
        <v>69</v>
      </c>
      <c r="BO11" s="53" t="s">
        <v>74</v>
      </c>
      <c r="BP11" s="34" t="s">
        <v>69</v>
      </c>
      <c r="BQ11" s="53" t="s">
        <v>74</v>
      </c>
      <c r="BR11" s="34" t="s">
        <v>69</v>
      </c>
      <c r="BS11" s="53" t="s">
        <v>74</v>
      </c>
      <c r="BT11" s="34" t="s">
        <v>69</v>
      </c>
      <c r="BU11" s="53" t="s">
        <v>74</v>
      </c>
      <c r="BV11" s="34" t="s">
        <v>69</v>
      </c>
      <c r="BW11" s="53" t="s">
        <v>74</v>
      </c>
      <c r="BX11" s="34" t="s">
        <v>69</v>
      </c>
      <c r="BY11" s="53" t="s">
        <v>74</v>
      </c>
      <c r="BZ11" s="34" t="s">
        <v>69</v>
      </c>
      <c r="CA11" s="53" t="s">
        <v>74</v>
      </c>
      <c r="CB11" s="34" t="s">
        <v>69</v>
      </c>
      <c r="CC11" s="53" t="s">
        <v>74</v>
      </c>
      <c r="CD11" s="34" t="s">
        <v>69</v>
      </c>
      <c r="CE11" s="53" t="s">
        <v>74</v>
      </c>
      <c r="CF11" s="34" t="s">
        <v>69</v>
      </c>
      <c r="CG11" s="53" t="s">
        <v>74</v>
      </c>
      <c r="CH11" s="34" t="s">
        <v>69</v>
      </c>
      <c r="CI11" s="53" t="s">
        <v>74</v>
      </c>
      <c r="CJ11" s="34" t="s">
        <v>69</v>
      </c>
      <c r="CK11" s="53" t="s">
        <v>74</v>
      </c>
      <c r="CL11" s="34" t="s">
        <v>69</v>
      </c>
      <c r="CM11" s="53" t="s">
        <v>74</v>
      </c>
      <c r="CN11" s="34" t="s">
        <v>69</v>
      </c>
      <c r="CO11" s="53" t="s">
        <v>74</v>
      </c>
      <c r="CP11" s="34" t="s">
        <v>69</v>
      </c>
      <c r="CQ11" s="53" t="s">
        <v>74</v>
      </c>
      <c r="CR11" s="34" t="s">
        <v>69</v>
      </c>
      <c r="CS11" s="53" t="s">
        <v>74</v>
      </c>
      <c r="CT11" s="34" t="s">
        <v>69</v>
      </c>
      <c r="CU11" s="53" t="s">
        <v>74</v>
      </c>
      <c r="CV11" s="34" t="s">
        <v>69</v>
      </c>
      <c r="CW11" s="53" t="s">
        <v>74</v>
      </c>
      <c r="CX11" s="34" t="s">
        <v>69</v>
      </c>
      <c r="CY11" s="56" t="s">
        <v>74</v>
      </c>
      <c r="CZ11" s="57" t="s">
        <v>69</v>
      </c>
      <c r="DA11" s="50"/>
      <c r="DB11" s="50"/>
      <c r="DC11" s="50" t="s">
        <v>75</v>
      </c>
      <c r="DD11" s="50" t="s">
        <v>76</v>
      </c>
      <c r="DE11" s="50"/>
      <c r="DF11" s="50" t="n">
        <v>1</v>
      </c>
      <c r="DG11" s="50" t="n">
        <v>2</v>
      </c>
      <c r="DH11" s="50" t="n">
        <v>1</v>
      </c>
      <c r="DI11" s="50" t="n">
        <v>2</v>
      </c>
      <c r="DL11" s="51" t="s">
        <v>77</v>
      </c>
      <c r="DN11" s="51" t="s">
        <v>78</v>
      </c>
    </row>
    <row r="12" customFormat="false" ht="18.75" hidden="false" customHeight="false" outlineLevel="0" collapsed="false">
      <c r="A12" s="58" t="n">
        <f aca="false">'NYISO A'!A12</f>
        <v>37135</v>
      </c>
      <c r="B12" s="59" t="n">
        <f aca="false">+[3]WestHub!$L3/16+[3]PJM!$L3/16</f>
        <v>0</v>
      </c>
      <c r="C12" s="60" t="n">
        <f aca="false">CY12</f>
        <v>0</v>
      </c>
      <c r="D12" s="61" t="n">
        <f aca="false">($AP$65+IF(MONTH(A12)=MONTH(EOMONTH(TradeDate,1)),$AP$66,0))*VLOOKUP(A12,$DK$12:$DN$43,4)</f>
        <v>0</v>
      </c>
      <c r="E12" s="323" t="n">
        <f aca="false">+B12+C12+D12</f>
        <v>0</v>
      </c>
      <c r="F12" s="63" t="n">
        <f aca="false">[3]WestHub!$C3</f>
        <v>24.5</v>
      </c>
      <c r="G12" s="63" t="n">
        <f aca="false">IF($Q$9,Q12,P12)</f>
        <v>13.25</v>
      </c>
      <c r="H12" s="64" t="n">
        <f aca="false">F12+G12</f>
        <v>37.75</v>
      </c>
      <c r="I12" s="65" t="n">
        <f aca="false">B12*G12*DD12</f>
        <v>0</v>
      </c>
      <c r="J12" s="66" t="n">
        <f aca="false">DH12+DI12+$AP$67</f>
        <v>0</v>
      </c>
      <c r="K12" s="66" t="n">
        <f aca="false">I12+J12</f>
        <v>0</v>
      </c>
      <c r="L12" s="24"/>
      <c r="M12" s="67" t="n">
        <f aca="false">A12</f>
        <v>37135</v>
      </c>
      <c r="N12" s="68" t="n">
        <v>37.75</v>
      </c>
      <c r="O12" s="68" t="n">
        <v>37.75</v>
      </c>
      <c r="P12" s="69" t="n">
        <f aca="false">AVERAGE(N12:O12)-F12</f>
        <v>13.25</v>
      </c>
      <c r="Q12" s="70"/>
      <c r="R12" s="71" t="n">
        <f aca="false">H12</f>
        <v>37.75</v>
      </c>
      <c r="S12" s="24"/>
      <c r="T12" s="0"/>
      <c r="U12" s="72"/>
      <c r="V12" s="73" t="n">
        <f aca="false">A12</f>
        <v>37135</v>
      </c>
      <c r="W12" s="77"/>
      <c r="X12" s="97"/>
      <c r="Y12" s="77"/>
      <c r="Z12" s="78"/>
      <c r="AA12" s="77"/>
      <c r="AB12" s="78"/>
      <c r="AC12" s="77"/>
      <c r="AD12" s="78"/>
      <c r="AE12" s="77"/>
      <c r="AF12" s="78"/>
      <c r="AG12" s="77"/>
      <c r="AH12" s="78"/>
      <c r="AI12" s="77"/>
      <c r="AJ12" s="78"/>
      <c r="AK12" s="77"/>
      <c r="AL12" s="78"/>
      <c r="AM12" s="77"/>
      <c r="AN12" s="78"/>
      <c r="AO12" s="77"/>
      <c r="AP12" s="78"/>
      <c r="AQ12" s="77"/>
      <c r="AR12" s="78"/>
      <c r="AS12" s="77"/>
      <c r="AT12" s="160"/>
      <c r="AU12" s="139"/>
      <c r="AV12" s="140"/>
      <c r="AW12" s="96"/>
      <c r="AX12" s="75"/>
      <c r="AY12" s="81"/>
      <c r="AZ12" s="75"/>
      <c r="BA12" s="81"/>
      <c r="BB12" s="75"/>
      <c r="BC12" s="81"/>
      <c r="BD12" s="75"/>
      <c r="BE12" s="81"/>
      <c r="BF12" s="75"/>
      <c r="BG12" s="81"/>
      <c r="BH12" s="75"/>
      <c r="BI12" s="81"/>
      <c r="BJ12" s="75"/>
      <c r="BK12" s="81"/>
      <c r="BL12" s="75"/>
      <c r="BM12" s="81"/>
      <c r="BN12" s="75"/>
      <c r="BO12" s="81"/>
      <c r="BP12" s="75"/>
      <c r="BQ12" s="81"/>
      <c r="BR12" s="75"/>
      <c r="BS12" s="81"/>
      <c r="BT12" s="75"/>
      <c r="BU12" s="81"/>
      <c r="BV12" s="75"/>
      <c r="BW12" s="81"/>
      <c r="BX12" s="75"/>
      <c r="BY12" s="81"/>
      <c r="BZ12" s="75"/>
      <c r="CA12" s="81"/>
      <c r="CB12" s="75"/>
      <c r="CC12" s="81"/>
      <c r="CD12" s="75"/>
      <c r="CE12" s="81"/>
      <c r="CF12" s="75"/>
      <c r="CG12" s="81"/>
      <c r="CH12" s="75"/>
      <c r="CI12" s="81"/>
      <c r="CJ12" s="75"/>
      <c r="CK12" s="81"/>
      <c r="CL12" s="75"/>
      <c r="CM12" s="81"/>
      <c r="CN12" s="75"/>
      <c r="CO12" s="81"/>
      <c r="CP12" s="75"/>
      <c r="CQ12" s="81"/>
      <c r="CR12" s="75"/>
      <c r="CS12" s="81"/>
      <c r="CT12" s="75"/>
      <c r="CU12" s="81"/>
      <c r="CV12" s="75"/>
      <c r="CW12" s="81"/>
      <c r="CX12" s="75"/>
      <c r="CY12" s="82" t="n">
        <f aca="false">W12+Y12+AA12+AC12+AE12+AG12+AI12+AK12+AM12+AO12+AQ12+AS12+AU12+AW12+AY12+BA12+BC12+BE12+BG12+BI12+BK12+BM12+BO12+BQ12+BS12+BU12+BW12+BY12+CA12+CC12+CE12+CG12+CI12+CK12+CM12+CO12+CQ12+CS12+CU12+CW12</f>
        <v>0</v>
      </c>
      <c r="CZ12" s="83" t="n">
        <f aca="false">IF(AND(CY12=0,DC12=0),0,(DF12+DG12)/DC12)</f>
        <v>0</v>
      </c>
      <c r="DA12" s="84" t="n">
        <f aca="false">DC12*DD12</f>
        <v>0</v>
      </c>
      <c r="DB12" s="85" t="n">
        <f aca="false">V12</f>
        <v>37135</v>
      </c>
      <c r="DC12" s="84" t="n">
        <f aca="false">ABS(W12)+ABS(Y12)+ABS(AA12)+ABS(AC12)+ABS(AE12)+ABS(AG12)+ABS(AI12)+ABS(AK12)+ABS(AM12)+ABS(AO12)+ABS(AQ12)+ABS(AS12)+ABS(AU12)+ABS(AW12)+ABS(AY12)+ABS(BA12)+ABS(BC12)+ABS(BE12)+ABS(BG12)+ABS(BI12)+ABS(BK12)+ABS(BM12)+ABS(BO12)+ABS(BQ12)+ABS(BS12)+ABS(BU12)+ABS(BW12)+ABS(BY12)+ABS(CA12)+ABS(CC12)+ABS(CE12)+ABS(CG12)+ABS(CI12)+ABS(CK12)+ABS(CM12)+ABS(CO12)+ABS(CQ12)+ABS(CS12)+ABS(CU12)+ABS(CW12)</f>
        <v>0</v>
      </c>
      <c r="DD12" s="86" t="n">
        <v>16</v>
      </c>
      <c r="DE12" s="84" t="n">
        <v>1</v>
      </c>
      <c r="DF12" s="43" t="n">
        <f aca="false">(ABS(W12)*X12+ABS(Y12)*Z12+ABS(AA12)*AB12+ABS(AC12)*AD12+ABS(AE12)*AF12+ABS(AG12)*AH12+ABS(AI12)*AJ12+ABS(AK12)*AL12+ABS(AM12)*AN12+ABS(AO12)*AP12+ABS(AQ12)*AR12+ABS(AS12)*AT12+ABS(AU12)*AV12+ABS(AW12)*AX12+ABS(AY12)*AZ12+ABS(BA12)*BB12+ABS(BC12)*BD12+ABS(BE12)*BF12+ABS(BG12)*BH12+ABS(BI12)*BJ12)</f>
        <v>0</v>
      </c>
      <c r="DG12" s="43" t="n">
        <f aca="false">ABS(BK12)*BL12+ABS(BM12)*BN12+ABS(BO12)*BP12+ABS(BQ12)*BR12+ABS(BS12)*BT12+ABS(BU12)*BV12+ABS(BW12)*BX12+ABS(BY12)*BZ12+ABS(CA12)*CB12+ABS(CC12)*CD12+ABS(CE12)*CF12+ABS(CG12)*CH12+ABS(CI12)*CJ12+ABS(CK12)*CL12+ABS(CM12)*CN12+ABS(CO12)*CP12+ABS(CQ12)*CR12+ABS(CS12)*CT12+ABS(CU12)*CV12+ABS(CW12)*CX12</f>
        <v>0</v>
      </c>
      <c r="DH12" s="43" t="n">
        <f aca="false">((H12-X12)*W12+(H12-Z12)*Y12+(H12-AB12)*AA12+(H12-AD12)*AC12+(H12-AF12)*AE12+(H12-AH12)*AG12+(H12-AJ12)*AI12+(H12-AL12)*AK12+(H12-AN12)*AM12+(H12-AP12)*AO12+(H12-AR12)*AQ12+(H12-AT12)*AS12+(H12-AV12)*AU12+(H12-AX12)*AW12+(H12-AZ12)*AY12+(H12-BB12)*BA12+(H12-BD12)*BC12+(H12-BF12)*BE12+(H12-BH12)*BG12+(H12-BJ12)*BI12)*DD12*DE12</f>
        <v>0</v>
      </c>
      <c r="DI12" s="43" t="n">
        <f aca="false">(((H12-BL12)*BK12+(H12-BN12)*BM12+(H12-BP12)*BO12+(H12-BR12)*BQ12+(H12-BT12)*BS12+(H12-BV12)*BU12+(H12-BX12)*BW12+(H12-BZ12)*BY12+(H12-CB12)*CA12+(H12-CD12)*CC12+(H12-CF12)*CE12+(H12-CH12)*CG12+(H12-CJ12)*CH12+(H12-CL12)*CK12+(H12-CN12)*CM12+(H12-CP12)*CO12+(H12-CR12)*CQ12+(H12-CT12)*CS12+(H12-CV12)*CU12+(H12-CX12)*CW12)*DD12*DE12)</f>
        <v>0</v>
      </c>
      <c r="DK12" s="85" t="n">
        <v>36839</v>
      </c>
      <c r="DL12" s="21" t="n">
        <v>0</v>
      </c>
      <c r="DN12" s="21" t="n">
        <f aca="false">IF(AND(WEEKDAY(DK12)&gt;1,WEEKDAY(DK12)&lt;7),1,0)</f>
        <v>1</v>
      </c>
    </row>
    <row r="13" customFormat="false" ht="18.75" hidden="false" customHeight="false" outlineLevel="0" collapsed="false">
      <c r="A13" s="58" t="n">
        <f aca="false">'NYISO A'!A13</f>
        <v>37136</v>
      </c>
      <c r="B13" s="59" t="n">
        <f aca="false">+[3]WestHub!$L4/16+[3]PJM!$L4/16</f>
        <v>0</v>
      </c>
      <c r="C13" s="60" t="n">
        <f aca="false">CY13</f>
        <v>0</v>
      </c>
      <c r="D13" s="87" t="n">
        <f aca="false">(IF(MONTH(A13)=MONTH(EOMONTH(TradeDate,1)),$AP$66,0)*VLOOKUP(A13,$DK$12:$DN$43,4))</f>
        <v>0</v>
      </c>
      <c r="E13" s="62" t="n">
        <f aca="false">+B13+C13+D13</f>
        <v>0</v>
      </c>
      <c r="F13" s="63" t="n">
        <f aca="false">[3]WestHub!$C4</f>
        <v>24.5</v>
      </c>
      <c r="G13" s="88" t="n">
        <f aca="false">IF($Q$9,Q13,P13)</f>
        <v>12.75</v>
      </c>
      <c r="H13" s="89" t="n">
        <f aca="false">F13+G13</f>
        <v>37.25</v>
      </c>
      <c r="I13" s="87" t="n">
        <f aca="false">B13*G13*DD13</f>
        <v>0</v>
      </c>
      <c r="J13" s="66" t="n">
        <f aca="false">DH13+DI13</f>
        <v>0</v>
      </c>
      <c r="K13" s="90" t="n">
        <f aca="false">I13+J13</f>
        <v>0</v>
      </c>
      <c r="L13" s="24"/>
      <c r="M13" s="67" t="n">
        <f aca="false">A13</f>
        <v>37136</v>
      </c>
      <c r="N13" s="68" t="n">
        <v>37.25</v>
      </c>
      <c r="O13" s="68" t="n">
        <v>37.25</v>
      </c>
      <c r="P13" s="69" t="n">
        <f aca="false">AVERAGE(N13:O13)-F13</f>
        <v>12.75</v>
      </c>
      <c r="Q13" s="70"/>
      <c r="R13" s="91" t="n">
        <f aca="false">H13</f>
        <v>37.25</v>
      </c>
      <c r="S13" s="24"/>
      <c r="T13" s="0"/>
      <c r="U13" s="72"/>
      <c r="V13" s="73" t="n">
        <f aca="false">A13</f>
        <v>37136</v>
      </c>
      <c r="W13" s="77"/>
      <c r="X13" s="76"/>
      <c r="Y13" s="77"/>
      <c r="Z13" s="78"/>
      <c r="AA13" s="77"/>
      <c r="AB13" s="99"/>
      <c r="AC13" s="77"/>
      <c r="AD13" s="78"/>
      <c r="AE13" s="77"/>
      <c r="AF13" s="99"/>
      <c r="AG13" s="77"/>
      <c r="AH13" s="99"/>
      <c r="AI13" s="77"/>
      <c r="AJ13" s="78"/>
      <c r="AK13" s="77"/>
      <c r="AL13" s="78"/>
      <c r="AM13" s="93"/>
      <c r="AN13" s="76"/>
      <c r="AO13" s="93"/>
      <c r="AP13" s="97"/>
      <c r="AQ13" s="93"/>
      <c r="AR13" s="97"/>
      <c r="AS13" s="77"/>
      <c r="AT13" s="160"/>
      <c r="AU13" s="94"/>
      <c r="AV13" s="95"/>
      <c r="AW13" s="96"/>
      <c r="AX13" s="75"/>
      <c r="AY13" s="81"/>
      <c r="AZ13" s="75"/>
      <c r="BA13" s="81"/>
      <c r="BB13" s="75"/>
      <c r="BC13" s="81"/>
      <c r="BD13" s="75"/>
      <c r="BE13" s="81"/>
      <c r="BF13" s="75"/>
      <c r="BG13" s="81"/>
      <c r="BH13" s="75"/>
      <c r="BI13" s="81"/>
      <c r="BJ13" s="75"/>
      <c r="BK13" s="81"/>
      <c r="BL13" s="75"/>
      <c r="BM13" s="81"/>
      <c r="BN13" s="75"/>
      <c r="BO13" s="81"/>
      <c r="BP13" s="75"/>
      <c r="BQ13" s="81"/>
      <c r="BR13" s="75"/>
      <c r="BS13" s="81"/>
      <c r="BT13" s="75"/>
      <c r="BU13" s="81"/>
      <c r="BV13" s="75"/>
      <c r="BW13" s="81"/>
      <c r="BX13" s="75"/>
      <c r="BY13" s="81"/>
      <c r="BZ13" s="75"/>
      <c r="CA13" s="81"/>
      <c r="CB13" s="75"/>
      <c r="CC13" s="81"/>
      <c r="CD13" s="75"/>
      <c r="CE13" s="81"/>
      <c r="CF13" s="75"/>
      <c r="CG13" s="81"/>
      <c r="CH13" s="75"/>
      <c r="CI13" s="81"/>
      <c r="CJ13" s="75"/>
      <c r="CK13" s="81"/>
      <c r="CL13" s="75"/>
      <c r="CM13" s="81"/>
      <c r="CN13" s="75"/>
      <c r="CO13" s="81"/>
      <c r="CP13" s="75"/>
      <c r="CQ13" s="81"/>
      <c r="CR13" s="75"/>
      <c r="CS13" s="81"/>
      <c r="CT13" s="75"/>
      <c r="CU13" s="81"/>
      <c r="CV13" s="75"/>
      <c r="CW13" s="81"/>
      <c r="CX13" s="75"/>
      <c r="CY13" s="82" t="n">
        <f aca="false">W13+Y13+AA13+AC13+AE13+AG13+AI13+AK13+AM13+AO13+AQ13+AS13+AU13+AW13+AY13+BA13+BC13+BE13+BG13+BI13+BK13+BM13+BO13+BQ13+BS13+BU13+BW13+BY13+CA13+CC13+CE13+CG13+CI13+CK13+CM13+CO13+CQ13+CS13+CU13+CW13</f>
        <v>0</v>
      </c>
      <c r="CZ13" s="83" t="n">
        <f aca="false">IF(AND(CY13=0,DC13=0),0,(DF13+DG13)/DC13)</f>
        <v>0</v>
      </c>
      <c r="DA13" s="84" t="n">
        <f aca="false">DC13*DD13</f>
        <v>0</v>
      </c>
      <c r="DB13" s="85" t="n">
        <f aca="false">V13</f>
        <v>37136</v>
      </c>
      <c r="DC13" s="84" t="n">
        <f aca="false">ABS(W13)+ABS(Y13)+ABS(AA13)+ABS(AC13)+ABS(AE13)+ABS(AG13)+ABS(AI13)+ABS(AK13)+ABS(AM13)+ABS(AO13)+ABS(AQ13)+ABS(AS13)+ABS(AU13)+ABS(AW13)+ABS(AY13)+ABS(BA13)+ABS(BC13)+ABS(BE13)+ABS(BG13)+ABS(BI13)+ABS(BK13)+ABS(BM13)+ABS(BO13)+ABS(BQ13)+ABS(BS13)+ABS(BU13)+ABS(BW13)+ABS(BY13)+ABS(CA13)+ABS(CC13)+ABS(CE13)+ABS(CG13)+ABS(CI13)+ABS(CK13)+ABS(CM13)+ABS(CO13)+ABS(CQ13)+ABS(CS13)+ABS(CU13)+ABS(CW13)</f>
        <v>0</v>
      </c>
      <c r="DD13" s="86" t="n">
        <v>16</v>
      </c>
      <c r="DE13" s="84" t="n">
        <v>1</v>
      </c>
      <c r="DF13" s="43" t="n">
        <f aca="false">(ABS(W13)*X13+ABS(Y13)*Z13+ABS(AA13)*AB13+ABS(AC13)*AD13+ABS(AE13)*AF13+ABS(AG13)*AH13+ABS(AI13)*AJ13+ABS(AK13)*AL13+ABS(AM13)*AN13+ABS(AO13)*AP13+ABS(AQ13)*AR13+ABS(AS13)*AT13+ABS(AU13)*AV13+ABS(AW13)*AX13+ABS(AY13)*AZ13+ABS(BA13)*BB13+ABS(BC13)*BD13+ABS(BE13)*BF13+ABS(BG13)*BH13+ABS(BI13)*BJ13)</f>
        <v>0</v>
      </c>
      <c r="DG13" s="43" t="n">
        <f aca="false">ABS(BK13)*BL13+ABS(BM13)*BN13+ABS(BO13)*BP13+ABS(BQ13)*BR13+ABS(BS13)*BT13+ABS(BU13)*BV13+ABS(BW13)*BX13+ABS(BY13)*BZ13+ABS(CA13)*CB13+ABS(CC13)*CD13+ABS(CE13)*CF13+ABS(CG13)*CH13+ABS(CI13)*CJ13+ABS(CK13)*CL13+ABS(CM13)*CN13+ABS(CO13)*CP13+ABS(CQ13)*CR13+ABS(CS13)*CT13+ABS(CU13)*CV13+ABS(CW13)*CX13</f>
        <v>0</v>
      </c>
      <c r="DH13" s="43" t="n">
        <f aca="false">((H13-X13)*W13+(H13-Z13)*Y13+(H13-AB13)*AA13+(H13-AD13)*AC13+(H13-AF13)*AE13+(H13-AH13)*AG13+(H13-AJ13)*AI13+(H13-AL13)*AK13+(H13-AN13)*AM13+(H13-AP13)*AO13+(H13-AR13)*AQ13+(H13-AT13)*AS13+(H13-AV13)*AU13+(H13-AX13)*AW13+(H13-AZ13)*AY13+(H13-BB13)*BA13+(H13-BD13)*BC13+(H13-BF13)*BE13+(H13-BH13)*BG13+(H13-BJ13)*BI13)*DD13*DE13</f>
        <v>0</v>
      </c>
      <c r="DI13" s="43" t="n">
        <f aca="false">(((H13-BL13)*BK13+(H13-BN13)*BM13+(H13-BP13)*BO13+(H13-BR13)*BQ13+(H13-BT13)*BS13+(H13-BV13)*BU13+(H13-BX13)*BW13+(H13-BZ13)*BY13+(H13-CB13)*CA13+(H13-CD13)*CC13+(H13-CF13)*CE13+(H13-CH13)*CG13+(H13-CJ13)*CH13+(H13-CL13)*CK13+(H13-CN13)*CM13+(H13-CP13)*CO13+(H13-CR13)*CQ13+(H13-CT13)*CS13+(H13-CV13)*CU13+(H13-CX13)*CW13)*DD13*DE13)</f>
        <v>0</v>
      </c>
      <c r="DK13" s="85" t="n">
        <v>36840</v>
      </c>
      <c r="DL13" s="21" t="n">
        <v>-49.7253837585449</v>
      </c>
      <c r="DN13" s="21" t="n">
        <f aca="false">IF(AND(WEEKDAY(DK13)&gt;1,WEEKDAY(DK13)&lt;7),1,0)</f>
        <v>1</v>
      </c>
    </row>
    <row r="14" customFormat="false" ht="18.75" hidden="false" customHeight="false" outlineLevel="0" collapsed="false">
      <c r="A14" s="58" t="n">
        <f aca="false">'NYISO A'!A14</f>
        <v>37137</v>
      </c>
      <c r="B14" s="59" t="n">
        <f aca="false">+[3]WestHub!$L5/16+[3]PJM!$L5/16</f>
        <v>0</v>
      </c>
      <c r="C14" s="60" t="n">
        <f aca="false">CY14</f>
        <v>0</v>
      </c>
      <c r="D14" s="61" t="n">
        <f aca="false">(IF(MONTH(A14)=MONTH(EOMONTH(TradeDate,1)),$AP$66,0)*VLOOKUP(A14,$DK$12:$DN$43,4))</f>
        <v>0</v>
      </c>
      <c r="E14" s="62" t="n">
        <f aca="false">+B14+C14+D14</f>
        <v>0</v>
      </c>
      <c r="F14" s="63" t="n">
        <f aca="false">[3]WestHub!$C5</f>
        <v>24.4999980926514</v>
      </c>
      <c r="G14" s="63" t="n">
        <f aca="false">IF($Q$9,Q14,P14)</f>
        <v>12.2500019073486</v>
      </c>
      <c r="H14" s="64" t="n">
        <f aca="false">F14+G14</f>
        <v>36.75</v>
      </c>
      <c r="I14" s="65" t="n">
        <f aca="false">B14*G14*DD14</f>
        <v>0</v>
      </c>
      <c r="J14" s="66" t="n">
        <f aca="false">DH14+DI14</f>
        <v>0</v>
      </c>
      <c r="K14" s="66" t="n">
        <f aca="false">I14+J14</f>
        <v>0</v>
      </c>
      <c r="L14" s="24"/>
      <c r="M14" s="67" t="n">
        <f aca="false">A14</f>
        <v>37137</v>
      </c>
      <c r="N14" s="68" t="n">
        <v>36.75</v>
      </c>
      <c r="O14" s="68" t="n">
        <v>36.75</v>
      </c>
      <c r="P14" s="69" t="n">
        <f aca="false">AVERAGE(N14:O14)-F14</f>
        <v>12.2500019073486</v>
      </c>
      <c r="Q14" s="70"/>
      <c r="R14" s="91" t="n">
        <f aca="false">H14</f>
        <v>36.75</v>
      </c>
      <c r="S14" s="24"/>
      <c r="T14" s="0"/>
      <c r="U14" s="72"/>
      <c r="V14" s="73" t="n">
        <f aca="false">A14</f>
        <v>37137</v>
      </c>
      <c r="W14" s="77"/>
      <c r="X14" s="76"/>
      <c r="Y14" s="77"/>
      <c r="Z14" s="78"/>
      <c r="AA14" s="77"/>
      <c r="AB14" s="78"/>
      <c r="AC14" s="77"/>
      <c r="AD14" s="78"/>
      <c r="AE14" s="77"/>
      <c r="AF14" s="78"/>
      <c r="AG14" s="77"/>
      <c r="AH14" s="78"/>
      <c r="AI14" s="77"/>
      <c r="AJ14" s="78"/>
      <c r="AK14" s="77"/>
      <c r="AL14" s="78"/>
      <c r="AM14" s="93"/>
      <c r="AN14" s="97"/>
      <c r="AO14" s="93"/>
      <c r="AP14" s="97"/>
      <c r="AQ14" s="93"/>
      <c r="AR14" s="97"/>
      <c r="AS14" s="77"/>
      <c r="AT14" s="160"/>
      <c r="AU14" s="94"/>
      <c r="AV14" s="95"/>
      <c r="AW14" s="96"/>
      <c r="AX14" s="75"/>
      <c r="AY14" s="81"/>
      <c r="AZ14" s="75"/>
      <c r="BA14" s="81"/>
      <c r="BB14" s="75"/>
      <c r="BC14" s="81"/>
      <c r="BD14" s="75"/>
      <c r="BE14" s="81"/>
      <c r="BF14" s="75"/>
      <c r="BG14" s="81"/>
      <c r="BH14" s="75"/>
      <c r="BI14" s="81"/>
      <c r="BJ14" s="75"/>
      <c r="BK14" s="81"/>
      <c r="BL14" s="75"/>
      <c r="BM14" s="81"/>
      <c r="BN14" s="75"/>
      <c r="BO14" s="81"/>
      <c r="BP14" s="75"/>
      <c r="BQ14" s="81"/>
      <c r="BR14" s="75"/>
      <c r="BS14" s="81"/>
      <c r="BT14" s="75"/>
      <c r="BU14" s="81"/>
      <c r="BV14" s="75"/>
      <c r="BW14" s="81"/>
      <c r="BX14" s="75"/>
      <c r="BY14" s="81"/>
      <c r="BZ14" s="75"/>
      <c r="CA14" s="81"/>
      <c r="CB14" s="75"/>
      <c r="CC14" s="81"/>
      <c r="CD14" s="75"/>
      <c r="CE14" s="81"/>
      <c r="CF14" s="75"/>
      <c r="CG14" s="81"/>
      <c r="CH14" s="75"/>
      <c r="CI14" s="81"/>
      <c r="CJ14" s="75"/>
      <c r="CK14" s="81"/>
      <c r="CL14" s="75"/>
      <c r="CM14" s="81"/>
      <c r="CN14" s="75"/>
      <c r="CO14" s="81"/>
      <c r="CP14" s="75"/>
      <c r="CQ14" s="81"/>
      <c r="CR14" s="75"/>
      <c r="CS14" s="81"/>
      <c r="CT14" s="75"/>
      <c r="CU14" s="81"/>
      <c r="CV14" s="75"/>
      <c r="CW14" s="81"/>
      <c r="CX14" s="75"/>
      <c r="CY14" s="82" t="n">
        <f aca="false">W14+Y14+AA14+AC14+AE14+AG14+AI14+AK14+AM14+AO14+AQ14+AS14+AU14+AW14+AY14+BA14+BC14+BE14+BG14+BI14+BK14+BM14+BO14+BQ14+BS14+BU14+BW14+BY14+CA14+CC14+CE14+CG14+CI14+CK14+CM14+CO14+CQ14+CS14+CU14+CW14</f>
        <v>0</v>
      </c>
      <c r="CZ14" s="83" t="n">
        <f aca="false">IF(AND(CY14=0,DC14=0),0,(DF14+DG14)/DC14)</f>
        <v>0</v>
      </c>
      <c r="DA14" s="84" t="n">
        <f aca="false">DC14*DD14</f>
        <v>0</v>
      </c>
      <c r="DB14" s="85" t="n">
        <f aca="false">V14</f>
        <v>37137</v>
      </c>
      <c r="DC14" s="84" t="n">
        <f aca="false">ABS(W14)+ABS(Y14)+ABS(AA14)+ABS(AC14)+ABS(AE14)+ABS(AG14)+ABS(AI14)+ABS(AK14)+ABS(AM14)+ABS(AO14)+ABS(AQ14)+ABS(AS14)+ABS(AU14)+ABS(AW14)+ABS(AY14)+ABS(BA14)+ABS(BC14)+ABS(BE14)+ABS(BG14)+ABS(BI14)+ABS(BK14)+ABS(BM14)+ABS(BO14)+ABS(BQ14)+ABS(BS14)+ABS(BU14)+ABS(BW14)+ABS(BY14)+ABS(CA14)+ABS(CC14)+ABS(CE14)+ABS(CG14)+ABS(CI14)+ABS(CK14)+ABS(CM14)+ABS(CO14)+ABS(CQ14)+ABS(CS14)+ABS(CU14)+ABS(CW14)</f>
        <v>0</v>
      </c>
      <c r="DD14" s="86" t="n">
        <v>16</v>
      </c>
      <c r="DE14" s="84" t="n">
        <v>1</v>
      </c>
      <c r="DF14" s="43" t="n">
        <f aca="false">(ABS(W14)*X14+ABS(Y14)*Z14+ABS(AA14)*AB14+ABS(AC14)*AD14+ABS(AE14)*AF14+ABS(AG14)*AH14+ABS(AI14)*AJ14+ABS(AK14)*AL14+ABS(AM14)*AN14+ABS(AO14)*AP14+ABS(AQ14)*AR14+ABS(AS14)*AT14+ABS(AU14)*AV14+ABS(AW14)*AX14+ABS(AY14)*AZ14+ABS(BA14)*BB14+ABS(BC14)*BD14+ABS(BE14)*BF14+ABS(BG14)*BH14+ABS(BI14)*BJ14)</f>
        <v>0</v>
      </c>
      <c r="DG14" s="43" t="n">
        <f aca="false">ABS(BK14)*BL14+ABS(BM14)*BN14+ABS(BO14)*BP14+ABS(BQ14)*BR14+ABS(BS14)*BT14+ABS(BU14)*BV14+ABS(BW14)*BX14+ABS(BY14)*BZ14+ABS(CA14)*CB14+ABS(CC14)*CD14+ABS(CE14)*CF14+ABS(CG14)*CH14+ABS(CI14)*CJ14+ABS(CK14)*CL14+ABS(CM14)*CN14+ABS(CO14)*CP14+ABS(CQ14)*CR14+ABS(CS14)*CT14+ABS(CU14)*CV14+ABS(CW14)*CX14</f>
        <v>0</v>
      </c>
      <c r="DH14" s="43" t="n">
        <f aca="false">((H14-X14)*W14+(H14-Z14)*Y14+(H14-AB14)*AA14+(H14-AD14)*AC14+(H14-AF14)*AE14+(H14-AH14)*AG14+(H14-AJ14)*AI14+(H14-AL14)*AK14+(H14-AN14)*AM14+(H14-AP14)*AO14+(H14-AR14)*AQ14+(H14-AT14)*AS14+(H14-AV14)*AU14+(H14-AX14)*AW14+(H14-AZ14)*AY14+(H14-BB14)*BA14+(H14-BD14)*BC14+(H14-BF14)*BE14+(H14-BH14)*BG14+(H14-BJ14)*BI14)*DD14*DE14</f>
        <v>0</v>
      </c>
      <c r="DI14" s="43" t="n">
        <f aca="false">(((H14-BL14)*BK14+(H14-BN14)*BM14+(H14-BP14)*BO14+(H14-BR14)*BQ14+(H14-BT14)*BS14+(H14-BV14)*BU14+(H14-BX14)*BW14+(H14-BZ14)*BY14+(H14-CB14)*CA14+(H14-CD14)*CC14+(H14-CF14)*CE14+(H14-CH14)*CG14+(H14-CJ14)*CH14+(H14-CL14)*CK14+(H14-CN14)*CM14+(H14-CP14)*CO14+(H14-CR14)*CQ14+(H14-CT14)*CS14+(H14-CV14)*CU14+(H14-CX14)*CW14)*DD14*DE14)</f>
        <v>0</v>
      </c>
      <c r="DK14" s="85" t="n">
        <v>36841</v>
      </c>
      <c r="DL14" s="21" t="n">
        <v>0</v>
      </c>
      <c r="DN14" s="21" t="n">
        <f aca="false">IF(AND(WEEKDAY(DK14)&gt;1,WEEKDAY(DK14)&lt;7),1,0)</f>
        <v>0</v>
      </c>
    </row>
    <row r="15" customFormat="false" ht="18.75" hidden="false" customHeight="false" outlineLevel="0" collapsed="false">
      <c r="A15" s="58" t="n">
        <f aca="false">'NYISO A'!A15</f>
        <v>37138</v>
      </c>
      <c r="B15" s="59" t="n">
        <f aca="false">+[3]WestHub!$L6/16+[3]PJM!$L6/16</f>
        <v>149.248321533203</v>
      </c>
      <c r="C15" s="101" t="n">
        <f aca="false">CY15</f>
        <v>0</v>
      </c>
      <c r="D15" s="87" t="n">
        <f aca="false">(IF(MONTH(A15)=MONTH(EOMONTH(TradeDate,1)),$AP$66,0)*VLOOKUP(A15,$DK$12:$DN$43,4))</f>
        <v>0</v>
      </c>
      <c r="E15" s="62" t="n">
        <f aca="false">+B15+C15+D15</f>
        <v>149.248321533203</v>
      </c>
      <c r="F15" s="63" t="n">
        <f aca="false">[3]WestHub!$C6</f>
        <v>38.8499946594238</v>
      </c>
      <c r="G15" s="88" t="n">
        <f aca="false">IF($Q$9,Q15,P15)</f>
        <v>5.34057617329609E-006</v>
      </c>
      <c r="H15" s="89" t="n">
        <f aca="false">F15+G15</f>
        <v>38.85</v>
      </c>
      <c r="I15" s="87" t="n">
        <f aca="false">B15*G15*DD15</f>
        <v>0.0127531524781545</v>
      </c>
      <c r="J15" s="66" t="n">
        <f aca="false">DH15+DI15</f>
        <v>0</v>
      </c>
      <c r="K15" s="66" t="n">
        <f aca="false">I15+J15</f>
        <v>0.0127531524781545</v>
      </c>
      <c r="L15" s="24"/>
      <c r="M15" s="67" t="n">
        <f aca="false">A15</f>
        <v>37138</v>
      </c>
      <c r="N15" s="68" t="n">
        <v>38.85</v>
      </c>
      <c r="O15" s="68" t="n">
        <v>38.85</v>
      </c>
      <c r="P15" s="69" t="n">
        <f aca="false">AVERAGE(N15:O15)-F15</f>
        <v>5.34057617329609E-006</v>
      </c>
      <c r="Q15" s="70"/>
      <c r="R15" s="91" t="n">
        <f aca="false">H15</f>
        <v>38.85</v>
      </c>
      <c r="S15" s="24"/>
      <c r="T15" s="0"/>
      <c r="U15" s="72"/>
      <c r="V15" s="73" t="n">
        <f aca="false">A15</f>
        <v>37138</v>
      </c>
      <c r="W15" s="77"/>
      <c r="X15" s="78"/>
      <c r="Y15" s="77"/>
      <c r="Z15" s="78"/>
      <c r="AA15" s="77"/>
      <c r="AB15" s="78"/>
      <c r="AC15" s="77"/>
      <c r="AD15" s="78"/>
      <c r="AE15" s="77"/>
      <c r="AF15" s="78"/>
      <c r="AG15" s="77"/>
      <c r="AH15" s="78"/>
      <c r="AI15" s="77"/>
      <c r="AJ15" s="78"/>
      <c r="AK15" s="77"/>
      <c r="AL15" s="78"/>
      <c r="AM15" s="77"/>
      <c r="AN15" s="78"/>
      <c r="AO15" s="77"/>
      <c r="AP15" s="78"/>
      <c r="AQ15" s="77"/>
      <c r="AR15" s="78"/>
      <c r="AS15" s="77"/>
      <c r="AT15" s="160"/>
      <c r="AU15" s="94"/>
      <c r="AV15" s="95"/>
      <c r="AW15" s="96"/>
      <c r="AX15" s="75"/>
      <c r="AY15" s="81"/>
      <c r="AZ15" s="75"/>
      <c r="BA15" s="81"/>
      <c r="BB15" s="75"/>
      <c r="BC15" s="81"/>
      <c r="BD15" s="75"/>
      <c r="BE15" s="81"/>
      <c r="BF15" s="75"/>
      <c r="BG15" s="81"/>
      <c r="BH15" s="75"/>
      <c r="BI15" s="81"/>
      <c r="BJ15" s="75"/>
      <c r="BK15" s="81"/>
      <c r="BL15" s="75"/>
      <c r="BM15" s="81"/>
      <c r="BN15" s="75"/>
      <c r="BO15" s="81"/>
      <c r="BP15" s="75"/>
      <c r="BQ15" s="81"/>
      <c r="BR15" s="75"/>
      <c r="BS15" s="81"/>
      <c r="BT15" s="75"/>
      <c r="BU15" s="81"/>
      <c r="BV15" s="75"/>
      <c r="BW15" s="81"/>
      <c r="BX15" s="75"/>
      <c r="BY15" s="81"/>
      <c r="BZ15" s="75"/>
      <c r="CA15" s="81"/>
      <c r="CB15" s="75"/>
      <c r="CC15" s="81"/>
      <c r="CD15" s="75"/>
      <c r="CE15" s="81"/>
      <c r="CF15" s="75"/>
      <c r="CG15" s="81"/>
      <c r="CH15" s="75"/>
      <c r="CI15" s="81"/>
      <c r="CJ15" s="75"/>
      <c r="CK15" s="81"/>
      <c r="CL15" s="75"/>
      <c r="CM15" s="81"/>
      <c r="CN15" s="75"/>
      <c r="CO15" s="81"/>
      <c r="CP15" s="75"/>
      <c r="CQ15" s="81"/>
      <c r="CR15" s="75"/>
      <c r="CS15" s="81"/>
      <c r="CT15" s="75"/>
      <c r="CU15" s="81"/>
      <c r="CV15" s="75"/>
      <c r="CW15" s="81"/>
      <c r="CX15" s="75"/>
      <c r="CY15" s="82" t="n">
        <f aca="false">W15+Y15+AA15+AC15+AE15+AG15+AI15+AK15+AM15+AO15+AQ15+AS15+AU15+AW15+AY15+BA15+BC15+BE15+BG15+BI15+BK15+BM15+BO15+BQ15+BS15+BU15+BW15+BY15+CA15+CC15+CE15+CG15+CI15+CK15+CM15+CO15+CQ15+CS15+CU15+CW15</f>
        <v>0</v>
      </c>
      <c r="CZ15" s="83" t="n">
        <f aca="false">IF(AND(CY15=0,DC15=0),0,(DF15+DG15)/DC15)</f>
        <v>0</v>
      </c>
      <c r="DA15" s="84" t="n">
        <f aca="false">DC15*DD15</f>
        <v>0</v>
      </c>
      <c r="DB15" s="85" t="n">
        <f aca="false">V15</f>
        <v>37138</v>
      </c>
      <c r="DC15" s="84" t="n">
        <f aca="false">ABS(W15)+ABS(Y15)+ABS(AA15)+ABS(AC15)+ABS(AE15)+ABS(AG15)+ABS(AI15)+ABS(AK15)+ABS(AM15)+ABS(AO15)+ABS(AQ15)+ABS(AS15)+ABS(AU15)+ABS(AW15)+ABS(AY15)+ABS(BA15)+ABS(BC15)+ABS(BE15)+ABS(BG15)+ABS(BI15)+ABS(BK15)+ABS(BM15)+ABS(BO15)+ABS(BQ15)+ABS(BS15)+ABS(BU15)+ABS(BW15)+ABS(BY15)+ABS(CA15)+ABS(CC15)+ABS(CE15)+ABS(CG15)+ABS(CI15)+ABS(CK15)+ABS(CM15)+ABS(CO15)+ABS(CQ15)+ABS(CS15)+ABS(CU15)+ABS(CW15)</f>
        <v>0</v>
      </c>
      <c r="DD15" s="86" t="n">
        <v>16</v>
      </c>
      <c r="DE15" s="84" t="n">
        <v>1</v>
      </c>
      <c r="DF15" s="43" t="n">
        <f aca="false">(ABS(W15)*X15+ABS(Y15)*Z15+ABS(AA15)*AB15+ABS(AC15)*AD15+ABS(AE15)*AF15+ABS(AG15)*AH15+ABS(AI15)*AJ15+ABS(AK15)*AL15+ABS(AM15)*AN15+ABS(AO15)*AP15+ABS(AQ15)*AR15+ABS(AS15)*AT15+ABS(AU15)*AV15+ABS(AW15)*AX15+ABS(AY15)*AZ15+ABS(BA15)*BB15+ABS(BC15)*BD15+ABS(BE15)*BF15+ABS(BG15)*BH15+ABS(BI15)*BJ15)</f>
        <v>0</v>
      </c>
      <c r="DG15" s="43" t="n">
        <f aca="false">ABS(BK15)*BL15+ABS(BM15)*BN15+ABS(BO15)*BP15+ABS(BQ15)*BR15+ABS(BS15)*BT15+ABS(BU15)*BV15+ABS(BW15)*BX15+ABS(BY15)*BZ15+ABS(CA15)*CB15+ABS(CC15)*CD15+ABS(CE15)*CF15+ABS(CG15)*CH15+ABS(CI15)*CJ15+ABS(CK15)*CL15+ABS(CM15)*CN15+ABS(CO15)*CP15+ABS(CQ15)*CR15+ABS(CS15)*CT15+ABS(CU15)*CV15+ABS(CW15)*CX15</f>
        <v>0</v>
      </c>
      <c r="DH15" s="43" t="n">
        <f aca="false">((H15-X15)*W15+(H15-Z15)*Y15+(H15-AB15)*AA15+(H15-AD15)*AC15+(H15-AF15)*AE15+(H15-AH15)*AG15+(H15-AJ15)*AI15+(H15-AL15)*AK15+(H15-AN15)*AM15+(H15-AP15)*AO15+(H15-AR15)*AQ15+(H15-AT15)*AS15+(H15-AV15)*AU15+(H15-AX15)*AW15+(H15-AZ15)*AY15+(H15-BB15)*BA15+(H15-BD15)*BC15+(H15-BF15)*BE15+(H15-BH15)*BG15+(H15-BJ15)*BI15)*DD15*DE15</f>
        <v>0</v>
      </c>
      <c r="DI15" s="43" t="n">
        <f aca="false">(((H15-BL15)*BK15+(H15-BN15)*BM15+(H15-BP15)*BO15+(H15-BR15)*BQ15+(H15-BT15)*BS15+(H15-BV15)*BU15+(H15-BX15)*BW15+(H15-BZ15)*BY15+(H15-CB15)*CA15+(H15-CD15)*CC15+(H15-CF15)*CE15+(H15-CH15)*CG15+(H15-CJ15)*CH15+(H15-CL15)*CK15+(H15-CN15)*CM15+(H15-CP15)*CO15+(H15-CR15)*CQ15+(H15-CT15)*CS15+(H15-CV15)*CU15+(H15-CX15)*CW15)*DD15*DE15)</f>
        <v>0</v>
      </c>
      <c r="DK15" s="85" t="n">
        <v>36842</v>
      </c>
      <c r="DL15" s="21" t="n">
        <v>0</v>
      </c>
      <c r="DN15" s="21" t="n">
        <f aca="false">IF(AND(WEEKDAY(DK15)&gt;1,WEEKDAY(DK15)&lt;7),1,0)</f>
        <v>0</v>
      </c>
    </row>
    <row r="16" customFormat="false" ht="18.75" hidden="false" customHeight="false" outlineLevel="0" collapsed="false">
      <c r="A16" s="58" t="n">
        <f aca="false">'NYISO A'!A16</f>
        <v>37139</v>
      </c>
      <c r="B16" s="59" t="n">
        <f aca="false">+[3]WestHub!$L7/16+[3]PJM!$L7/16</f>
        <v>149.248321533203</v>
      </c>
      <c r="C16" s="60" t="n">
        <f aca="false">CY16</f>
        <v>0</v>
      </c>
      <c r="D16" s="61" t="n">
        <f aca="false">(IF(MONTH(A16)=MONTH(EOMONTH(TradeDate,1)),$AP$66,0)*VLOOKUP(A16,$DK$12:$DN$43,4))</f>
        <v>0</v>
      </c>
      <c r="E16" s="62" t="n">
        <f aca="false">+B16+C16+D16</f>
        <v>149.248321533203</v>
      </c>
      <c r="F16" s="63" t="n">
        <f aca="false">[3]WestHub!$C7</f>
        <v>38.8499946594238</v>
      </c>
      <c r="G16" s="63" t="n">
        <f aca="false">IF($Q$9,Q16,P16)</f>
        <v>5.34057617329609E-006</v>
      </c>
      <c r="H16" s="64" t="n">
        <f aca="false">F16+G16</f>
        <v>38.85</v>
      </c>
      <c r="I16" s="65" t="n">
        <f aca="false">B16*G16*DD16</f>
        <v>0.0127531524781545</v>
      </c>
      <c r="J16" s="66" t="n">
        <f aca="false">DH16+DI16</f>
        <v>0</v>
      </c>
      <c r="K16" s="90" t="n">
        <f aca="false">I16+J16</f>
        <v>0.0127531524781545</v>
      </c>
      <c r="L16" s="42" t="n">
        <f aca="false">+AVERAGE(N15:O16,N18:O19,N22:O26,N29:O33,N36:O40,N42:O42)</f>
        <v>31.63</v>
      </c>
      <c r="M16" s="67" t="n">
        <f aca="false">A16</f>
        <v>37139</v>
      </c>
      <c r="N16" s="68" t="n">
        <v>38.85</v>
      </c>
      <c r="O16" s="68" t="n">
        <v>38.85</v>
      </c>
      <c r="P16" s="69" t="n">
        <f aca="false">AVERAGE(N16:O16)-F16</f>
        <v>5.34057617329609E-006</v>
      </c>
      <c r="Q16" s="70"/>
      <c r="R16" s="91" t="n">
        <f aca="false">H16</f>
        <v>38.85</v>
      </c>
      <c r="S16" s="24"/>
      <c r="T16" s="0"/>
      <c r="U16" s="72"/>
      <c r="V16" s="73" t="n">
        <f aca="false">A16</f>
        <v>37139</v>
      </c>
      <c r="W16" s="77"/>
      <c r="X16" s="78"/>
      <c r="Y16" s="77"/>
      <c r="Z16" s="78"/>
      <c r="AA16" s="77"/>
      <c r="AB16" s="78"/>
      <c r="AC16" s="77"/>
      <c r="AD16" s="78"/>
      <c r="AE16" s="77"/>
      <c r="AF16" s="78"/>
      <c r="AG16" s="77"/>
      <c r="AH16" s="78"/>
      <c r="AI16" s="77"/>
      <c r="AJ16" s="78"/>
      <c r="AK16" s="77"/>
      <c r="AL16" s="78"/>
      <c r="AM16" s="77"/>
      <c r="AN16" s="78"/>
      <c r="AO16" s="77"/>
      <c r="AP16" s="78"/>
      <c r="AQ16" s="77"/>
      <c r="AR16" s="78"/>
      <c r="AS16" s="77"/>
      <c r="AT16" s="78"/>
      <c r="AU16" s="94"/>
      <c r="AV16" s="95"/>
      <c r="AW16" s="96"/>
      <c r="AX16" s="75"/>
      <c r="AY16" s="81"/>
      <c r="AZ16" s="75"/>
      <c r="BA16" s="81"/>
      <c r="BB16" s="75"/>
      <c r="BC16" s="81"/>
      <c r="BD16" s="75"/>
      <c r="BE16" s="81"/>
      <c r="BF16" s="75"/>
      <c r="BG16" s="81"/>
      <c r="BH16" s="75"/>
      <c r="BI16" s="81"/>
      <c r="BJ16" s="75"/>
      <c r="BK16" s="81"/>
      <c r="BL16" s="75"/>
      <c r="BM16" s="81"/>
      <c r="BN16" s="75"/>
      <c r="BO16" s="81"/>
      <c r="BP16" s="75"/>
      <c r="BQ16" s="81"/>
      <c r="BR16" s="75"/>
      <c r="BS16" s="81"/>
      <c r="BT16" s="75"/>
      <c r="BU16" s="81"/>
      <c r="BV16" s="75"/>
      <c r="BW16" s="81"/>
      <c r="BX16" s="75"/>
      <c r="BY16" s="81"/>
      <c r="BZ16" s="75"/>
      <c r="CA16" s="81"/>
      <c r="CB16" s="75"/>
      <c r="CC16" s="81"/>
      <c r="CD16" s="75"/>
      <c r="CE16" s="81"/>
      <c r="CF16" s="75"/>
      <c r="CG16" s="81"/>
      <c r="CH16" s="75"/>
      <c r="CI16" s="81"/>
      <c r="CJ16" s="75"/>
      <c r="CK16" s="81"/>
      <c r="CL16" s="75"/>
      <c r="CM16" s="81"/>
      <c r="CN16" s="75"/>
      <c r="CO16" s="81"/>
      <c r="CP16" s="75"/>
      <c r="CQ16" s="81"/>
      <c r="CR16" s="75"/>
      <c r="CS16" s="81"/>
      <c r="CT16" s="75"/>
      <c r="CU16" s="81"/>
      <c r="CV16" s="75"/>
      <c r="CW16" s="81"/>
      <c r="CX16" s="75"/>
      <c r="CY16" s="82" t="n">
        <f aca="false">W16+Y16+AA16+AC16+AE16+AG16+AI16+AK16+AM16+AO16+AQ16+AS16+AU16+AW16+AY16+BA16+BC16+BE16+BG16+BI16+BK16+BM16+BO16+BQ16+BS16+BU16+BW16+BY16+CA16+CC16+CE16+CG16+CI16+CK16+CM16+CO16+CQ16+CS16+CU16+CW16</f>
        <v>0</v>
      </c>
      <c r="CZ16" s="83" t="n">
        <f aca="false">IF(AND(CY16=0,DC16=0),0,(DF16+DG16)/DC16)</f>
        <v>0</v>
      </c>
      <c r="DA16" s="84" t="n">
        <f aca="false">DC16*DD16</f>
        <v>0</v>
      </c>
      <c r="DB16" s="85" t="n">
        <f aca="false">V16</f>
        <v>37139</v>
      </c>
      <c r="DC16" s="84" t="n">
        <f aca="false">ABS(W16)+ABS(Y16)+ABS(AA16)+ABS(AC16)+ABS(AE16)+ABS(AG16)+ABS(AI16)+ABS(AK16)+ABS(AM16)+ABS(AO16)+ABS(AQ16)+ABS(AS16)+ABS(AU16)+ABS(AW16)+ABS(AY16)+ABS(BA16)+ABS(BC16)+ABS(BE16)+ABS(BG16)+ABS(BI16)+ABS(BK16)+ABS(BM16)+ABS(BO16)+ABS(BQ16)+ABS(BS16)+ABS(BU16)+ABS(BW16)+ABS(BY16)+ABS(CA16)+ABS(CC16)+ABS(CE16)+ABS(CG16)+ABS(CI16)+ABS(CK16)+ABS(CM16)+ABS(CO16)+ABS(CQ16)+ABS(CS16)+ABS(CU16)+ABS(CW16)</f>
        <v>0</v>
      </c>
      <c r="DD16" s="86" t="n">
        <v>16</v>
      </c>
      <c r="DE16" s="84" t="n">
        <v>1</v>
      </c>
      <c r="DF16" s="43" t="n">
        <f aca="false">(ABS(W16)*X16+ABS(Y16)*Z16+ABS(AA16)*AB16+ABS(AC16)*AD16+ABS(AE16)*AF17+ABS(AG17)*AH16+ABS(AI16)*AJ16+ABS(AK16)*AL16+ABS(AM16)*AN16+ABS(AO16)*AP16+ABS(AQ16)*AR16+ABS(AS16)*AT16+ABS(AU16)*AV16+ABS(AW16)*AX16+ABS(AY16)*AZ16+ABS(BA16)*BB16+ABS(BC16)*BD16+ABS(BE16)*BF16+ABS(BG16)*BH16+ABS(BI16)*BJ16)</f>
        <v>0</v>
      </c>
      <c r="DG16" s="43" t="n">
        <f aca="false">ABS(BK16)*BL16+ABS(BM16)*BN16+ABS(BO16)*BP16+ABS(BQ16)*BR16+ABS(BS16)*BT16+ABS(BU16)*BV16+ABS(BW16)*BX16+ABS(BY16)*BZ16+ABS(CA16)*CB16+ABS(CC16)*CD16+ABS(CE16)*CF16+ABS(CG16)*CH16+ABS(CI16)*CJ16+ABS(CK16)*CL16+ABS(CM16)*CN16+ABS(CO16)*CP16+ABS(CQ16)*CR16+ABS(CS16)*CT16+ABS(CU16)*CV16+ABS(CW16)*CX16</f>
        <v>0</v>
      </c>
      <c r="DH16" s="43" t="n">
        <f aca="false">((H16-X16)*W16+(H16-Z16)*Y16+(H16-AB16)*AA16+(H16-AD16)*AC16+(H16-AF16)*AE16+(H16-AH16)*AG16+(H16-AJ16)*AI16+(H16-AL16)*AK16+(H16-AN16)*AM16+(H16-AP16)*AO16+(H16-AR16)*AQ16+(H16-AT16)*AS16+(H16-AV16)*AU16+(H16-AX16)*AW16+(H16-AZ16)*AY16+(H16-BB16)*BA16+(H16-BD16)*BC16+(H16-BF16)*BE16+(H16-BH16)*BG16+(H16-BJ16)*BI16)*DD16*DE16</f>
        <v>0</v>
      </c>
      <c r="DI16" s="43" t="n">
        <f aca="false">(((H16-BL16)*BK16+(H16-BN16)*BM16+(H16-BP16)*BO16+(H16-BR16)*BQ16+(H16-BT16)*BS16+(H16-BV16)*BU16+(H16-BX16)*BW16+(H16-BZ16)*BY16+(H16-CB16)*CA16+(H16-CD16)*CC16+(H16-CF16)*CE16+(H16-CH16)*CG16+(H16-CJ16)*CH16+(H16-CL16)*CK16+(H16-CN16)*CM16+(H16-CP16)*CO16+(H16-CR16)*CQ16+(H16-CT16)*CS16+(H16-CV16)*CU16+(H16-CX16)*CW16)*DD16*DE16)</f>
        <v>0</v>
      </c>
      <c r="DK16" s="85" t="n">
        <v>36843</v>
      </c>
      <c r="DL16" s="21" t="n">
        <v>-49.7253837585449</v>
      </c>
      <c r="DN16" s="21" t="n">
        <f aca="false">IF(AND(WEEKDAY(DK16)&gt;1,WEEKDAY(DK16)&lt;7),1,0)</f>
        <v>1</v>
      </c>
    </row>
    <row r="17" customFormat="false" ht="18.75" hidden="false" customHeight="false" outlineLevel="0" collapsed="false">
      <c r="A17" s="58" t="n">
        <f aca="false">'NYISO A'!A17</f>
        <v>37140</v>
      </c>
      <c r="B17" s="59" t="n">
        <f aca="false">+[3]WestHub!$L8/16+[3]PJM!$L8/16</f>
        <v>149.248321533203</v>
      </c>
      <c r="C17" s="101" t="n">
        <f aca="false">CY17</f>
        <v>0</v>
      </c>
      <c r="D17" s="87" t="n">
        <f aca="false">(IF(MONTH(A17)=MONTH(EOMONTH(TradeDate,1)),$AP$66,0)*VLOOKUP(A17,$DK$12:$DN$43,4))</f>
        <v>0</v>
      </c>
      <c r="E17" s="62" t="n">
        <f aca="false">+B17+C17+D17</f>
        <v>149.248321533203</v>
      </c>
      <c r="F17" s="63" t="n">
        <f aca="false">[3]WestHub!$C8</f>
        <v>38.8499946594238</v>
      </c>
      <c r="G17" s="88" t="n">
        <f aca="false">IF($Q$9,Q17,P17)</f>
        <v>5.34057617329609E-006</v>
      </c>
      <c r="H17" s="89" t="n">
        <f aca="false">F17+G17</f>
        <v>38.85</v>
      </c>
      <c r="I17" s="87" t="n">
        <f aca="false">B17*G17*DD17</f>
        <v>0.0127531524781545</v>
      </c>
      <c r="J17" s="66" t="n">
        <f aca="false">DH17+DI17</f>
        <v>0</v>
      </c>
      <c r="K17" s="66" t="n">
        <f aca="false">I17+J17</f>
        <v>0.0127531524781545</v>
      </c>
      <c r="L17" s="42"/>
      <c r="M17" s="67" t="n">
        <f aca="false">A17</f>
        <v>37140</v>
      </c>
      <c r="N17" s="68" t="n">
        <v>38.85</v>
      </c>
      <c r="O17" s="68" t="n">
        <v>38.85</v>
      </c>
      <c r="P17" s="69" t="n">
        <f aca="false">AVERAGE(N17:O17)-F17</f>
        <v>5.34057617329609E-006</v>
      </c>
      <c r="Q17" s="70"/>
      <c r="R17" s="91" t="n">
        <f aca="false">H17</f>
        <v>38.85</v>
      </c>
      <c r="S17" s="24"/>
      <c r="T17" s="0"/>
      <c r="U17" s="72"/>
      <c r="V17" s="73" t="n">
        <f aca="false">A17</f>
        <v>37140</v>
      </c>
      <c r="W17" s="77"/>
      <c r="X17" s="78"/>
      <c r="Y17" s="77"/>
      <c r="Z17" s="78"/>
      <c r="AA17" s="77"/>
      <c r="AB17" s="78"/>
      <c r="AC17" s="77"/>
      <c r="AD17" s="78"/>
      <c r="AE17" s="77"/>
      <c r="AF17" s="78"/>
      <c r="AG17" s="77"/>
      <c r="AH17" s="78"/>
      <c r="AI17" s="77"/>
      <c r="AJ17" s="78"/>
      <c r="AK17" s="77"/>
      <c r="AL17" s="78"/>
      <c r="AM17" s="77"/>
      <c r="AN17" s="78"/>
      <c r="AO17" s="77"/>
      <c r="AP17" s="78"/>
      <c r="AQ17" s="77"/>
      <c r="AR17" s="78"/>
      <c r="AS17" s="77"/>
      <c r="AT17" s="78"/>
      <c r="AU17" s="94"/>
      <c r="AV17" s="95"/>
      <c r="AW17" s="96"/>
      <c r="AX17" s="75"/>
      <c r="AY17" s="81"/>
      <c r="AZ17" s="75"/>
      <c r="BA17" s="81"/>
      <c r="BB17" s="75"/>
      <c r="BC17" s="81"/>
      <c r="BD17" s="75"/>
      <c r="BE17" s="81"/>
      <c r="BF17" s="75"/>
      <c r="BG17" s="81"/>
      <c r="BH17" s="75"/>
      <c r="BI17" s="81"/>
      <c r="BJ17" s="75"/>
      <c r="BK17" s="81"/>
      <c r="BL17" s="75"/>
      <c r="BM17" s="81"/>
      <c r="BN17" s="75"/>
      <c r="BO17" s="81"/>
      <c r="BP17" s="75"/>
      <c r="BQ17" s="81"/>
      <c r="BR17" s="75"/>
      <c r="BS17" s="81"/>
      <c r="BT17" s="75"/>
      <c r="BU17" s="81"/>
      <c r="BV17" s="75"/>
      <c r="BW17" s="81"/>
      <c r="BX17" s="75"/>
      <c r="BY17" s="81"/>
      <c r="BZ17" s="75"/>
      <c r="CA17" s="81"/>
      <c r="CB17" s="75"/>
      <c r="CC17" s="81"/>
      <c r="CD17" s="75"/>
      <c r="CE17" s="81"/>
      <c r="CF17" s="75"/>
      <c r="CG17" s="81"/>
      <c r="CH17" s="75"/>
      <c r="CI17" s="81"/>
      <c r="CJ17" s="75"/>
      <c r="CK17" s="81"/>
      <c r="CL17" s="75"/>
      <c r="CM17" s="81"/>
      <c r="CN17" s="75"/>
      <c r="CO17" s="81"/>
      <c r="CP17" s="75"/>
      <c r="CQ17" s="81"/>
      <c r="CR17" s="75"/>
      <c r="CS17" s="81"/>
      <c r="CT17" s="75"/>
      <c r="CU17" s="81"/>
      <c r="CV17" s="75"/>
      <c r="CW17" s="81"/>
      <c r="CX17" s="75"/>
      <c r="CY17" s="82" t="n">
        <f aca="false">W17+Y17+AA17+AC17+AE17+AG17+AI17+AK17+AM17+AO17+AQ17+AS17+AU17+AW17+AY17+BA17+BC17+BE17+BG17+BI17+BK17+BM17+BO17+BQ17+BS17+BU17+BW17+BY17+CA17+CC17+CE17+CG17+CI17+CK17+CM17+CO17+CQ17+CS17+CU17+CW17</f>
        <v>0</v>
      </c>
      <c r="CZ17" s="83" t="n">
        <f aca="false">IF(AND(CY17=0,DC17=0),0,(DF17+DG17)/DC17)</f>
        <v>0</v>
      </c>
      <c r="DA17" s="84" t="n">
        <f aca="false">DC17*DD17</f>
        <v>0</v>
      </c>
      <c r="DB17" s="85" t="n">
        <f aca="false">V17</f>
        <v>37140</v>
      </c>
      <c r="DC17" s="84" t="n">
        <f aca="false">ABS(W17)+ABS(Y17)+ABS(AA17)+ABS(AC17)+ABS(AE17)+ABS(AG17)+ABS(AI17)+ABS(AK17)+ABS(AM17)+ABS(AO17)+ABS(AQ17)+ABS(AS17)+ABS(AU17)+ABS(AW17)+ABS(AY17)+ABS(BA17)+ABS(BC17)+ABS(BE17)+ABS(BG17)+ABS(BI17)+ABS(BK17)+ABS(BM17)+ABS(BO17)+ABS(BQ17)+ABS(BS17)+ABS(BU17)+ABS(BW17)+ABS(BY17)+ABS(CA17)+ABS(CC17)+ABS(CE17)+ABS(CG17)+ABS(CI17)+ABS(CK17)+ABS(CM17)+ABS(CO17)+ABS(CQ17)+ABS(CS17)+ABS(CU17)+ABS(CW17)</f>
        <v>0</v>
      </c>
      <c r="DD17" s="86" t="n">
        <v>16</v>
      </c>
      <c r="DE17" s="84" t="n">
        <v>1</v>
      </c>
      <c r="DF17" s="43" t="n">
        <f aca="false">(ABS(W17)*X17+ABS(Y17)*Z17+ABS(AA17)*AB17+ABS(AC17)*AD17+ABS(AE17)*AF18+ABS(AG18)*AH17+ABS(AI17)*AJ17+ABS(AK17)*AL17+ABS(AM17)*AN17+ABS(AO17)*AP17+ABS(AQ17)*AR17+ABS(AS17)*AT17+ABS(AU17)*AV17+ABS(AW17)*AX17+ABS(AY17)*AZ17+ABS(BA17)*BB17+ABS(BC17)*BD17+ABS(BE17)*BF17+ABS(BG17)*BH17+ABS(BI17)*BJ17)</f>
        <v>0</v>
      </c>
      <c r="DG17" s="43" t="n">
        <f aca="false">ABS(BK17)*BL17+ABS(BM17)*BN17+ABS(BO17)*BP17+ABS(BQ17)*BR17+ABS(BS17)*BT17+ABS(BU17)*BV17+ABS(BW17)*BX17+ABS(BY17)*BZ17+ABS(CA17)*CB17+ABS(CC17)*CD17+ABS(CE17)*CF17+ABS(CG17)*CH17+ABS(CI17)*CJ17+ABS(CK17)*CL17+ABS(CM17)*CN17+ABS(CO17)*CP17+ABS(CQ17)*CR17+ABS(CS17)*CT17+ABS(CU17)*CV17+ABS(CW17)*CX17</f>
        <v>0</v>
      </c>
      <c r="DH17" s="43" t="n">
        <f aca="false">((H17-X17)*W17+(H17-Z17)*Y17+(H17-AB17)*AA17+(H17-AD17)*AC17+(H17-AF17)*AE17+(H17-AH17)*AG17+(H17-AJ17)*AI17+(H17-AL17)*AK17+(H17-AN17)*AM17+(H17-AP17)*AO17+(H17-AR17)*AQ17+(H17-AT17)*AS17+(H17-AV17)*AU17+(H17-AX17)*AW17+(H17-AZ17)*AY17+(H17-BB17)*BA17+(H17-BD17)*BC17+(H17-BF17)*BE17+(H17-BH17)*BG17+(H17-BJ17)*BI17)*DD17*DE17</f>
        <v>0</v>
      </c>
      <c r="DI17" s="43" t="n">
        <f aca="false">(((H17-BL17)*BK17+(H17-BN17)*BM17+(H17-BP17)*BO17+(H17-BR17)*BQ17+(H17-BT17)*BS17+(H17-BV17)*BU17+(H17-BX17)*BW17+(H17-BZ17)*BY17+(H17-CB17)*CA17+(H17-CD17)*CC17+(H17-CF17)*CE17+(H17-CH17)*CG17+(H17-CJ17)*CH17+(H17-CL17)*CK17+(H17-CN17)*CM17+(H17-CP17)*CO17+(H17-CR17)*CQ17+(H17-CT17)*CS17+(H17-CV17)*CU17+(H17-CX17)*CW17)*DD17*DE17)</f>
        <v>0</v>
      </c>
      <c r="DK17" s="85" t="n">
        <v>36844</v>
      </c>
      <c r="DL17" s="21" t="n">
        <v>-49.7253837585449</v>
      </c>
      <c r="DN17" s="21" t="n">
        <f aca="false">IF(AND(WEEKDAY(DK17)&gt;1,WEEKDAY(DK17)&lt;7),1,0)</f>
        <v>1</v>
      </c>
    </row>
    <row r="18" customFormat="false" ht="18.75" hidden="false" customHeight="false" outlineLevel="0" collapsed="false">
      <c r="A18" s="58" t="n">
        <f aca="false">'NYISO A'!A18</f>
        <v>37141</v>
      </c>
      <c r="B18" s="59" t="n">
        <f aca="false">+[3]WestHub!$L9/16+[3]PJM!$L9/16</f>
        <v>149.248321533203</v>
      </c>
      <c r="C18" s="60" t="n">
        <f aca="false">CY18</f>
        <v>0</v>
      </c>
      <c r="D18" s="61" t="n">
        <f aca="false">(IF(MONTH(A18)=MONTH(EOMONTH(TradeDate,1)),$AP$66,0)*VLOOKUP(A18,$DK$12:$DN$43,4))</f>
        <v>0</v>
      </c>
      <c r="E18" s="62" t="n">
        <f aca="false">+B18+C18+D18</f>
        <v>149.248321533203</v>
      </c>
      <c r="F18" s="63" t="n">
        <f aca="false">[3]WestHub!$C9</f>
        <v>38.8499984741211</v>
      </c>
      <c r="G18" s="63" t="n">
        <f aca="false">IF($Q$9,Q18,P18)</f>
        <v>1.52587890767109E-006</v>
      </c>
      <c r="H18" s="64" t="n">
        <f aca="false">F18+G18</f>
        <v>38.85</v>
      </c>
      <c r="I18" s="65" t="n">
        <f aca="false">B18*G18*DD18</f>
        <v>0.00364375785332523</v>
      </c>
      <c r="J18" s="66" t="n">
        <f aca="false">DH18+DI18</f>
        <v>0</v>
      </c>
      <c r="K18" s="90" t="n">
        <f aca="false">I18+J18</f>
        <v>0.00364375785332523</v>
      </c>
      <c r="L18" s="24"/>
      <c r="M18" s="67" t="n">
        <f aca="false">A18</f>
        <v>37141</v>
      </c>
      <c r="N18" s="68" t="n">
        <v>38.85</v>
      </c>
      <c r="O18" s="68" t="n">
        <v>38.85</v>
      </c>
      <c r="P18" s="69" t="n">
        <f aca="false">AVERAGE(N18:O18)-F18</f>
        <v>1.52587890767109E-006</v>
      </c>
      <c r="Q18" s="70"/>
      <c r="R18" s="91" t="n">
        <f aca="false">H18</f>
        <v>38.85</v>
      </c>
      <c r="S18" s="24"/>
      <c r="T18" s="0"/>
      <c r="U18" s="72"/>
      <c r="V18" s="73" t="n">
        <f aca="false">A18</f>
        <v>37141</v>
      </c>
      <c r="W18" s="77"/>
      <c r="X18" s="78"/>
      <c r="Y18" s="77"/>
      <c r="Z18" s="78"/>
      <c r="AA18" s="77"/>
      <c r="AB18" s="78"/>
      <c r="AC18" s="77"/>
      <c r="AD18" s="78"/>
      <c r="AE18" s="77"/>
      <c r="AF18" s="78"/>
      <c r="AG18" s="77"/>
      <c r="AH18" s="78"/>
      <c r="AI18" s="77"/>
      <c r="AJ18" s="78"/>
      <c r="AK18" s="77"/>
      <c r="AL18" s="78"/>
      <c r="AM18" s="77"/>
      <c r="AN18" s="78"/>
      <c r="AO18" s="77"/>
      <c r="AP18" s="78"/>
      <c r="AQ18" s="77"/>
      <c r="AR18" s="78"/>
      <c r="AS18" s="77"/>
      <c r="AT18" s="78"/>
      <c r="AU18" s="94"/>
      <c r="AV18" s="95"/>
      <c r="AW18" s="96"/>
      <c r="AX18" s="75"/>
      <c r="AY18" s="81"/>
      <c r="AZ18" s="75"/>
      <c r="BA18" s="81"/>
      <c r="BB18" s="75"/>
      <c r="BC18" s="81"/>
      <c r="BD18" s="75"/>
      <c r="BE18" s="81"/>
      <c r="BF18" s="75"/>
      <c r="BG18" s="81"/>
      <c r="BH18" s="75"/>
      <c r="BI18" s="81"/>
      <c r="BJ18" s="75"/>
      <c r="BK18" s="81"/>
      <c r="BL18" s="75"/>
      <c r="BM18" s="81"/>
      <c r="BN18" s="75"/>
      <c r="BO18" s="81"/>
      <c r="BP18" s="75"/>
      <c r="BQ18" s="81"/>
      <c r="BR18" s="75"/>
      <c r="BS18" s="81"/>
      <c r="BT18" s="75"/>
      <c r="BU18" s="81"/>
      <c r="BV18" s="75"/>
      <c r="BW18" s="81"/>
      <c r="BX18" s="75"/>
      <c r="BY18" s="81"/>
      <c r="BZ18" s="75"/>
      <c r="CA18" s="81"/>
      <c r="CB18" s="75"/>
      <c r="CC18" s="81"/>
      <c r="CD18" s="75"/>
      <c r="CE18" s="81"/>
      <c r="CF18" s="75"/>
      <c r="CG18" s="81"/>
      <c r="CH18" s="75"/>
      <c r="CI18" s="81"/>
      <c r="CJ18" s="75"/>
      <c r="CK18" s="81"/>
      <c r="CL18" s="75"/>
      <c r="CM18" s="81"/>
      <c r="CN18" s="75"/>
      <c r="CO18" s="81"/>
      <c r="CP18" s="75"/>
      <c r="CQ18" s="81"/>
      <c r="CR18" s="75"/>
      <c r="CS18" s="81"/>
      <c r="CT18" s="75"/>
      <c r="CU18" s="81"/>
      <c r="CV18" s="75"/>
      <c r="CW18" s="81"/>
      <c r="CX18" s="75"/>
      <c r="CY18" s="82" t="n">
        <f aca="false">W18+Y18+AA18+AC18+AE18+AG18+AI18+AK18+AM18+AO18+AQ18+AS18+AU18+AW18+AY18+BA18+BC18+BE18+BG18+BI18+BK18+BM18+BO18+BQ18+BS18+BU18+BW18+BY18+CA18+CC18+CE18+CG18+CI18+CK18+CM18+CO18+CQ18+CS18+CU18+CW18</f>
        <v>0</v>
      </c>
      <c r="CZ18" s="83" t="n">
        <f aca="false">IF(AND(CY18=0,DC18=0),0,(DF18+DG18)/DC18)</f>
        <v>0</v>
      </c>
      <c r="DA18" s="84" t="n">
        <f aca="false">DC18*DD18</f>
        <v>0</v>
      </c>
      <c r="DB18" s="85" t="n">
        <f aca="false">V18</f>
        <v>37141</v>
      </c>
      <c r="DC18" s="84" t="n">
        <f aca="false">ABS(W18)+ABS(Y18)+ABS(AA18)+ABS(AC18)+ABS(AE18)+ABS(AG18)+ABS(AI18)+ABS(AK18)+ABS(AM18)+ABS(AO18)+ABS(AQ18)+ABS(AS18)+ABS(AU18)+ABS(AW18)+ABS(AY18)+ABS(BA18)+ABS(BC18)+ABS(BE18)+ABS(BG18)+ABS(BI18)+ABS(BK18)+ABS(BM18)+ABS(BO18)+ABS(BQ18)+ABS(BS18)+ABS(BU18)+ABS(BW18)+ABS(BY18)+ABS(CA18)+ABS(CC18)+ABS(CE18)+ABS(CG18)+ABS(CI18)+ABS(CK18)+ABS(CM18)+ABS(CO18)+ABS(CQ18)+ABS(CS18)+ABS(CU18)+ABS(CW18)</f>
        <v>0</v>
      </c>
      <c r="DD18" s="86" t="n">
        <v>16</v>
      </c>
      <c r="DE18" s="84" t="n">
        <v>1</v>
      </c>
      <c r="DF18" s="43" t="n">
        <f aca="false">(ABS(W18)*X18+ABS(Y18)*Z18+ABS(AA18)*AB18+ABS(AC18)*AD18+ABS(AE18)*AF19+ABS(AG19)*AH18+ABS(AI18)*AJ18+ABS(AK18)*AL18+ABS(AM18)*AN18+ABS(AO18)*AP18+ABS(AQ18)*AR18+ABS(AS18)*AT18+ABS(AU18)*AV18+ABS(AW18)*AX18+ABS(AY18)*AZ18+ABS(BA18)*BB18+ABS(BC18)*BD18+ABS(BE18)*BF18+ABS(BG18)*BH18+ABS(BI18)*BJ18)</f>
        <v>0</v>
      </c>
      <c r="DG18" s="43" t="n">
        <f aca="false">ABS(BK18)*BL18+ABS(BM18)*BN18+ABS(BO18)*BP18+ABS(BQ18)*BR18+ABS(BS18)*BT18+ABS(BU18)*BV18+ABS(BW18)*BX18+ABS(BY18)*BZ18+ABS(CA18)*CB18+ABS(CC18)*CD18+ABS(CE18)*CF18+ABS(CG18)*CH18+ABS(CI18)*CJ18+ABS(CK18)*CL18+ABS(CM18)*CN18+ABS(CO18)*CP18+ABS(CQ18)*CR18+ABS(CS18)*CT18+ABS(CU18)*CV18+ABS(CW18)*CX18</f>
        <v>0</v>
      </c>
      <c r="DH18" s="43" t="n">
        <f aca="false">((H18-X18)*W18+(H18-Z18)*Y18+(H18-AB18)*AA18+(H18-AD18)*AC18+(H18-AF18)*AE18+(H18-AH18)*AG18+(H18-AJ18)*AI18+(H18-AL18)*AK18+(H18-AN18)*AM18+(H18-AP18)*AO18+(H18-AR18)*AQ18+(H18-AT18)*AS18+(H18-AV18)*AU18+(H18-AX18)*AW18+(H18-AZ18)*AY18+(H18-BB18)*BA18+(H18-BD18)*BC18+(H18-BF18)*BE18+(H18-BH18)*BG18+(H18-BJ18)*BI18)*DD18*DE18</f>
        <v>0</v>
      </c>
      <c r="DI18" s="43" t="n">
        <f aca="false">(((H18-BL18)*BK18+(H18-BN18)*BM18+(H18-BP18)*BO18+(H18-BR18)*BQ18+(H18-BT18)*BS18+(H18-BV18)*BU18+(H18-BX18)*BW18+(H18-BZ18)*BY18+(H18-CB18)*CA18+(H18-CD18)*CC18+(H18-CF18)*CE18+(H18-CH18)*CG18+(H18-CJ18)*CH18+(H18-CL18)*CK18+(H18-CN18)*CM18+(H18-CP18)*CO18+(H18-CR18)*CQ18+(H18-CT18)*CS18+(H18-CV18)*CU18+(H18-CX18)*CW18)*DD18*DE18)</f>
        <v>0</v>
      </c>
      <c r="DK18" s="85" t="n">
        <v>36845</v>
      </c>
      <c r="DL18" s="21" t="n">
        <v>-49.7253837585449</v>
      </c>
      <c r="DN18" s="21" t="n">
        <f aca="false">IF(AND(WEEKDAY(DK18)&gt;1,WEEKDAY(DK18)&lt;7),1,0)</f>
        <v>1</v>
      </c>
    </row>
    <row r="19" customFormat="false" ht="18.75" hidden="false" customHeight="false" outlineLevel="0" collapsed="false">
      <c r="A19" s="58" t="n">
        <f aca="false">'NYISO A'!A19</f>
        <v>37142</v>
      </c>
      <c r="B19" s="59" t="n">
        <f aca="false">+[3]WestHub!$L10/16+[3]PJM!$L10/16</f>
        <v>0</v>
      </c>
      <c r="C19" s="101" t="n">
        <f aca="false">CY19</f>
        <v>0</v>
      </c>
      <c r="D19" s="87" t="n">
        <f aca="false">(IF(MONTH(A19)=MONTH(EOMONTH(TradeDate,1)),$AP$66,0)*VLOOKUP(A19,$DK$12:$DN$43,4))</f>
        <v>0</v>
      </c>
      <c r="E19" s="62" t="n">
        <f aca="false">+B19+C19+D19</f>
        <v>0</v>
      </c>
      <c r="F19" s="63" t="n">
        <f aca="false">[3]WestHub!$C10</f>
        <v>25</v>
      </c>
      <c r="G19" s="88" t="n">
        <f aca="false">IF($Q$9,Q19,P19)</f>
        <v>8.05</v>
      </c>
      <c r="H19" s="89" t="n">
        <f aca="false">F19+G19</f>
        <v>33.05</v>
      </c>
      <c r="I19" s="87" t="n">
        <f aca="false">B19*G19*DD19</f>
        <v>0</v>
      </c>
      <c r="J19" s="66" t="n">
        <f aca="false">DH19+DI19</f>
        <v>0</v>
      </c>
      <c r="K19" s="66" t="n">
        <f aca="false">I19+J19</f>
        <v>0</v>
      </c>
      <c r="L19" s="24"/>
      <c r="M19" s="67" t="n">
        <f aca="false">A19</f>
        <v>37142</v>
      </c>
      <c r="N19" s="68" t="n">
        <v>33.05</v>
      </c>
      <c r="O19" s="68" t="n">
        <v>33.05</v>
      </c>
      <c r="P19" s="69" t="n">
        <f aca="false">AVERAGE(N19:O19)-F19</f>
        <v>8.05</v>
      </c>
      <c r="Q19" s="70"/>
      <c r="R19" s="91" t="n">
        <f aca="false">H19</f>
        <v>33.05</v>
      </c>
      <c r="S19" s="24"/>
      <c r="T19" s="0"/>
      <c r="U19" s="72"/>
      <c r="V19" s="73" t="n">
        <f aca="false">A19</f>
        <v>37142</v>
      </c>
      <c r="W19" s="77"/>
      <c r="X19" s="99"/>
      <c r="Y19" s="77"/>
      <c r="Z19" s="99"/>
      <c r="AA19" s="77"/>
      <c r="AB19" s="99"/>
      <c r="AC19" s="77"/>
      <c r="AD19" s="78"/>
      <c r="AE19" s="77"/>
      <c r="AF19" s="78"/>
      <c r="AG19" s="77"/>
      <c r="AH19" s="78"/>
      <c r="AI19" s="77"/>
      <c r="AJ19" s="99"/>
      <c r="AK19" s="77"/>
      <c r="AL19" s="99"/>
      <c r="AM19" s="77"/>
      <c r="AN19" s="78"/>
      <c r="AO19" s="77"/>
      <c r="AP19" s="78"/>
      <c r="AQ19" s="77"/>
      <c r="AR19" s="78"/>
      <c r="AS19" s="77"/>
      <c r="AT19" s="99"/>
      <c r="AU19" s="94"/>
      <c r="AV19" s="95"/>
      <c r="AW19" s="96"/>
      <c r="AX19" s="75"/>
      <c r="AY19" s="81"/>
      <c r="AZ19" s="75"/>
      <c r="BA19" s="81"/>
      <c r="BB19" s="75"/>
      <c r="BC19" s="81"/>
      <c r="BD19" s="75"/>
      <c r="BE19" s="81"/>
      <c r="BF19" s="75"/>
      <c r="BG19" s="81"/>
      <c r="BH19" s="75"/>
      <c r="BI19" s="81"/>
      <c r="BJ19" s="75"/>
      <c r="BK19" s="81"/>
      <c r="BL19" s="75"/>
      <c r="BM19" s="81"/>
      <c r="BN19" s="75"/>
      <c r="BO19" s="81"/>
      <c r="BP19" s="75"/>
      <c r="BQ19" s="81"/>
      <c r="BR19" s="75"/>
      <c r="BS19" s="81"/>
      <c r="BT19" s="75"/>
      <c r="BU19" s="81"/>
      <c r="BV19" s="75"/>
      <c r="BW19" s="81"/>
      <c r="BX19" s="75"/>
      <c r="BY19" s="81"/>
      <c r="BZ19" s="75"/>
      <c r="CA19" s="81"/>
      <c r="CB19" s="75"/>
      <c r="CC19" s="81"/>
      <c r="CD19" s="75"/>
      <c r="CE19" s="81"/>
      <c r="CF19" s="75"/>
      <c r="CG19" s="81"/>
      <c r="CH19" s="75"/>
      <c r="CI19" s="81"/>
      <c r="CJ19" s="75"/>
      <c r="CK19" s="81"/>
      <c r="CL19" s="75"/>
      <c r="CM19" s="81"/>
      <c r="CN19" s="75"/>
      <c r="CO19" s="81"/>
      <c r="CP19" s="75"/>
      <c r="CQ19" s="81"/>
      <c r="CR19" s="75"/>
      <c r="CS19" s="81"/>
      <c r="CT19" s="75"/>
      <c r="CU19" s="81"/>
      <c r="CV19" s="75"/>
      <c r="CW19" s="81"/>
      <c r="CX19" s="75"/>
      <c r="CY19" s="82" t="n">
        <f aca="false">W19+Y19+AA19+AC19+AE19+AG19+AI19+AK19+AM19+AO19+AQ19+AS19+AU19+AW19+AY19+BA19+BC19+BE19+BG19+BI19+BK19+BM19+BO19+BQ19+BS19+BU19+BW19+BY19+CA19+CC19+CE19+CG19+CI19+CK19+CM19+CO19+CQ19+CS19+CU19+CW19</f>
        <v>0</v>
      </c>
      <c r="CZ19" s="83" t="n">
        <f aca="false">IF(AND(CY19=0,DC19=0),0,(DF19+DG19)/DC19)</f>
        <v>0</v>
      </c>
      <c r="DA19" s="84" t="n">
        <f aca="false">DC19*DD19</f>
        <v>0</v>
      </c>
      <c r="DB19" s="85" t="n">
        <f aca="false">V19</f>
        <v>37142</v>
      </c>
      <c r="DC19" s="84" t="n">
        <f aca="false">ABS(W19)+ABS(Y19)+ABS(AA19)+ABS(AC19)+ABS(AE19)+ABS(AG19)+ABS(AI19)+ABS(AK19)+ABS(AM19)+ABS(AO19)+ABS(AQ19)+ABS(AS19)+ABS(AU19)+ABS(AW19)+ABS(AY19)+ABS(BA19)+ABS(BC19)+ABS(BE19)+ABS(BG19)+ABS(BI19)+ABS(BK19)+ABS(BM19)+ABS(BO19)+ABS(BQ19)+ABS(BS19)+ABS(BU19)+ABS(BW19)+ABS(BY19)+ABS(CA19)+ABS(CC19)+ABS(CE19)+ABS(CG19)+ABS(CI19)+ABS(CK19)+ABS(CM19)+ABS(CO19)+ABS(CQ19)+ABS(CS19)+ABS(CU19)+ABS(CW19)</f>
        <v>0</v>
      </c>
      <c r="DD19" s="86" t="n">
        <v>16</v>
      </c>
      <c r="DE19" s="84" t="n">
        <v>1</v>
      </c>
      <c r="DF19" s="43" t="n">
        <f aca="false">(ABS(W19)*X19+ABS(Y19)*Z19+ABS(AA19)*AB19+ABS(AC19)*AD19+ABS(AE19)*AF20+ABS(AG20)*AH19+ABS(AI19)*AJ19+ABS(AK19)*AL19+ABS(AM19)*AN19+ABS(AO19)*AP19+ABS(AQ19)*AR19+ABS(AS19)*AT19+ABS(AU19)*AV19+ABS(AW19)*AX19+ABS(AY19)*AZ19+ABS(BA19)*BB19+ABS(BC19)*BD19+ABS(BE19)*BF19+ABS(BG19)*BH19+ABS(BI19)*BJ19)</f>
        <v>0</v>
      </c>
      <c r="DG19" s="43" t="n">
        <f aca="false">ABS(BK19)*BL19+ABS(BM19)*BN19+ABS(BO19)*BP19+ABS(BQ19)*BR19+ABS(BS19)*BT19+ABS(BU19)*BV19+ABS(BW19)*BX19+ABS(BY19)*BZ19+ABS(CA19)*CB19+ABS(CC19)*CD19+ABS(CE19)*CF19+ABS(CG19)*CH19+ABS(CI19)*CJ19+ABS(CK19)*CL19+ABS(CM19)*CN19+ABS(CO19)*CP19+ABS(CQ19)*CR19+ABS(CS19)*CT19+ABS(CU19)*CV19+ABS(CW19)*CX19</f>
        <v>0</v>
      </c>
      <c r="DH19" s="43" t="n">
        <f aca="false">((H19-X19)*W19+(H19-Z19)*Y19+(H19-AB19)*AA19+(H19-AD19)*AC19+(H19-AF19)*AE19+(H19-AH19)*AG19+(H19-AJ19)*AI19+(H19-AL19)*AK19+(H19-AN19)*AM19+(H19-AP19)*AO19+(H19-AR19)*AQ19+(H19-AT19)*AS19+(H19-AV19)*AU19+(H19-AX19)*AW19+(H19-AZ19)*AY19+(H19-BB19)*BA19+(H19-BD19)*BC19+(H19-BF19)*BE19+(H19-BH19)*BG19+(H19-BJ19)*BI19)*DD19*DE19</f>
        <v>0</v>
      </c>
      <c r="DI19" s="43" t="n">
        <f aca="false">(((H19-BL19)*BK19+(H19-BN19)*BM19+(H19-BP19)*BO19+(H19-BR19)*BQ19+(H19-BT19)*BS19+(H19-BV19)*BU19+(H19-BX19)*BW19+(H19-BZ19)*BY19+(H19-CB19)*CA19+(H19-CD19)*CC19+(H19-CF19)*CE19+(H19-CH19)*CG19+(H19-CJ19)*CH19+(H19-CL19)*CK19+(H19-CN19)*CM19+(H19-CP19)*CO19+(H19-CR19)*CQ19+(H19-CT19)*CS19+(H19-CV19)*CU19+(H19-CX19)*CW19)*DD19*DE19)</f>
        <v>0</v>
      </c>
      <c r="DK19" s="85" t="n">
        <v>36846</v>
      </c>
      <c r="DL19" s="21" t="n">
        <v>-49.7253837585449</v>
      </c>
      <c r="DN19" s="21" t="n">
        <f aca="false">IF(AND(WEEKDAY(DK19)&gt;1,WEEKDAY(DK19)&lt;7),1,0)</f>
        <v>1</v>
      </c>
    </row>
    <row r="20" customFormat="false" ht="18.75" hidden="false" customHeight="false" outlineLevel="0" collapsed="false">
      <c r="A20" s="58" t="n">
        <f aca="false">'NYISO A'!A20</f>
        <v>37143</v>
      </c>
      <c r="B20" s="59" t="n">
        <f aca="false">+[3]WestHub!$L11/16+[3]PJM!$L11/16</f>
        <v>0</v>
      </c>
      <c r="C20" s="60" t="n">
        <f aca="false">CY20</f>
        <v>0</v>
      </c>
      <c r="D20" s="61" t="n">
        <f aca="false">(IF(MONTH(A20)=MONTH(EOMONTH(TradeDate,1)),$AP$66,0)*VLOOKUP(A20,$DK$12:$DN$43,4))</f>
        <v>0</v>
      </c>
      <c r="E20" s="62" t="n">
        <f aca="false">+B20+C20+D20</f>
        <v>0</v>
      </c>
      <c r="F20" s="63" t="n">
        <f aca="false">[3]WestHub!$C11</f>
        <v>25</v>
      </c>
      <c r="G20" s="63" t="n">
        <f aca="false">IF($Q$9,Q20,P20)</f>
        <v>5.8</v>
      </c>
      <c r="H20" s="64" t="n">
        <f aca="false">F20+G20</f>
        <v>30.8</v>
      </c>
      <c r="I20" s="65" t="n">
        <f aca="false">B20*G20*DD20</f>
        <v>0</v>
      </c>
      <c r="J20" s="66" t="n">
        <f aca="false">DH20+DI20</f>
        <v>0</v>
      </c>
      <c r="K20" s="90" t="n">
        <f aca="false">I20+J20</f>
        <v>0</v>
      </c>
      <c r="L20" s="42"/>
      <c r="M20" s="67" t="n">
        <f aca="false">A20</f>
        <v>37143</v>
      </c>
      <c r="N20" s="68" t="n">
        <v>30.8</v>
      </c>
      <c r="O20" s="68" t="n">
        <v>30.8</v>
      </c>
      <c r="P20" s="69" t="n">
        <f aca="false">AVERAGE(N20:O20)-F20</f>
        <v>5.8</v>
      </c>
      <c r="Q20" s="70"/>
      <c r="R20" s="91" t="n">
        <f aca="false">H20</f>
        <v>30.8</v>
      </c>
      <c r="S20" s="24"/>
      <c r="T20" s="0"/>
      <c r="U20" s="72"/>
      <c r="V20" s="73" t="n">
        <f aca="false">A20</f>
        <v>37143</v>
      </c>
      <c r="W20" s="77"/>
      <c r="X20" s="99"/>
      <c r="Y20" s="77"/>
      <c r="Z20" s="99"/>
      <c r="AA20" s="77"/>
      <c r="AB20" s="99"/>
      <c r="AC20" s="77"/>
      <c r="AD20" s="99"/>
      <c r="AE20" s="77"/>
      <c r="AF20" s="99"/>
      <c r="AG20" s="77"/>
      <c r="AH20" s="99"/>
      <c r="AI20" s="77"/>
      <c r="AJ20" s="99"/>
      <c r="AK20" s="77"/>
      <c r="AL20" s="78"/>
      <c r="AM20" s="77"/>
      <c r="AN20" s="78"/>
      <c r="AO20" s="77"/>
      <c r="AP20" s="78"/>
      <c r="AQ20" s="77"/>
      <c r="AR20" s="78"/>
      <c r="AS20" s="77"/>
      <c r="AT20" s="99"/>
      <c r="AU20" s="94"/>
      <c r="AV20" s="95"/>
      <c r="AW20" s="96"/>
      <c r="AX20" s="75"/>
      <c r="AY20" s="81"/>
      <c r="AZ20" s="75"/>
      <c r="BA20" s="81"/>
      <c r="BB20" s="75"/>
      <c r="BC20" s="81"/>
      <c r="BD20" s="75"/>
      <c r="BE20" s="81"/>
      <c r="BF20" s="75"/>
      <c r="BG20" s="81"/>
      <c r="BH20" s="75"/>
      <c r="BI20" s="81"/>
      <c r="BJ20" s="75"/>
      <c r="BK20" s="81"/>
      <c r="BL20" s="75"/>
      <c r="BM20" s="81"/>
      <c r="BN20" s="75"/>
      <c r="BO20" s="81"/>
      <c r="BP20" s="75"/>
      <c r="BQ20" s="81"/>
      <c r="BR20" s="75"/>
      <c r="BS20" s="81"/>
      <c r="BT20" s="75"/>
      <c r="BU20" s="81"/>
      <c r="BV20" s="75"/>
      <c r="BW20" s="81"/>
      <c r="BX20" s="75"/>
      <c r="BY20" s="81"/>
      <c r="BZ20" s="75"/>
      <c r="CA20" s="81"/>
      <c r="CB20" s="75"/>
      <c r="CC20" s="81"/>
      <c r="CD20" s="75"/>
      <c r="CE20" s="81"/>
      <c r="CF20" s="75"/>
      <c r="CG20" s="81"/>
      <c r="CH20" s="75"/>
      <c r="CI20" s="81"/>
      <c r="CJ20" s="75"/>
      <c r="CK20" s="81"/>
      <c r="CL20" s="75"/>
      <c r="CM20" s="81"/>
      <c r="CN20" s="75"/>
      <c r="CO20" s="81"/>
      <c r="CP20" s="75"/>
      <c r="CQ20" s="81"/>
      <c r="CR20" s="75"/>
      <c r="CS20" s="81"/>
      <c r="CT20" s="75"/>
      <c r="CU20" s="81"/>
      <c r="CV20" s="75"/>
      <c r="CW20" s="81"/>
      <c r="CX20" s="75"/>
      <c r="CY20" s="82" t="n">
        <f aca="false">W20+Y20+AA20+AC20+AE20+AG20+AI20+AK20+AM20+AO20+AQ20+AS20+AU20+AW20+AY20+BA20+BC20+BE20+BG20+BI20+BK20+BM20+BO20+BQ20+BS20+BU20+BW20+BY20+CA20+CC20+CE20+CG20+CI20+CK20+CM20+CO20+CQ20+CS20+CU20+CW20</f>
        <v>0</v>
      </c>
      <c r="CZ20" s="83" t="n">
        <f aca="false">IF(AND(CY20=0,DC20=0),0,(DF20+DG20)/DC20)</f>
        <v>0</v>
      </c>
      <c r="DA20" s="84" t="n">
        <f aca="false">DC20*DD20</f>
        <v>0</v>
      </c>
      <c r="DB20" s="85" t="n">
        <f aca="false">V20</f>
        <v>37143</v>
      </c>
      <c r="DC20" s="84" t="n">
        <f aca="false">ABS(W20)+ABS(Y20)+ABS(AA20)+ABS(AC20)+ABS(AE20)+ABS(AG20)+ABS(AI20)+ABS(AK20)+ABS(AM20)+ABS(AO20)+ABS(AQ20)+ABS(AS20)+ABS(AU20)+ABS(AW20)+ABS(AY20)+ABS(BA20)+ABS(BC20)+ABS(BE20)+ABS(BG20)+ABS(BI20)+ABS(BK20)+ABS(BM20)+ABS(BO20)+ABS(BQ20)+ABS(BS20)+ABS(BU20)+ABS(BW20)+ABS(BY20)+ABS(CA20)+ABS(CC20)+ABS(CE20)+ABS(CG20)+ABS(CI20)+ABS(CK20)+ABS(CM20)+ABS(CO20)+ABS(CQ20)+ABS(CS20)+ABS(CU20)+ABS(CW20)</f>
        <v>0</v>
      </c>
      <c r="DD20" s="86" t="n">
        <v>16</v>
      </c>
      <c r="DE20" s="84" t="n">
        <v>1</v>
      </c>
      <c r="DF20" s="43" t="n">
        <f aca="false">(ABS(W20)*X20+ABS(Y20)*Z20+ABS(AA20)*AB20+ABS(AC20)*AD20+ABS(AE20)*AF21+ABS(AG21)*AH20+ABS(AI20)*AJ20+ABS(AK20)*AL20+ABS(AM20)*AN20+ABS(AO20)*AP20+ABS(AQ20)*AR20+ABS(AS20)*AT20+ABS(AU20)*AV20+ABS(AW20)*AX20+ABS(AY20)*AZ20+ABS(BA20)*BB20+ABS(BC20)*BD20+ABS(BE20)*BF20+ABS(BG20)*BH20+ABS(BI20)*BJ20)</f>
        <v>0</v>
      </c>
      <c r="DG20" s="43" t="n">
        <f aca="false">ABS(BK20)*BL20+ABS(BM20)*BN20+ABS(BO20)*BP20+ABS(BQ20)*BR20+ABS(BS20)*BT20+ABS(BU20)*BV20+ABS(BW20)*BX20+ABS(BY20)*BZ20+ABS(CA20)*CB20+ABS(CC20)*CD20+ABS(CE20)*CF20+ABS(CG20)*CH20+ABS(CI20)*CJ20+ABS(CK20)*CL20+ABS(CM20)*CN20+ABS(CO20)*CP20+ABS(CQ20)*CR20+ABS(CS20)*CT20+ABS(CU20)*CV20+ABS(CW20)*CX20</f>
        <v>0</v>
      </c>
      <c r="DH20" s="43" t="n">
        <f aca="false">((H20-X20)*W20+(H20-Z20)*Y20+(H20-AB20)*AA20+(H20-AD20)*AC20+(H20-AF20)*AE20+(H20-AH20)*AG20+(H20-AJ20)*AI20+(H20-AL20)*AK20+(H20-AN20)*AM20+(H20-AP20)*AO20+(H20-AR20)*AQ20+(H20-AT20)*AS20+(H20-AV20)*AU20+(H20-AX20)*AW20+(H20-AZ20)*AY20+(H20-BB20)*BA20+(H20-BD20)*BC20+(H20-BF20)*BE20+(H20-BH20)*BG20+(H20-BJ20)*BI20)*DD20*DE20</f>
        <v>0</v>
      </c>
      <c r="DI20" s="43" t="n">
        <f aca="false">(((H20-BL20)*BK20+(H20-BN20)*BM20+(H20-BP20)*BO20+(H20-BR20)*BQ20+(H20-BT20)*BS20+(H20-BV20)*BU20+(H20-BX20)*BW20+(H20-BZ20)*BY20+(H20-CB20)*CA20+(H20-CD20)*CC20+(H20-CF20)*CE20+(H20-CH20)*CG20+(H20-CJ20)*CH20+(H20-CL20)*CK20+(H20-CN20)*CM20+(H20-CP20)*CO20+(H20-CR20)*CQ20+(H20-CT20)*CS20+(H20-CV20)*CU20+(H20-CX20)*CW20)*DD20*DE20)</f>
        <v>0</v>
      </c>
      <c r="DK20" s="85" t="n">
        <v>36847</v>
      </c>
      <c r="DL20" s="21" t="n">
        <v>-49.7253837585449</v>
      </c>
      <c r="DN20" s="21" t="n">
        <f aca="false">IF(AND(WEEKDAY(DK20)&gt;1,WEEKDAY(DK20)&lt;7),1,0)</f>
        <v>1</v>
      </c>
    </row>
    <row r="21" customFormat="false" ht="18.75" hidden="false" customHeight="false" outlineLevel="0" collapsed="false">
      <c r="A21" s="58" t="n">
        <f aca="false">'NYISO A'!A21</f>
        <v>37144</v>
      </c>
      <c r="B21" s="59" t="n">
        <f aca="false">+[3]WestHub!$L12/16+[3]PJM!$L12/16</f>
        <v>-3.12499998751312E-013</v>
      </c>
      <c r="C21" s="101" t="n">
        <f aca="false">CY21</f>
        <v>0</v>
      </c>
      <c r="D21" s="87" t="n">
        <f aca="false">(IF(MONTH(A21)=MONTH(EOMONTH(TradeDate,1)),$AP$66,0)*VLOOKUP(A21,$DK$12:$DN$43,4))</f>
        <v>0</v>
      </c>
      <c r="E21" s="62" t="n">
        <f aca="false">+B21+C21+D21</f>
        <v>-3.12499998751312E-013</v>
      </c>
      <c r="F21" s="63" t="n">
        <f aca="false">[3]WestHub!$C12</f>
        <v>34.2500038146973</v>
      </c>
      <c r="G21" s="88" t="n">
        <f aca="false">IF($Q$9,Q21,P21)</f>
        <v>-3.45000381469727</v>
      </c>
      <c r="H21" s="89" t="n">
        <f aca="false">F21+G21</f>
        <v>30.8</v>
      </c>
      <c r="I21" s="87" t="n">
        <f aca="false">B21*G21*DD21</f>
        <v>1.72500190045587E-011</v>
      </c>
      <c r="J21" s="66" t="n">
        <f aca="false">DH21+DI21</f>
        <v>0</v>
      </c>
      <c r="K21" s="66" t="n">
        <f aca="false">I21+J21</f>
        <v>1.72500190045587E-011</v>
      </c>
      <c r="L21" s="42"/>
      <c r="M21" s="67" t="n">
        <f aca="false">A21</f>
        <v>37144</v>
      </c>
      <c r="N21" s="68" t="n">
        <v>30.8</v>
      </c>
      <c r="O21" s="68" t="n">
        <v>30.8</v>
      </c>
      <c r="P21" s="69" t="n">
        <f aca="false">AVERAGE(N21:O21)-F21</f>
        <v>-3.45000381469727</v>
      </c>
      <c r="Q21" s="70"/>
      <c r="R21" s="91" t="n">
        <f aca="false">H21</f>
        <v>30.8</v>
      </c>
      <c r="S21" s="24"/>
      <c r="T21" s="0"/>
      <c r="U21" s="72"/>
      <c r="V21" s="73" t="n">
        <f aca="false">A21</f>
        <v>37144</v>
      </c>
      <c r="W21" s="77"/>
      <c r="X21" s="99"/>
      <c r="Y21" s="77"/>
      <c r="Z21" s="78"/>
      <c r="AA21" s="77"/>
      <c r="AB21" s="99"/>
      <c r="AC21" s="77"/>
      <c r="AD21" s="99"/>
      <c r="AE21" s="77"/>
      <c r="AF21" s="78"/>
      <c r="AG21" s="77"/>
      <c r="AH21" s="78"/>
      <c r="AI21" s="77"/>
      <c r="AJ21" s="78"/>
      <c r="AK21" s="77"/>
      <c r="AL21" s="78"/>
      <c r="AM21" s="77"/>
      <c r="AN21" s="78"/>
      <c r="AO21" s="77"/>
      <c r="AP21" s="78"/>
      <c r="AQ21" s="77"/>
      <c r="AR21" s="78"/>
      <c r="AS21" s="77"/>
      <c r="AT21" s="160"/>
      <c r="AU21" s="94"/>
      <c r="AV21" s="95"/>
      <c r="AW21" s="96"/>
      <c r="AX21" s="75"/>
      <c r="AY21" s="81"/>
      <c r="AZ21" s="75"/>
      <c r="BA21" s="81"/>
      <c r="BB21" s="75"/>
      <c r="BC21" s="81"/>
      <c r="BD21" s="75"/>
      <c r="BE21" s="81"/>
      <c r="BF21" s="75"/>
      <c r="BG21" s="81"/>
      <c r="BH21" s="75"/>
      <c r="BI21" s="81"/>
      <c r="BJ21" s="75"/>
      <c r="BK21" s="81"/>
      <c r="BL21" s="75"/>
      <c r="BM21" s="81"/>
      <c r="BN21" s="75"/>
      <c r="BO21" s="81"/>
      <c r="BP21" s="75"/>
      <c r="BQ21" s="81"/>
      <c r="BR21" s="75"/>
      <c r="BS21" s="81"/>
      <c r="BT21" s="75"/>
      <c r="BU21" s="81"/>
      <c r="BV21" s="75"/>
      <c r="BW21" s="81"/>
      <c r="BX21" s="75"/>
      <c r="BY21" s="81"/>
      <c r="BZ21" s="75"/>
      <c r="CA21" s="81"/>
      <c r="CB21" s="75"/>
      <c r="CC21" s="81"/>
      <c r="CD21" s="75"/>
      <c r="CE21" s="81"/>
      <c r="CF21" s="75"/>
      <c r="CG21" s="81"/>
      <c r="CH21" s="75"/>
      <c r="CI21" s="81"/>
      <c r="CJ21" s="75"/>
      <c r="CK21" s="81"/>
      <c r="CL21" s="75"/>
      <c r="CM21" s="81"/>
      <c r="CN21" s="75"/>
      <c r="CO21" s="81"/>
      <c r="CP21" s="75"/>
      <c r="CQ21" s="81"/>
      <c r="CR21" s="75"/>
      <c r="CS21" s="81"/>
      <c r="CT21" s="75"/>
      <c r="CU21" s="81"/>
      <c r="CV21" s="75"/>
      <c r="CW21" s="81"/>
      <c r="CX21" s="75"/>
      <c r="CY21" s="82" t="n">
        <f aca="false">W21+Y21+AA21+AC21+AE21+AG21+AI21+AK21+AM21+AO21+AQ21+AS21+AU21+AW21+AY21+BA21+BC21+BE21+BG21+BI21+BK21+BM21+BO21+BQ21+BS21+BU21+BW21+BY21+CA21+CC21+CE21+CG21+CI21+CK21+CM21+CO21+CQ21+CS21+CU21+CW21</f>
        <v>0</v>
      </c>
      <c r="CZ21" s="83" t="n">
        <f aca="false">IF(AND(CY21=0,DC21=0),0,(DF21+DG21)/DC21)</f>
        <v>0</v>
      </c>
      <c r="DA21" s="84" t="n">
        <f aca="false">DC21*DD21</f>
        <v>0</v>
      </c>
      <c r="DB21" s="85" t="n">
        <f aca="false">V21</f>
        <v>37144</v>
      </c>
      <c r="DC21" s="84" t="n">
        <f aca="false">ABS(W21)+ABS(Y21)+ABS(AA21)+ABS(AC21)+ABS(AE21)+ABS(AG21)+ABS(AI21)+ABS(AK21)+ABS(AM21)+ABS(AO21)+ABS(AQ21)+ABS(AS21)+ABS(AU21)+ABS(AW21)+ABS(AY21)+ABS(BA21)+ABS(BC21)+ABS(BE21)+ABS(BG21)+ABS(BI21)+ABS(BK21)+ABS(BM21)+ABS(BO21)+ABS(BQ21)+ABS(BS21)+ABS(BU21)+ABS(BW21)+ABS(BY21)+ABS(CA21)+ABS(CC21)+ABS(CE21)+ABS(CG21)+ABS(CI21)+ABS(CK21)+ABS(CM21)+ABS(CO21)+ABS(CQ21)+ABS(CS21)+ABS(CU21)+ABS(CW21)</f>
        <v>0</v>
      </c>
      <c r="DD21" s="86" t="n">
        <v>16</v>
      </c>
      <c r="DE21" s="84" t="n">
        <v>1</v>
      </c>
      <c r="DF21" s="43" t="n">
        <f aca="false">(ABS(W21)*X21+ABS(Y21)*Z21+ABS(AA21)*AB21+ABS(AC21)*AD21+ABS(AE21)*AF21+ABS(AG21)*AH21+ABS(AI21)*AJ21+ABS(AK21)*AL21+ABS(AM21)*AN21+ABS(AO21)*AP21+ABS(AQ21)*AR21+ABS(AS21)*AT21+ABS(AU21)*AV21+ABS(AW21)*AX21+ABS(AY21)*AZ21+ABS(BA21)*BB21+ABS(BC21)*BD21+ABS(BE21)*BF21+ABS(BG21)*BH21+ABS(BI21)*BJ21)</f>
        <v>0</v>
      </c>
      <c r="DG21" s="43" t="n">
        <f aca="false">ABS(BK21)*BL21+ABS(BM21)*BN21+ABS(BO21)*BP21+ABS(BQ21)*BR21+ABS(BS21)*BT21+ABS(BU21)*BV21+ABS(BW21)*BX21+ABS(BY21)*BZ21+ABS(CA21)*CB21+ABS(CC21)*CD21+ABS(CE21)*CF21+ABS(CG21)*CH21+ABS(CI21)*CJ21+ABS(CK21)*CL21+ABS(CM21)*CN21+ABS(CO21)*CP21+ABS(CQ21)*CR21+ABS(CS21)*CT21+ABS(CU21)*CV21+ABS(CW21)*CX21</f>
        <v>0</v>
      </c>
      <c r="DH21" s="43" t="n">
        <f aca="false">((H21-X21)*W21+(H21-Z21)*Y21+(H21-AB21)*AA21+(H21-AD21)*AC21+(H21-AF21)*AE21+(H21-AH21)*AG21+(H21-AJ21)*AI21+(H21-AL21)*AK21+(H21-AN21)*AM21+(H21-AP21)*AO21+(H21-AR21)*AQ21+(H21-AT21)*AS21+(H21-AV21)*AU21+(H21-AX21)*AW21+(H21-AZ21)*AY21+(H21-BB21)*BA21+(H21-BD21)*BC21+(H21-BF21)*BE21+(H21-BH21)*BG21+(H21-BJ21)*BI21)*DD21*DE21</f>
        <v>0</v>
      </c>
      <c r="DI21" s="43" t="n">
        <f aca="false">(((H21-BL21)*BK21+(H21-BN21)*BM21+(H21-BP21)*BO21+(H21-BR21)*BQ21+(H21-BT21)*BS21+(H21-BV21)*BU21+(H21-BX21)*BW21+(H21-BZ21)*BY21+(H21-CB21)*CA21+(H21-CD21)*CC21+(H21-CF21)*CE21+(H21-CH21)*CG21+(H21-CJ21)*CH21+(H21-CL21)*CK21+(H21-CN21)*CM21+(H21-CP21)*CO21+(H21-CR21)*CQ21+(H21-CT21)*CS21+(H21-CV21)*CU21+(H21-CX21)*CW21)*DD21*DE21)</f>
        <v>0</v>
      </c>
      <c r="DK21" s="85" t="n">
        <v>36848</v>
      </c>
      <c r="DL21" s="21" t="n">
        <v>0</v>
      </c>
      <c r="DN21" s="21" t="n">
        <f aca="false">IF(AND(WEEKDAY(DK21)&gt;1,WEEKDAY(DK21)&lt;7),1,0)</f>
        <v>0</v>
      </c>
    </row>
    <row r="22" customFormat="false" ht="18.75" hidden="false" customHeight="false" outlineLevel="0" collapsed="false">
      <c r="A22" s="58" t="n">
        <f aca="false">'NYISO A'!A22</f>
        <v>37145</v>
      </c>
      <c r="B22" s="59" t="n">
        <f aca="false">+[3]WestHub!$L13/16+[3]PJM!$L13/16</f>
        <v>-7.49999997003148E-013</v>
      </c>
      <c r="C22" s="60" t="n">
        <f aca="false">CY22</f>
        <v>0</v>
      </c>
      <c r="D22" s="61" t="n">
        <f aca="false">(IF(MONTH(A22)=MONTH(EOMONTH(TradeDate,1)),$AP$66,0)*VLOOKUP(A22,$DK$12:$DN$43,4))</f>
        <v>0</v>
      </c>
      <c r="E22" s="62" t="n">
        <f aca="false">+B22+C22+D22</f>
        <v>-7.49999997003148E-013</v>
      </c>
      <c r="F22" s="63" t="n">
        <f aca="false">[3]WestHub!$C13</f>
        <v>34.2500038146973</v>
      </c>
      <c r="G22" s="63" t="n">
        <f aca="false">IF($Q$9,Q22,P22)</f>
        <v>-4.05000381469727</v>
      </c>
      <c r="H22" s="64" t="n">
        <f aca="false">F22+G22</f>
        <v>30.2</v>
      </c>
      <c r="I22" s="65" t="n">
        <f aca="false">B22*G22*DD22</f>
        <v>4.8600045582171E-011</v>
      </c>
      <c r="J22" s="66" t="n">
        <f aca="false">DH22+DI22</f>
        <v>0</v>
      </c>
      <c r="K22" s="66" t="n">
        <f aca="false">I22+J22</f>
        <v>4.8600045582171E-011</v>
      </c>
      <c r="L22" s="24"/>
      <c r="M22" s="67" t="n">
        <f aca="false">A22</f>
        <v>37145</v>
      </c>
      <c r="N22" s="68" t="n">
        <v>30.2</v>
      </c>
      <c r="O22" s="68" t="n">
        <v>30.2</v>
      </c>
      <c r="P22" s="69" t="n">
        <f aca="false">AVERAGE(N22:O22)-F22</f>
        <v>-4.05000381469727</v>
      </c>
      <c r="Q22" s="70"/>
      <c r="R22" s="91" t="n">
        <f aca="false">H22</f>
        <v>30.2</v>
      </c>
      <c r="S22" s="24"/>
      <c r="T22" s="0"/>
      <c r="U22" s="72"/>
      <c r="V22" s="73" t="n">
        <f aca="false">A22</f>
        <v>37145</v>
      </c>
      <c r="W22" s="77"/>
      <c r="X22" s="99"/>
      <c r="Y22" s="77"/>
      <c r="Z22" s="78"/>
      <c r="AA22" s="77"/>
      <c r="AB22" s="78"/>
      <c r="AC22" s="77"/>
      <c r="AD22" s="78"/>
      <c r="AE22" s="77"/>
      <c r="AF22" s="78"/>
      <c r="AG22" s="77"/>
      <c r="AH22" s="78"/>
      <c r="AI22" s="77"/>
      <c r="AJ22" s="78"/>
      <c r="AK22" s="77"/>
      <c r="AL22" s="78"/>
      <c r="AM22" s="77"/>
      <c r="AN22" s="78"/>
      <c r="AO22" s="77"/>
      <c r="AP22" s="78"/>
      <c r="AQ22" s="77"/>
      <c r="AR22" s="78"/>
      <c r="AS22" s="77"/>
      <c r="AT22" s="160"/>
      <c r="AU22" s="94"/>
      <c r="AV22" s="95"/>
      <c r="AW22" s="96"/>
      <c r="AX22" s="75"/>
      <c r="AY22" s="81"/>
      <c r="AZ22" s="75"/>
      <c r="BA22" s="81"/>
      <c r="BB22" s="75"/>
      <c r="BC22" s="81"/>
      <c r="BD22" s="75"/>
      <c r="BE22" s="81"/>
      <c r="BF22" s="75"/>
      <c r="BG22" s="81"/>
      <c r="BH22" s="75"/>
      <c r="BI22" s="81"/>
      <c r="BJ22" s="75"/>
      <c r="BK22" s="81"/>
      <c r="BL22" s="75"/>
      <c r="BM22" s="81"/>
      <c r="BN22" s="75"/>
      <c r="BO22" s="81"/>
      <c r="BP22" s="75"/>
      <c r="BQ22" s="81"/>
      <c r="BR22" s="75"/>
      <c r="BS22" s="81"/>
      <c r="BT22" s="75"/>
      <c r="BU22" s="81"/>
      <c r="BV22" s="75"/>
      <c r="BW22" s="81"/>
      <c r="BX22" s="75"/>
      <c r="BY22" s="81"/>
      <c r="BZ22" s="75"/>
      <c r="CA22" s="81"/>
      <c r="CB22" s="75"/>
      <c r="CC22" s="81"/>
      <c r="CD22" s="75"/>
      <c r="CE22" s="81"/>
      <c r="CF22" s="75"/>
      <c r="CG22" s="81"/>
      <c r="CH22" s="75"/>
      <c r="CI22" s="81"/>
      <c r="CJ22" s="75"/>
      <c r="CK22" s="81"/>
      <c r="CL22" s="75"/>
      <c r="CM22" s="81"/>
      <c r="CN22" s="75"/>
      <c r="CO22" s="81"/>
      <c r="CP22" s="75"/>
      <c r="CQ22" s="81"/>
      <c r="CR22" s="75"/>
      <c r="CS22" s="81"/>
      <c r="CT22" s="75"/>
      <c r="CU22" s="81"/>
      <c r="CV22" s="75"/>
      <c r="CW22" s="81"/>
      <c r="CX22" s="75"/>
      <c r="CY22" s="82" t="n">
        <f aca="false">W22+Y22+AA22+AC22+AE22+AG22+AI22+AK22+AM22+AO22+AQ22+AS22+AU22+AW22+AY22+BA22+BC22+BE22+BG22+BI22+BK22+BM22+BO22+BQ22+BS22+BU22+BW22+BY22+CA22+CC22+CE22+CG22+CI22+CK22+CM22+CO22+CQ22+CS22+CU22+CW22</f>
        <v>0</v>
      </c>
      <c r="CZ22" s="83" t="n">
        <f aca="false">IF(AND(CY22=0,DC22=0),0,(DF22+DG22)/DC22)</f>
        <v>0</v>
      </c>
      <c r="DA22" s="84" t="n">
        <f aca="false">DC22*DD22</f>
        <v>0</v>
      </c>
      <c r="DB22" s="85" t="n">
        <f aca="false">V22</f>
        <v>37145</v>
      </c>
      <c r="DC22" s="84" t="n">
        <f aca="false">ABS(W22)+ABS(Y22)+ABS(AA22)+ABS(AC22)+ABS(AE22)+ABS(AG22)+ABS(AI22)+ABS(AK22)+ABS(AM22)+ABS(AO22)+ABS(AQ22)+ABS(AS22)+ABS(AU22)+ABS(AW22)+ABS(AY22)+ABS(BA22)+ABS(BC22)+ABS(BE22)+ABS(BG22)+ABS(BI22)+ABS(BK22)+ABS(BM22)+ABS(BO22)+ABS(BQ22)+ABS(BS22)+ABS(BU22)+ABS(BW22)+ABS(BY22)+ABS(CA22)+ABS(CC22)+ABS(CE22)+ABS(CG22)+ABS(CI22)+ABS(CK22)+ABS(CM22)+ABS(CO22)+ABS(CQ22)+ABS(CS22)+ABS(CU22)+ABS(CW22)</f>
        <v>0</v>
      </c>
      <c r="DD22" s="86" t="n">
        <v>16</v>
      </c>
      <c r="DE22" s="84" t="n">
        <v>1</v>
      </c>
      <c r="DF22" s="43" t="n">
        <f aca="false">(ABS(W22)*X22+ABS(Y22)*Z22+ABS(AA22)*AB22+ABS(AC22)*AD22+ABS(AE22)*AF22+ABS(AG22)*AH22+ABS(AI22)*AJ22+ABS(AK22)*AL22+ABS(AM22)*AN22+ABS(AO22)*AP22+ABS(AQ22)*AR22+ABS(AS22)*AT22+ABS(AU22)*AV22+ABS(AW22)*AX22+ABS(AY22)*AZ22+ABS(BA22)*BB22+ABS(BC22)*BD22+ABS(BE22)*BF22+ABS(BG22)*BH22+ABS(BI22)*BJ22)</f>
        <v>0</v>
      </c>
      <c r="DG22" s="43" t="n">
        <f aca="false">ABS(BK22)*BL22+ABS(BM22)*BN22+ABS(BO22)*BP22+ABS(BQ22)*BR22+ABS(BS22)*BT22+ABS(BU22)*BV22+ABS(BW22)*BX22+ABS(BY22)*BZ22+ABS(CA22)*CB22+ABS(CC22)*CD22+ABS(CE22)*CF22+ABS(CG22)*CH22+ABS(CI22)*CJ22+ABS(CK22)*CL22+ABS(CM22)*CN22+ABS(CO22)*CP22+ABS(CQ22)*CR22+ABS(CS22)*CT22+ABS(CU22)*CV22+ABS(CW22)*CX22</f>
        <v>0</v>
      </c>
      <c r="DH22" s="43" t="n">
        <f aca="false">((H22-X22)*W22+(H22-Z22)*Y22+(H22-AB22)*AA22+(H22-AD22)*AC22+(H22-AF22)*AE22+(H22-AH22)*AG22+(H22-AJ22)*AI22+(H22-AL22)*AK22+(H22-AN22)*AM22+(H22-AP22)*AO22+(H22-AR22)*AQ22+(H22-AT22)*AS22+(H22-AV22)*AU22+(H22-AX22)*AW22+(H22-AZ22)*AY22+(H22-BB22)*BA22+(H22-BD22)*BC22+(H22-BF22)*BE22+(H22-BH22)*BG22+(H22-BJ22)*BI22)*DD22*DE22</f>
        <v>0</v>
      </c>
      <c r="DI22" s="43" t="n">
        <f aca="false">(((H22-BL22)*BK22+(H22-BN22)*BM22+(H22-BP22)*BO22+(H22-BR22)*BQ22+(H22-BT22)*BS22+(H22-BV22)*BU22+(H22-BX22)*BW22+(H22-BZ22)*BY22+(H22-CB22)*CA22+(H22-CD22)*CC22+(H22-CF22)*CE22+(H22-CH22)*CG22+(H22-CJ22)*CH22+(H22-CL22)*CK22+(H22-CN22)*CM22+(H22-CP22)*CO22+(H22-CR22)*CQ22+(H22-CT22)*CS22+(H22-CV22)*CU22+(H22-CX22)*CW22)*DD22*DE22)</f>
        <v>0</v>
      </c>
      <c r="DK22" s="85" t="n">
        <v>36849</v>
      </c>
      <c r="DL22" s="21" t="n">
        <v>0</v>
      </c>
      <c r="DN22" s="21" t="n">
        <f aca="false">IF(AND(WEEKDAY(DK22)&gt;1,WEEKDAY(DK22)&lt;7),1,0)</f>
        <v>0</v>
      </c>
    </row>
    <row r="23" customFormat="false" ht="18.75" hidden="false" customHeight="false" outlineLevel="0" collapsed="false">
      <c r="A23" s="58" t="n">
        <f aca="false">'NYISO A'!A23</f>
        <v>37146</v>
      </c>
      <c r="B23" s="59" t="n">
        <f aca="false">+[3]WestHub!$L14/16+[3]PJM!$L14/16</f>
        <v>3.12499998751312E-013</v>
      </c>
      <c r="C23" s="101" t="n">
        <f aca="false">CY23</f>
        <v>0</v>
      </c>
      <c r="D23" s="87" t="n">
        <f aca="false">(IF(MONTH(A23)=MONTH(EOMONTH(TradeDate,1)),$AP$66,0)*VLOOKUP(A23,$DK$12:$DN$43,4))</f>
        <v>0</v>
      </c>
      <c r="E23" s="62" t="n">
        <f aca="false">+B23+C23+D23</f>
        <v>3.12499998751312E-013</v>
      </c>
      <c r="F23" s="63" t="n">
        <f aca="false">[3]WestHub!$C14</f>
        <v>34.2500038146973</v>
      </c>
      <c r="G23" s="88" t="n">
        <f aca="false">IF($Q$9,Q23,P23)</f>
        <v>-4.05000381469727</v>
      </c>
      <c r="H23" s="89" t="n">
        <f aca="false">F23+G23</f>
        <v>30.2</v>
      </c>
      <c r="I23" s="87" t="n">
        <f aca="false">B23*G23*DD23</f>
        <v>-2.02500189925713E-011</v>
      </c>
      <c r="J23" s="66" t="n">
        <f aca="false">DH23+DI23</f>
        <v>0</v>
      </c>
      <c r="K23" s="90" t="n">
        <f aca="false">I23+J23</f>
        <v>-2.02500189925713E-011</v>
      </c>
      <c r="L23" s="24"/>
      <c r="M23" s="67" t="n">
        <f aca="false">A23</f>
        <v>37146</v>
      </c>
      <c r="N23" s="68" t="n">
        <v>30.2</v>
      </c>
      <c r="O23" s="68" t="n">
        <v>30.2</v>
      </c>
      <c r="P23" s="69" t="n">
        <f aca="false">AVERAGE(N23:O23)-F23</f>
        <v>-4.05000381469727</v>
      </c>
      <c r="Q23" s="70"/>
      <c r="R23" s="91" t="n">
        <f aca="false">H23</f>
        <v>30.2</v>
      </c>
      <c r="S23" s="24"/>
      <c r="T23" s="0"/>
      <c r="U23" s="72"/>
      <c r="V23" s="73" t="n">
        <f aca="false">A23</f>
        <v>37146</v>
      </c>
      <c r="W23" s="77"/>
      <c r="X23" s="99"/>
      <c r="Y23" s="77"/>
      <c r="Z23" s="78"/>
      <c r="AA23" s="77"/>
      <c r="AB23" s="78"/>
      <c r="AC23" s="77"/>
      <c r="AD23" s="78"/>
      <c r="AE23" s="77"/>
      <c r="AF23" s="78"/>
      <c r="AG23" s="77"/>
      <c r="AH23" s="78"/>
      <c r="AI23" s="77"/>
      <c r="AJ23" s="78"/>
      <c r="AK23" s="77"/>
      <c r="AL23" s="78"/>
      <c r="AM23" s="77"/>
      <c r="AN23" s="78"/>
      <c r="AO23" s="77"/>
      <c r="AP23" s="78"/>
      <c r="AQ23" s="77"/>
      <c r="AR23" s="78"/>
      <c r="AS23" s="77"/>
      <c r="AT23" s="160"/>
      <c r="AU23" s="94"/>
      <c r="AV23" s="95"/>
      <c r="AW23" s="96"/>
      <c r="AX23" s="75"/>
      <c r="AY23" s="81"/>
      <c r="AZ23" s="75"/>
      <c r="BA23" s="81"/>
      <c r="BB23" s="75"/>
      <c r="BC23" s="81"/>
      <c r="BD23" s="75"/>
      <c r="BE23" s="81"/>
      <c r="BF23" s="75"/>
      <c r="BG23" s="81"/>
      <c r="BH23" s="75"/>
      <c r="BI23" s="81"/>
      <c r="BJ23" s="75"/>
      <c r="BK23" s="81"/>
      <c r="BL23" s="75"/>
      <c r="BM23" s="81"/>
      <c r="BN23" s="75"/>
      <c r="BO23" s="81"/>
      <c r="BP23" s="75"/>
      <c r="BQ23" s="81"/>
      <c r="BR23" s="75"/>
      <c r="BS23" s="81"/>
      <c r="BT23" s="75"/>
      <c r="BU23" s="81"/>
      <c r="BV23" s="75"/>
      <c r="BW23" s="81"/>
      <c r="BX23" s="75"/>
      <c r="BY23" s="81"/>
      <c r="BZ23" s="75"/>
      <c r="CA23" s="81"/>
      <c r="CB23" s="75"/>
      <c r="CC23" s="81"/>
      <c r="CD23" s="75"/>
      <c r="CE23" s="81"/>
      <c r="CF23" s="75"/>
      <c r="CG23" s="81"/>
      <c r="CH23" s="75"/>
      <c r="CI23" s="81"/>
      <c r="CJ23" s="75"/>
      <c r="CK23" s="81"/>
      <c r="CL23" s="75"/>
      <c r="CM23" s="81"/>
      <c r="CN23" s="75"/>
      <c r="CO23" s="81"/>
      <c r="CP23" s="75"/>
      <c r="CQ23" s="81"/>
      <c r="CR23" s="75"/>
      <c r="CS23" s="81"/>
      <c r="CT23" s="75"/>
      <c r="CU23" s="81"/>
      <c r="CV23" s="75"/>
      <c r="CW23" s="81"/>
      <c r="CX23" s="75"/>
      <c r="CY23" s="82" t="n">
        <f aca="false">W23+Y23+AA23+AC23+AE23+AG23+AI23+AK23+AM23+AO23+AQ23+AS23+AU23+AW23+AY23+BA23+BC23+BE23+BG23+BI23+BK23+BM23+BO23+BQ23+BS23+BU23+BW23+BY23+CA23+CC23+CE23+CG23+CI23+CK23+CM23+CO23+CQ23+CS23+CU23+CW23</f>
        <v>0</v>
      </c>
      <c r="CZ23" s="83" t="n">
        <f aca="false">IF(AND(CY23=0,DC23=0),0,(DF23+DG23)/DC23)</f>
        <v>0</v>
      </c>
      <c r="DA23" s="84" t="n">
        <f aca="false">DC23*DD23</f>
        <v>0</v>
      </c>
      <c r="DB23" s="85" t="n">
        <f aca="false">V23</f>
        <v>37146</v>
      </c>
      <c r="DC23" s="84" t="n">
        <f aca="false">ABS(W23)+ABS(Y23)+ABS(AA23)+ABS(AC23)+ABS(AE23)+ABS(AG23)+ABS(AI23)+ABS(AK23)+ABS(AM23)+ABS(AO23)+ABS(AQ23)+ABS(AS23)+ABS(AU23)+ABS(AW23)+ABS(AY23)+ABS(BA23)+ABS(BC23)+ABS(BE23)+ABS(BG23)+ABS(BI23)+ABS(BK23)+ABS(BM23)+ABS(BO23)+ABS(BQ23)+ABS(BS23)+ABS(BU23)+ABS(BW23)+ABS(BY23)+ABS(CA23)+ABS(CC23)+ABS(CE23)+ABS(CG23)+ABS(CI23)+ABS(CK23)+ABS(CM23)+ABS(CO23)+ABS(CQ23)+ABS(CS23)+ABS(CU23)+ABS(CW23)</f>
        <v>0</v>
      </c>
      <c r="DD23" s="86" t="n">
        <v>16</v>
      </c>
      <c r="DE23" s="84" t="n">
        <v>1</v>
      </c>
      <c r="DF23" s="43" t="n">
        <f aca="false">(ABS(W23)*X23+ABS(Y23)*Z23+ABS(AA23)*AB23+ABS(AC23)*AD23+ABS(AE23)*AF23+ABS(AG23)*AH23+ABS(AI23)*AJ23+ABS(AK23)*AL23+ABS(AM23)*AN23+ABS(AO23)*AP23+ABS(AQ23)*AR23+ABS(AS23)*AT23+ABS(AU23)*AV23+ABS(AW23)*AX23+ABS(AY23)*AZ23+ABS(BA23)*BB23+ABS(BC23)*BD23+ABS(BE23)*BF23+ABS(BG23)*BH23+ABS(BI23)*BJ23)</f>
        <v>0</v>
      </c>
      <c r="DG23" s="43" t="n">
        <f aca="false">ABS(BK23)*BL23+ABS(BM23)*BN23+ABS(BO23)*BP23+ABS(BQ23)*BR23+ABS(BS23)*BT23+ABS(BU23)*BV23+ABS(BW23)*BX23+ABS(BY23)*BZ23+ABS(CA23)*CB23+ABS(CC23)*CD23+ABS(CE23)*CF23+ABS(CG23)*CH23+ABS(CI23)*CJ23+ABS(CK23)*CL23+ABS(CM23)*CN23+ABS(CO23)*CP23+ABS(CQ23)*CR23+ABS(CS23)*CT23+ABS(CU23)*CV23+ABS(CW23)*CX23</f>
        <v>0</v>
      </c>
      <c r="DH23" s="43" t="n">
        <f aca="false">((H23-X23)*W23+(H23-Z23)*Y23+(H23-AB23)*AA23+(H23-AD23)*AC23+(H23-AF23)*AE23+(H23-AH23)*AG23+(H23-AJ23)*AI23+(H23-AL23)*AK23+(H23-AN23)*AM23+(H23-AP23)*AO23+(H23-AR23)*AQ23+(H23-AT23)*AS23+(H23-AV23)*AU23+(H23-AX23)*AW23+(H23-AZ23)*AY23+(H23-BB23)*BA23+(H23-BD23)*BC23+(H23-BF23)*BE23+(H23-BH23)*BG23+(H23-BJ23)*BI23)*DD23*DE23</f>
        <v>0</v>
      </c>
      <c r="DI23" s="43" t="n">
        <f aca="false">(((H23-BL23)*BK23+(H23-BN23)*BM23+(H23-BP23)*BO23+(H23-BR23)*BQ23+(H23-BT23)*BS23+(H23-BV23)*BU23+(H23-BX23)*BW23+(H23-BZ23)*BY23+(H23-CB23)*CA23+(H23-CD23)*CC23+(H23-CF23)*CE23+(H23-CH23)*CG23+(H23-CJ23)*CH23+(H23-CL23)*CK23+(H23-CN23)*CM23+(H23-CP23)*CO23+(H23-CR23)*CQ23+(H23-CT23)*CS23+(H23-CV23)*CU23+(H23-CX23)*CW23)*DD23*DE23)</f>
        <v>0</v>
      </c>
      <c r="DK23" s="85" t="n">
        <v>36850</v>
      </c>
      <c r="DL23" s="21" t="n">
        <v>-49.7253837585449</v>
      </c>
      <c r="DM23" s="21" t="n">
        <f aca="false">[5]NEPOOL!$L10</f>
        <v>-1189.7</v>
      </c>
      <c r="DN23" s="21" t="n">
        <f aca="false">IF(AND(WEEKDAY(DK23)&gt;1,WEEKDAY(DK23)&lt;7),1,0)</f>
        <v>1</v>
      </c>
    </row>
    <row r="24" customFormat="false" ht="18.75" hidden="false" customHeight="false" outlineLevel="0" collapsed="false">
      <c r="A24" s="58" t="n">
        <f aca="false">'NYISO A'!A24</f>
        <v>37147</v>
      </c>
      <c r="B24" s="59" t="n">
        <f aca="false">+[3]WestHub!$L15/16+[3]PJM!$L15/16</f>
        <v>-3.12499998751312E-013</v>
      </c>
      <c r="C24" s="60" t="n">
        <f aca="false">CY24</f>
        <v>0</v>
      </c>
      <c r="D24" s="61" t="n">
        <f aca="false">(IF(MONTH(A24)=MONTH(EOMONTH(TradeDate,1)),$AP$66,0)*VLOOKUP(A24,$DK$12:$DN$43,4))</f>
        <v>0</v>
      </c>
      <c r="E24" s="62" t="n">
        <f aca="false">+B24+C24+D24</f>
        <v>-3.12499998751312E-013</v>
      </c>
      <c r="F24" s="63" t="n">
        <f aca="false">[3]WestHub!$C15</f>
        <v>34.2500038146973</v>
      </c>
      <c r="G24" s="63" t="n">
        <f aca="false">IF($Q$9,Q24,P24)</f>
        <v>-4.05000381469727</v>
      </c>
      <c r="H24" s="64" t="n">
        <f aca="false">F24+G24</f>
        <v>30.2</v>
      </c>
      <c r="I24" s="65" t="n">
        <f aca="false">B24*G24*DD24</f>
        <v>2.02500189925713E-011</v>
      </c>
      <c r="J24" s="66" t="n">
        <f aca="false">DH24+DI24</f>
        <v>0</v>
      </c>
      <c r="K24" s="66" t="n">
        <f aca="false">I24+J24</f>
        <v>2.02500189925713E-011</v>
      </c>
      <c r="L24" s="24"/>
      <c r="M24" s="67" t="n">
        <f aca="false">A24</f>
        <v>37147</v>
      </c>
      <c r="N24" s="68" t="n">
        <v>30.2</v>
      </c>
      <c r="O24" s="68" t="n">
        <v>30.2</v>
      </c>
      <c r="P24" s="69" t="n">
        <f aca="false">AVERAGE(N24:O24)-F24</f>
        <v>-4.05000381469727</v>
      </c>
      <c r="Q24" s="70"/>
      <c r="R24" s="91" t="n">
        <f aca="false">H24</f>
        <v>30.2</v>
      </c>
      <c r="S24" s="24"/>
      <c r="T24" s="0"/>
      <c r="U24" s="72"/>
      <c r="V24" s="73" t="n">
        <f aca="false">A24</f>
        <v>37147</v>
      </c>
      <c r="W24" s="77"/>
      <c r="X24" s="99"/>
      <c r="Y24" s="77"/>
      <c r="Z24" s="78"/>
      <c r="AA24" s="77"/>
      <c r="AB24" s="78"/>
      <c r="AC24" s="77"/>
      <c r="AD24" s="78"/>
      <c r="AE24" s="77"/>
      <c r="AF24" s="78"/>
      <c r="AG24" s="77"/>
      <c r="AH24" s="78"/>
      <c r="AI24" s="77"/>
      <c r="AJ24" s="78"/>
      <c r="AK24" s="77"/>
      <c r="AL24" s="78"/>
      <c r="AM24" s="77"/>
      <c r="AN24" s="78"/>
      <c r="AO24" s="77"/>
      <c r="AP24" s="78"/>
      <c r="AQ24" s="77"/>
      <c r="AR24" s="78"/>
      <c r="AS24" s="77"/>
      <c r="AT24" s="160"/>
      <c r="AU24" s="94"/>
      <c r="AV24" s="95"/>
      <c r="AW24" s="96"/>
      <c r="AX24" s="75"/>
      <c r="AY24" s="81"/>
      <c r="AZ24" s="75"/>
      <c r="BA24" s="81"/>
      <c r="BB24" s="75"/>
      <c r="BC24" s="81"/>
      <c r="BD24" s="75"/>
      <c r="BE24" s="81"/>
      <c r="BF24" s="75"/>
      <c r="BG24" s="81"/>
      <c r="BH24" s="75"/>
      <c r="BI24" s="81"/>
      <c r="BJ24" s="75"/>
      <c r="BK24" s="81"/>
      <c r="BL24" s="75"/>
      <c r="BM24" s="81"/>
      <c r="BN24" s="75"/>
      <c r="BO24" s="81"/>
      <c r="BP24" s="75"/>
      <c r="BQ24" s="81"/>
      <c r="BR24" s="75"/>
      <c r="BS24" s="81"/>
      <c r="BT24" s="75"/>
      <c r="BU24" s="81"/>
      <c r="BV24" s="75"/>
      <c r="BW24" s="81"/>
      <c r="BX24" s="75"/>
      <c r="BY24" s="81"/>
      <c r="BZ24" s="75"/>
      <c r="CA24" s="81"/>
      <c r="CB24" s="75"/>
      <c r="CC24" s="81"/>
      <c r="CD24" s="75"/>
      <c r="CE24" s="81"/>
      <c r="CF24" s="75"/>
      <c r="CG24" s="81"/>
      <c r="CH24" s="75"/>
      <c r="CI24" s="81"/>
      <c r="CJ24" s="75"/>
      <c r="CK24" s="81"/>
      <c r="CL24" s="75"/>
      <c r="CM24" s="81"/>
      <c r="CN24" s="75"/>
      <c r="CO24" s="81"/>
      <c r="CP24" s="75"/>
      <c r="CQ24" s="81"/>
      <c r="CR24" s="75"/>
      <c r="CS24" s="81"/>
      <c r="CT24" s="75"/>
      <c r="CU24" s="81"/>
      <c r="CV24" s="75"/>
      <c r="CW24" s="81"/>
      <c r="CX24" s="75"/>
      <c r="CY24" s="82" t="n">
        <f aca="false">W24+Y24+AA24+AC24+AE24+AG24+AI24+AK24+AM24+AO24+AQ24+AS24+AU24+AW24+AY24+BA24+BC24+BE24+BG24+BI24+BK24+BM24+BO24+BQ24+BS24+BU24+BW24+BY24+CA24+CC24+CE24+CG24+CI24+CK24+CM24+CO24+CQ24+CS24+CU24+CW24</f>
        <v>0</v>
      </c>
      <c r="CZ24" s="83" t="n">
        <f aca="false">IF(AND(CY24=0,DC24=0),0,(DF24+DG24)/DC24)</f>
        <v>0</v>
      </c>
      <c r="DA24" s="84" t="n">
        <f aca="false">DC24*DD24</f>
        <v>0</v>
      </c>
      <c r="DB24" s="85" t="n">
        <f aca="false">V24</f>
        <v>37147</v>
      </c>
      <c r="DC24" s="84" t="n">
        <f aca="false">ABS(W24)+ABS(Y24)+ABS(AA24)+ABS(AC24)+ABS(AE24)+ABS(AG24)+ABS(AI24)+ABS(AK24)+ABS(AM24)+ABS(AO24)+ABS(AQ24)+ABS(AS24)+ABS(AU24)+ABS(AW24)+ABS(AY24)+ABS(BA24)+ABS(BC24)+ABS(BE24)+ABS(BG24)+ABS(BI24)+ABS(BK24)+ABS(BM24)+ABS(BO24)+ABS(BQ24)+ABS(BS24)+ABS(BU24)+ABS(BW24)+ABS(BY24)+ABS(CA24)+ABS(CC24)+ABS(CE24)+ABS(CG24)+ABS(CI24)+ABS(CK24)+ABS(CM24)+ABS(CO24)+ABS(CQ24)+ABS(CS24)+ABS(CU24)+ABS(CW24)</f>
        <v>0</v>
      </c>
      <c r="DD24" s="86" t="n">
        <v>16</v>
      </c>
      <c r="DE24" s="84" t="n">
        <v>1</v>
      </c>
      <c r="DF24" s="43" t="n">
        <f aca="false">(ABS(W24)*X24+ABS(Y24)*Z24+ABS(AA24)*AB24+ABS(AC24)*AD24+ABS(AE24)*AF24+ABS(AG24)*AH24+ABS(AI24)*AJ24+ABS(AK24)*AL24+ABS(AM24)*AN24+ABS(AO24)*AP24+ABS(AQ24)*AR24+ABS(AS24)*AT24+ABS(AU24)*AV24+ABS(AW24)*AX24+ABS(AY24)*AZ24+ABS(BA24)*BB24+ABS(BC24)*BD24+ABS(BE24)*BF24+ABS(BG24)*BH24+ABS(BI24)*BJ24)</f>
        <v>0</v>
      </c>
      <c r="DG24" s="43" t="n">
        <f aca="false">ABS(BK24)*BL24+ABS(BM24)*BN24+ABS(BO24)*BP24+ABS(BQ24)*BR24+ABS(BS24)*BT24+ABS(BU24)*BV24+ABS(BW24)*BX24+ABS(BY24)*BZ24+ABS(CA24)*CB24+ABS(CC24)*CD24+ABS(CE24)*CF24+ABS(CG24)*CH24+ABS(CI24)*CJ24+ABS(CK24)*CL24+ABS(CM24)*CN24+ABS(CO24)*CP24+ABS(CQ24)*CR24+ABS(CS24)*CT24+ABS(CU24)*CV24+ABS(CW24)*CX24</f>
        <v>0</v>
      </c>
      <c r="DH24" s="43" t="n">
        <f aca="false">((H24-X24)*W24+(H24-Z24)*Y24+(H24-AB24)*AA24+(H24-AD24)*AC24+(H24-AF24)*AE24+(H24-AH24)*AG24+(H24-AJ24)*AI24+(H24-AL24)*AK24+(H24-AN24)*AM24+(H24-AP24)*AO24+(H24-AR24)*AQ24+(H24-AT24)*AS24+(H24-AV24)*AU24+(H24-AX24)*AW24+(H24-AZ24)*AY24+(H24-BB24)*BA24+(H24-BD24)*BC24+(H24-BF24)*BE24+(H24-BH24)*BG24+(H24-BJ24)*BI24)*DD24*DE24</f>
        <v>0</v>
      </c>
      <c r="DI24" s="43" t="n">
        <f aca="false">(((H24-BL24)*BK24+(H24-BN24)*BM24+(H24-BP24)*BO24+(H24-BR24)*BQ24+(H24-BT24)*BS24+(H24-BV24)*BU24+(H24-BX24)*BW24+(H24-BZ24)*BY24+(H24-CB24)*CA24+(H24-CD24)*CC24+(H24-CF24)*CE24+(H24-CH24)*CG24+(H24-CJ24)*CH24+(H24-CL24)*CK24+(H24-CN24)*CM24+(H24-CP24)*CO24+(H24-CR24)*CQ24+(H24-CT24)*CS24+(H24-CV24)*CU24+(H24-CX24)*CW24)*DD24*DE24)</f>
        <v>0</v>
      </c>
      <c r="DK24" s="85" t="n">
        <v>36851</v>
      </c>
      <c r="DL24" s="21" t="n">
        <v>-49.7253837585449</v>
      </c>
      <c r="DM24" s="21" t="n">
        <f aca="false">[5]NEPOOL!$L11</f>
        <v>-1189.7</v>
      </c>
      <c r="DN24" s="21" t="n">
        <f aca="false">IF(AND(WEEKDAY(DK24)&gt;1,WEEKDAY(DK24)&lt;7),1,0)</f>
        <v>1</v>
      </c>
    </row>
    <row r="25" customFormat="false" ht="18.75" hidden="false" customHeight="false" outlineLevel="0" collapsed="false">
      <c r="A25" s="58" t="n">
        <f aca="false">'NYISO A'!A25</f>
        <v>37148</v>
      </c>
      <c r="B25" s="59" t="n">
        <f aca="false">+[3]WestHub!$L16/16+[3]PJM!$L16/16</f>
        <v>-3.12499998751312E-013</v>
      </c>
      <c r="C25" s="101" t="n">
        <f aca="false">CY25</f>
        <v>0</v>
      </c>
      <c r="D25" s="87" t="n">
        <f aca="false">(IF(MONTH(A25)=MONTH(EOMONTH(TradeDate,1)),$AP$66,0)*VLOOKUP(A25,$DK$12:$DN$43,4))</f>
        <v>0</v>
      </c>
      <c r="E25" s="62" t="n">
        <f aca="false">+B25+C25+D25</f>
        <v>-3.12499998751312E-013</v>
      </c>
      <c r="F25" s="63" t="n">
        <f aca="false">[3]WestHub!$C16</f>
        <v>34.2500038146973</v>
      </c>
      <c r="G25" s="88" t="n">
        <f aca="false">IF($Q$9,Q25,P25)</f>
        <v>-4.05000381469727</v>
      </c>
      <c r="H25" s="89" t="n">
        <f aca="false">F25+G25</f>
        <v>30.2</v>
      </c>
      <c r="I25" s="87" t="n">
        <f aca="false">B25*G25*DD25</f>
        <v>2.02500189925713E-011</v>
      </c>
      <c r="J25" s="66" t="n">
        <f aca="false">DH25+DI25</f>
        <v>0</v>
      </c>
      <c r="K25" s="90" t="n">
        <f aca="false">I25+J25</f>
        <v>2.02500189925713E-011</v>
      </c>
      <c r="L25" s="24"/>
      <c r="M25" s="67" t="n">
        <f aca="false">A25</f>
        <v>37148</v>
      </c>
      <c r="N25" s="68" t="n">
        <v>30.2</v>
      </c>
      <c r="O25" s="68" t="n">
        <v>30.2</v>
      </c>
      <c r="P25" s="69" t="n">
        <f aca="false">AVERAGE(N25:O25)-F25</f>
        <v>-4.05000381469727</v>
      </c>
      <c r="Q25" s="70"/>
      <c r="R25" s="91" t="n">
        <f aca="false">H25</f>
        <v>30.2</v>
      </c>
      <c r="S25" s="24"/>
      <c r="T25" s="0"/>
      <c r="U25" s="72"/>
      <c r="V25" s="73" t="n">
        <f aca="false">A25</f>
        <v>37148</v>
      </c>
      <c r="W25" s="77"/>
      <c r="X25" s="99"/>
      <c r="Y25" s="77"/>
      <c r="Z25" s="78"/>
      <c r="AA25" s="77"/>
      <c r="AB25" s="78"/>
      <c r="AC25" s="77"/>
      <c r="AD25" s="78"/>
      <c r="AE25" s="77"/>
      <c r="AF25" s="78"/>
      <c r="AG25" s="77"/>
      <c r="AH25" s="78"/>
      <c r="AI25" s="77"/>
      <c r="AJ25" s="78"/>
      <c r="AK25" s="77"/>
      <c r="AL25" s="78"/>
      <c r="AM25" s="77"/>
      <c r="AN25" s="78"/>
      <c r="AO25" s="77"/>
      <c r="AP25" s="78"/>
      <c r="AQ25" s="77"/>
      <c r="AR25" s="78"/>
      <c r="AS25" s="77"/>
      <c r="AT25" s="160"/>
      <c r="AU25" s="94"/>
      <c r="AV25" s="95"/>
      <c r="AW25" s="96"/>
      <c r="AX25" s="75"/>
      <c r="AY25" s="81"/>
      <c r="AZ25" s="75"/>
      <c r="BA25" s="81"/>
      <c r="BB25" s="75"/>
      <c r="BC25" s="81"/>
      <c r="BD25" s="75"/>
      <c r="BE25" s="81"/>
      <c r="BF25" s="75"/>
      <c r="BG25" s="81"/>
      <c r="BH25" s="75"/>
      <c r="BI25" s="81"/>
      <c r="BJ25" s="75"/>
      <c r="BK25" s="81"/>
      <c r="BL25" s="75"/>
      <c r="BM25" s="81"/>
      <c r="BN25" s="75"/>
      <c r="BO25" s="81"/>
      <c r="BP25" s="75"/>
      <c r="BQ25" s="81"/>
      <c r="BR25" s="75"/>
      <c r="BS25" s="81"/>
      <c r="BT25" s="75"/>
      <c r="BU25" s="81"/>
      <c r="BV25" s="75"/>
      <c r="BW25" s="81"/>
      <c r="BX25" s="75"/>
      <c r="BY25" s="81"/>
      <c r="BZ25" s="75"/>
      <c r="CA25" s="81"/>
      <c r="CB25" s="75"/>
      <c r="CC25" s="81"/>
      <c r="CD25" s="75"/>
      <c r="CE25" s="81"/>
      <c r="CF25" s="75"/>
      <c r="CG25" s="81"/>
      <c r="CH25" s="75"/>
      <c r="CI25" s="81"/>
      <c r="CJ25" s="75"/>
      <c r="CK25" s="81"/>
      <c r="CL25" s="75"/>
      <c r="CM25" s="81"/>
      <c r="CN25" s="75"/>
      <c r="CO25" s="81"/>
      <c r="CP25" s="75"/>
      <c r="CQ25" s="81"/>
      <c r="CR25" s="75"/>
      <c r="CS25" s="81"/>
      <c r="CT25" s="75"/>
      <c r="CU25" s="81"/>
      <c r="CV25" s="75"/>
      <c r="CW25" s="81"/>
      <c r="CX25" s="75"/>
      <c r="CY25" s="82" t="n">
        <f aca="false">W25+Y25+AA25+AC25+AE25+AG25+AI25+AK25+AM25+AO25+AQ25+AS25+AU25+AW25+AY25+BA25+BC25+BE25+BG25+BI25+BK25+BM25+BO25+BQ25+BS25+BU25+BW25+BY25+CA25+CC25+CE25+CG25+CI25+CK25+CM25+CO25+CQ25+CS25+CU25+CW25</f>
        <v>0</v>
      </c>
      <c r="CZ25" s="83" t="n">
        <f aca="false">IF(AND(CY25=0,DC25=0),0,(DF25+DG25)/DC25)</f>
        <v>0</v>
      </c>
      <c r="DA25" s="84" t="n">
        <f aca="false">DC25*DD25</f>
        <v>0</v>
      </c>
      <c r="DB25" s="85" t="n">
        <f aca="false">V25</f>
        <v>37148</v>
      </c>
      <c r="DC25" s="84" t="n">
        <f aca="false">ABS(W25)+ABS(Y25)+ABS(AA25)+ABS(AC25)+ABS(AE25)+ABS(AG25)+ABS(AI25)+ABS(AK25)+ABS(AM25)+ABS(AO25)+ABS(AQ25)+ABS(AS25)+ABS(AU25)+ABS(AW25)+ABS(AY25)+ABS(BA25)+ABS(BC25)+ABS(BE25)+ABS(BG25)+ABS(BI25)+ABS(BK25)+ABS(BM25)+ABS(BO25)+ABS(BQ25)+ABS(BS25)+ABS(BU25)+ABS(BW25)+ABS(BY25)+ABS(CA25)+ABS(CC25)+ABS(CE25)+ABS(CG25)+ABS(CI25)+ABS(CK25)+ABS(CM25)+ABS(CO25)+ABS(CQ25)+ABS(CS25)+ABS(CU25)+ABS(CW25)</f>
        <v>0</v>
      </c>
      <c r="DD25" s="86" t="n">
        <v>16</v>
      </c>
      <c r="DE25" s="84" t="n">
        <v>1</v>
      </c>
      <c r="DF25" s="43" t="n">
        <f aca="false">(ABS(W25)*X25+ABS(Y25)*Z25+ABS(AA25)*AB25+ABS(AC25)*AD25+ABS(AE25)*AF25+ABS(AG25)*AH25+ABS(AI25)*AJ25+ABS(AK25)*AL25+ABS(AM25)*AN25+ABS(AO25)*AP25+ABS(AQ25)*AR25+ABS(AS25)*AT25+ABS(AU25)*AV25+ABS(AW25)*AX25+ABS(AY25)*AZ25+ABS(BA25)*BB25+ABS(BC25)*BD25+ABS(BE25)*BF25+ABS(BG25)*BH25+ABS(BI25)*BJ25)</f>
        <v>0</v>
      </c>
      <c r="DG25" s="43" t="n">
        <f aca="false">ABS(BK25)*BL25+ABS(BM25)*BN25+ABS(BO25)*BP25+ABS(BQ25)*BR25+ABS(BS25)*BT25+ABS(BU25)*BV25+ABS(BW25)*BX25+ABS(BY25)*BZ25+ABS(CA25)*CB25+ABS(CC25)*CD25+ABS(CE25)*CF25+ABS(CG25)*CH25+ABS(CI25)*CJ25+ABS(CK25)*CL25+ABS(CM25)*CN25+ABS(CO25)*CP25+ABS(CQ25)*CR25+ABS(CS25)*CT25+ABS(CU25)*CV25+ABS(CW25)*CX25</f>
        <v>0</v>
      </c>
      <c r="DH25" s="43" t="n">
        <f aca="false">((H25-X25)*W25+(H25-Z25)*Y25+(H25-AB25)*AA25+(H25-AD25)*AC25+(H25-AF25)*AE25+(H25-AH25)*AG25+(H25-AJ25)*AI25+(H25-AL25)*AK25+(H25-AN25)*AM25+(H25-AP25)*AO25+(H25-AR25)*AQ25+(H25-AT25)*AS25+(H25-AV25)*AU25+(H25-AX25)*AW25+(H25-AZ25)*AY25+(H25-BB25)*BA25+(H25-BD25)*BC25+(H25-BF25)*BE25+(H25-BH25)*BG25+(H25-BJ25)*BI25)*DD25*DE25</f>
        <v>0</v>
      </c>
      <c r="DI25" s="43" t="n">
        <f aca="false">(((H25-BL25)*BK25+(H25-BN25)*BM25+(H25-BP25)*BO25+(H25-BR25)*BQ25+(H25-BT25)*BS25+(H25-BV25)*BU25+(H25-BX25)*BW25+(H25-BZ25)*BY25+(H25-CB25)*CA25+(H25-CD25)*CC25+(H25-CF25)*CE25+(H25-CH25)*CG25+(H25-CJ25)*CH25+(H25-CL25)*CK25+(H25-CN25)*CM25+(H25-CP25)*CO25+(H25-CR25)*CQ25+(H25-CT25)*CS25+(H25-CV25)*CU25+(H25-CX25)*CW25)*DD25*DE25)</f>
        <v>0</v>
      </c>
      <c r="DK25" s="85" t="n">
        <v>36852</v>
      </c>
      <c r="DL25" s="21" t="n">
        <v>-49.7253837585449</v>
      </c>
      <c r="DM25" s="21" t="n">
        <f aca="false">[5]NEPOOL!$L12</f>
        <v>-1189.7</v>
      </c>
      <c r="DN25" s="21" t="n">
        <f aca="false">IF(AND(WEEKDAY(DK25)&gt;1,WEEKDAY(DK25)&lt;7),1,0)</f>
        <v>1</v>
      </c>
    </row>
    <row r="26" customFormat="false" ht="18.75" hidden="false" customHeight="false" outlineLevel="0" collapsed="false">
      <c r="A26" s="58" t="n">
        <f aca="false">'NYISO A'!A26</f>
        <v>37149</v>
      </c>
      <c r="B26" s="59" t="n">
        <f aca="false">+[3]WestHub!$L17/16+[3]PJM!$L17/16</f>
        <v>0</v>
      </c>
      <c r="C26" s="60" t="n">
        <f aca="false">CY26</f>
        <v>0</v>
      </c>
      <c r="D26" s="61" t="n">
        <f aca="false">(IF(MONTH(A26)=MONTH(EOMONTH(TradeDate,1)),$AP$66,0)*VLOOKUP(A26,$DK$12:$DN$43,4))</f>
        <v>0</v>
      </c>
      <c r="E26" s="62" t="n">
        <f aca="false">+B26+C26+D26</f>
        <v>0</v>
      </c>
      <c r="F26" s="63" t="n">
        <f aca="false">[3]WestHub!$C17</f>
        <v>25.0000019073486</v>
      </c>
      <c r="G26" s="63" t="n">
        <f aca="false">IF($Q$9,Q26,P26)</f>
        <v>5.19999809265137</v>
      </c>
      <c r="H26" s="64" t="n">
        <f aca="false">F26+G26</f>
        <v>30.2</v>
      </c>
      <c r="I26" s="65" t="n">
        <f aca="false">B26*G26*DD26</f>
        <v>0</v>
      </c>
      <c r="J26" s="66" t="n">
        <f aca="false">DH26+DI26</f>
        <v>0</v>
      </c>
      <c r="K26" s="66" t="n">
        <f aca="false">I26+J26</f>
        <v>0</v>
      </c>
      <c r="L26" s="24"/>
      <c r="M26" s="67" t="n">
        <f aca="false">A26</f>
        <v>37149</v>
      </c>
      <c r="N26" s="68" t="n">
        <v>30.2</v>
      </c>
      <c r="O26" s="68" t="n">
        <v>30.2</v>
      </c>
      <c r="P26" s="69" t="n">
        <f aca="false">AVERAGE(N26:O26)-F26</f>
        <v>5.19999809265137</v>
      </c>
      <c r="Q26" s="70"/>
      <c r="R26" s="91" t="n">
        <f aca="false">H26</f>
        <v>30.2</v>
      </c>
      <c r="S26" s="24"/>
      <c r="T26" s="0"/>
      <c r="U26" s="72"/>
      <c r="V26" s="73" t="n">
        <f aca="false">A26</f>
        <v>37149</v>
      </c>
      <c r="W26" s="77"/>
      <c r="X26" s="99"/>
      <c r="Y26" s="77"/>
      <c r="Z26" s="78"/>
      <c r="AA26" s="77"/>
      <c r="AB26" s="78"/>
      <c r="AC26" s="77"/>
      <c r="AD26" s="78"/>
      <c r="AE26" s="77"/>
      <c r="AF26" s="78"/>
      <c r="AG26" s="77"/>
      <c r="AH26" s="78"/>
      <c r="AI26" s="77"/>
      <c r="AJ26" s="78"/>
      <c r="AK26" s="77"/>
      <c r="AL26" s="78"/>
      <c r="AM26" s="77"/>
      <c r="AN26" s="78"/>
      <c r="AO26" s="77"/>
      <c r="AP26" s="78"/>
      <c r="AQ26" s="77"/>
      <c r="AR26" s="78"/>
      <c r="AS26" s="77"/>
      <c r="AT26" s="160"/>
      <c r="AU26" s="94"/>
      <c r="AV26" s="95"/>
      <c r="AW26" s="96"/>
      <c r="AX26" s="75"/>
      <c r="AY26" s="81"/>
      <c r="AZ26" s="75"/>
      <c r="BA26" s="81"/>
      <c r="BB26" s="75"/>
      <c r="BC26" s="81"/>
      <c r="BD26" s="75"/>
      <c r="BE26" s="81"/>
      <c r="BF26" s="75"/>
      <c r="BG26" s="81"/>
      <c r="BH26" s="75"/>
      <c r="BI26" s="81"/>
      <c r="BJ26" s="75"/>
      <c r="BK26" s="81"/>
      <c r="BL26" s="75"/>
      <c r="BM26" s="81"/>
      <c r="BN26" s="75"/>
      <c r="BO26" s="81"/>
      <c r="BP26" s="75"/>
      <c r="BQ26" s="81"/>
      <c r="BR26" s="75"/>
      <c r="BS26" s="81"/>
      <c r="BT26" s="75"/>
      <c r="BU26" s="81"/>
      <c r="BV26" s="75"/>
      <c r="BW26" s="81"/>
      <c r="BX26" s="75"/>
      <c r="BY26" s="81"/>
      <c r="BZ26" s="75"/>
      <c r="CA26" s="81"/>
      <c r="CB26" s="75"/>
      <c r="CC26" s="81"/>
      <c r="CD26" s="75"/>
      <c r="CE26" s="81"/>
      <c r="CF26" s="75"/>
      <c r="CG26" s="81"/>
      <c r="CH26" s="75"/>
      <c r="CI26" s="81"/>
      <c r="CJ26" s="75"/>
      <c r="CK26" s="81"/>
      <c r="CL26" s="75"/>
      <c r="CM26" s="81"/>
      <c r="CN26" s="75"/>
      <c r="CO26" s="81"/>
      <c r="CP26" s="75"/>
      <c r="CQ26" s="81"/>
      <c r="CR26" s="75"/>
      <c r="CS26" s="81"/>
      <c r="CT26" s="75"/>
      <c r="CU26" s="81"/>
      <c r="CV26" s="75"/>
      <c r="CW26" s="81"/>
      <c r="CX26" s="75"/>
      <c r="CY26" s="82" t="n">
        <f aca="false">W26+Y26+AA26+AC26+AE26+AG26+AI26+AK26+AM26+AO26+AQ26+AS26+AU26+AW26+AY26+BA26+BC26+BE26+BG26+BI26+BK26+BM26+BO26+BQ26+BS26+BU26+BW26+BY26+CA26+CC26+CE26+CG26+CI26+CK26+CM26+CO26+CQ26+CS26+CU26+CW26</f>
        <v>0</v>
      </c>
      <c r="CZ26" s="83" t="n">
        <f aca="false">IF(AND(CY26=0,DC26=0),0,(DF26+DG26)/DC26)</f>
        <v>0</v>
      </c>
      <c r="DA26" s="84" t="n">
        <f aca="false">DC26*DD26</f>
        <v>0</v>
      </c>
      <c r="DB26" s="85" t="n">
        <f aca="false">V26</f>
        <v>37149</v>
      </c>
      <c r="DC26" s="84" t="n">
        <f aca="false">ABS(W26)+ABS(Y26)+ABS(AA26)+ABS(AC26)+ABS(AE26)+ABS(AG26)+ABS(AI26)+ABS(AK26)+ABS(AM26)+ABS(AO26)+ABS(AQ26)+ABS(AS26)+ABS(AU26)+ABS(AW26)+ABS(AY26)+ABS(BA26)+ABS(BC26)+ABS(BE26)+ABS(BG26)+ABS(BI26)+ABS(BK26)+ABS(BM26)+ABS(BO26)+ABS(BQ26)+ABS(BS26)+ABS(BU26)+ABS(BW26)+ABS(BY26)+ABS(CA26)+ABS(CC26)+ABS(CE26)+ABS(CG26)+ABS(CI26)+ABS(CK26)+ABS(CM26)+ABS(CO26)+ABS(CQ26)+ABS(CS26)+ABS(CU26)+ABS(CW26)</f>
        <v>0</v>
      </c>
      <c r="DD26" s="86" t="n">
        <v>16</v>
      </c>
      <c r="DE26" s="84" t="n">
        <v>1</v>
      </c>
      <c r="DF26" s="43" t="n">
        <f aca="false">(ABS(W26)*X26+ABS(Y26)*Z26+ABS(AA26)*AB26+ABS(AC26)*AD26+ABS(AE26)*AF26+ABS(AG26)*AH26+ABS(AI26)*AJ26+ABS(AK26)*AL26+ABS(AM26)*AN26+ABS(AO26)*AP26+ABS(AQ26)*AR26+ABS(AS26)*AT26+ABS(AU26)*AV26+ABS(AW26)*AX26+ABS(AY26)*AZ26+ABS(BA26)*BB26+ABS(BC26)*BD26+ABS(BE26)*BF26+ABS(BG26)*BH26+ABS(BI26)*BJ26)</f>
        <v>0</v>
      </c>
      <c r="DG26" s="43" t="n">
        <f aca="false">ABS(BK26)*BL26+ABS(BM26)*BN26+ABS(BO26)*BP26+ABS(BQ26)*BR26+ABS(BS26)*BT26+ABS(BU26)*BV26+ABS(BW26)*BX26+ABS(BY26)*BZ26+ABS(CA26)*CB26+ABS(CC26)*CD26+ABS(CE26)*CF26+ABS(CG26)*CH26+ABS(CI26)*CJ26+ABS(CK26)*CL26+ABS(CM26)*CN26+ABS(CO26)*CP26+ABS(CQ26)*CR26+ABS(CS26)*CT26+ABS(CU26)*CV26+ABS(CW26)*CX26</f>
        <v>0</v>
      </c>
      <c r="DH26" s="43" t="n">
        <f aca="false">((H26-X26)*W26+(H26-Z26)*Y26+(H26-AB26)*AA26+(H26-AD26)*AC26+(H26-AF26)*AE26+(H26-AH26)*AG26+(H26-AJ26)*AI26+(H26-AL26)*AK26+(H26-AN26)*AM26+(H26-AP26)*AO26+(H26-AR26)*AQ26+(H26-AT26)*AS26+(H26-AV26)*AU26+(H26-AX26)*AW26+(H26-AZ26)*AY26+(H26-BB26)*BA26+(H26-BD26)*BC26+(H26-BF26)*BE26+(H26-BH26)*BG26+(H26-BJ26)*BI26)*DD26*DE26</f>
        <v>0</v>
      </c>
      <c r="DI26" s="43" t="n">
        <f aca="false">(((H26-BL26)*BK26+(H26-BN26)*BM26+(H26-BP26)*BO26+(H26-BR26)*BQ26+(H26-BT26)*BS26+(H26-BV26)*BU26+(H26-BX26)*BW26+(H26-BZ26)*BY26+(H26-CB26)*CA26+(H26-CD26)*CC26+(H26-CF26)*CE26+(H26-CH26)*CG26+(H26-CJ26)*CH26+(H26-CL26)*CK26+(H26-CN26)*CM26+(H26-CP26)*CO26+(H26-CR26)*CQ26+(H26-CT26)*CS26+(H26-CV26)*CU26+(H26-CX26)*CW26)*DD26*DE26)</f>
        <v>0</v>
      </c>
      <c r="DK26" s="85" t="n">
        <v>36853</v>
      </c>
      <c r="DL26" s="21" t="n">
        <v>0</v>
      </c>
      <c r="DM26" s="21" t="n">
        <f aca="false">[5]NEPOOL!$L13</f>
        <v>-1189.7</v>
      </c>
      <c r="DN26" s="21" t="n">
        <f aca="false">IF(AND(WEEKDAY(DK26)&gt;1,WEEKDAY(DK26)&lt;7),1,0)</f>
        <v>1</v>
      </c>
    </row>
    <row r="27" customFormat="false" ht="18.75" hidden="false" customHeight="false" outlineLevel="0" collapsed="false">
      <c r="A27" s="58" t="n">
        <f aca="false">'NYISO A'!A27</f>
        <v>37150</v>
      </c>
      <c r="B27" s="59" t="n">
        <f aca="false">+[3]WestHub!$L18/16+[3]PJM!$L18/16</f>
        <v>0</v>
      </c>
      <c r="C27" s="101" t="n">
        <f aca="false">CY27</f>
        <v>0</v>
      </c>
      <c r="D27" s="87" t="n">
        <f aca="false">(IF(MONTH(A27)=MONTH(EOMONTH(TradeDate,1)),$AP$66,0)*VLOOKUP(A27,$DK$12:$DN$43,4))</f>
        <v>0</v>
      </c>
      <c r="E27" s="62" t="n">
        <f aca="false">+B27+C27+D27</f>
        <v>0</v>
      </c>
      <c r="F27" s="63" t="n">
        <f aca="false">[3]WestHub!$C18</f>
        <v>25.0000038146973</v>
      </c>
      <c r="G27" s="88" t="n">
        <f aca="false">IF($Q$9,Q27,P27)</f>
        <v>5.79999618530274</v>
      </c>
      <c r="H27" s="89" t="n">
        <f aca="false">F27+G27</f>
        <v>30.8</v>
      </c>
      <c r="I27" s="87" t="n">
        <f aca="false">B27*G27*DD27</f>
        <v>0</v>
      </c>
      <c r="J27" s="66" t="n">
        <f aca="false">DH27+DI27</f>
        <v>0</v>
      </c>
      <c r="K27" s="90" t="n">
        <f aca="false">I27+J27</f>
        <v>0</v>
      </c>
      <c r="L27" s="24"/>
      <c r="M27" s="67" t="n">
        <f aca="false">A27</f>
        <v>37150</v>
      </c>
      <c r="N27" s="68" t="n">
        <v>30.8</v>
      </c>
      <c r="O27" s="68" t="n">
        <v>30.8</v>
      </c>
      <c r="P27" s="69" t="n">
        <f aca="false">AVERAGE(N27:O27)-F27</f>
        <v>5.79999618530274</v>
      </c>
      <c r="Q27" s="70"/>
      <c r="R27" s="91" t="n">
        <f aca="false">H27</f>
        <v>30.8</v>
      </c>
      <c r="S27" s="24"/>
      <c r="T27" s="0"/>
      <c r="U27" s="72"/>
      <c r="V27" s="73" t="n">
        <f aca="false">A27</f>
        <v>37150</v>
      </c>
      <c r="W27" s="77"/>
      <c r="X27" s="99"/>
      <c r="Y27" s="77"/>
      <c r="Z27" s="99"/>
      <c r="AA27" s="77"/>
      <c r="AB27" s="78"/>
      <c r="AC27" s="77"/>
      <c r="AD27" s="78"/>
      <c r="AE27" s="77"/>
      <c r="AF27" s="78"/>
      <c r="AG27" s="77"/>
      <c r="AH27" s="78"/>
      <c r="AI27" s="77"/>
      <c r="AJ27" s="78"/>
      <c r="AK27" s="77"/>
      <c r="AL27" s="78"/>
      <c r="AM27" s="77"/>
      <c r="AN27" s="78"/>
      <c r="AO27" s="77"/>
      <c r="AP27" s="78"/>
      <c r="AQ27" s="77"/>
      <c r="AR27" s="78"/>
      <c r="AS27" s="77"/>
      <c r="AT27" s="160"/>
      <c r="AU27" s="94"/>
      <c r="AV27" s="95"/>
      <c r="AW27" s="96"/>
      <c r="AX27" s="75"/>
      <c r="AY27" s="81"/>
      <c r="AZ27" s="75"/>
      <c r="BA27" s="81"/>
      <c r="BB27" s="75"/>
      <c r="BC27" s="81"/>
      <c r="BD27" s="75"/>
      <c r="BE27" s="81"/>
      <c r="BF27" s="75"/>
      <c r="BG27" s="81"/>
      <c r="BH27" s="75"/>
      <c r="BI27" s="81"/>
      <c r="BJ27" s="75"/>
      <c r="BK27" s="81"/>
      <c r="BL27" s="75"/>
      <c r="BM27" s="81"/>
      <c r="BN27" s="75"/>
      <c r="BO27" s="81"/>
      <c r="BP27" s="75"/>
      <c r="BQ27" s="81"/>
      <c r="BR27" s="75"/>
      <c r="BS27" s="81"/>
      <c r="BT27" s="75"/>
      <c r="BU27" s="81"/>
      <c r="BV27" s="75"/>
      <c r="BW27" s="81"/>
      <c r="BX27" s="75"/>
      <c r="BY27" s="81"/>
      <c r="BZ27" s="75"/>
      <c r="CA27" s="81"/>
      <c r="CB27" s="75"/>
      <c r="CC27" s="81"/>
      <c r="CD27" s="75"/>
      <c r="CE27" s="81"/>
      <c r="CF27" s="75"/>
      <c r="CG27" s="81"/>
      <c r="CH27" s="75"/>
      <c r="CI27" s="81"/>
      <c r="CJ27" s="75"/>
      <c r="CK27" s="81"/>
      <c r="CL27" s="75"/>
      <c r="CM27" s="81"/>
      <c r="CN27" s="75"/>
      <c r="CO27" s="81"/>
      <c r="CP27" s="75"/>
      <c r="CQ27" s="81"/>
      <c r="CR27" s="75"/>
      <c r="CS27" s="81"/>
      <c r="CT27" s="75"/>
      <c r="CU27" s="81"/>
      <c r="CV27" s="75"/>
      <c r="CW27" s="81"/>
      <c r="CX27" s="75"/>
      <c r="CY27" s="82" t="n">
        <f aca="false">W27+Y27+AA27+AC27+AE27+AG27+AI27+AK27+AM27+AO27+AQ27+AS27+AU27+AW27+AY27+BA27+BC27+BE27+BG27+BI27+BK27+BM27+BO27+BQ27+BS27+BU27+BW27+BY27+CA27+CC27+CE27+CG27+CI27+CK27+CM27+CO27+CQ27+CS27+CU27+CW27</f>
        <v>0</v>
      </c>
      <c r="CZ27" s="83" t="n">
        <f aca="false">IF(AND(CY27=0,DC27=0),0,(DF27+DG27)/DC27)</f>
        <v>0</v>
      </c>
      <c r="DA27" s="84" t="n">
        <f aca="false">DC27*DD27</f>
        <v>0</v>
      </c>
      <c r="DB27" s="85" t="n">
        <f aca="false">V27</f>
        <v>37150</v>
      </c>
      <c r="DC27" s="84" t="n">
        <f aca="false">ABS(W27)+ABS(Y27)+ABS(AA27)+ABS(AC27)+ABS(AE27)+ABS(AG27)+ABS(AI27)+ABS(AK27)+ABS(AM27)+ABS(AO27)+ABS(AQ27)+ABS(AS27)+ABS(AU27)+ABS(AW27)+ABS(AY27)+ABS(BA27)+ABS(BC27)+ABS(BE27)+ABS(BG27)+ABS(BI27)+ABS(BK27)+ABS(BM27)+ABS(BO27)+ABS(BQ27)+ABS(BS27)+ABS(BU27)+ABS(BW27)+ABS(BY27)+ABS(CA27)+ABS(CC27)+ABS(CE27)+ABS(CG27)+ABS(CI27)+ABS(CK27)+ABS(CM27)+ABS(CO27)+ABS(CQ27)+ABS(CS27)+ABS(CU27)+ABS(CW27)</f>
        <v>0</v>
      </c>
      <c r="DD27" s="86" t="n">
        <v>16</v>
      </c>
      <c r="DE27" s="84" t="n">
        <v>1</v>
      </c>
      <c r="DF27" s="43" t="n">
        <f aca="false">(ABS(W27)*X27+ABS(Y27)*Z27+ABS(AA27)*AB27+ABS(AC27)*AD27+ABS(AE27)*AF27+ABS(AG27)*AH27+ABS(AI27)*AJ27+ABS(AK27)*AL27+ABS(AM27)*AN27+ABS(AO27)*AP27+ABS(AQ27)*AR27+ABS(AS27)*AT27+ABS(AU27)*AV27+ABS(AW27)*AX27+ABS(AY27)*AZ27+ABS(BA27)*BB27+ABS(BC27)*BD27+ABS(BE27)*BF27+ABS(BG27)*BH27+ABS(BI27)*BJ27)</f>
        <v>0</v>
      </c>
      <c r="DG27" s="43" t="n">
        <f aca="false">ABS(BK27)*BL27+ABS(BM27)*BN27+ABS(BO27)*BP27+ABS(BQ27)*BR27+ABS(BS27)*BT27+ABS(BU27)*BV27+ABS(BW27)*BX27+ABS(BY27)*BZ27+ABS(CA27)*CB27+ABS(CC27)*CD27+ABS(CE27)*CF27+ABS(CG27)*CH27+ABS(CI27)*CJ27+ABS(CK27)*CL27+ABS(CM27)*CN27+ABS(CO27)*CP27+ABS(CQ27)*CR27+ABS(CS27)*CT27+ABS(CU27)*CV27+ABS(CW27)*CX27</f>
        <v>0</v>
      </c>
      <c r="DH27" s="43" t="n">
        <f aca="false">((H27-X27)*W27+(H27-Z27)*Y27+(H27-AB27)*AA27+(H27-AD27)*AC27+(H27-AF27)*AE27+(H27-AH27)*AG27+(H27-AJ27)*AI27+(H27-AL27)*AK27+(H27-AN27)*AM27+(H27-AP27)*AO27+(H27-AR27)*AQ27+(H27-AT27)*AS27+(H27-AV27)*AU27+(H27-AX27)*AW27+(H27-AZ27)*AY27+(H27-BB27)*BA27+(H27-BD27)*BC27+(H27-BF27)*BE27+(H27-BH27)*BG27+(H27-BJ27)*BI27)*DD27*DE27</f>
        <v>0</v>
      </c>
      <c r="DI27" s="43" t="n">
        <f aca="false">(((H27-BL27)*BK27+(H27-BN27)*BM27+(H27-BP27)*BO27+(H27-BR27)*BQ27+(H27-BT27)*BS27+(H27-BV27)*BU27+(H27-BX27)*BW27+(H27-BZ27)*BY27+(H27-CB27)*CA27+(H27-CD27)*CC27+(H27-CF27)*CE27+(H27-CH27)*CG27+(H27-CJ27)*CH27+(H27-CL27)*CK27+(H27-CN27)*CM27+(H27-CP27)*CO27+(H27-CR27)*CQ27+(H27-CT27)*CS27+(H27-CV27)*CU27+(H27-CX27)*CW27)*DD27*DE27)</f>
        <v>0</v>
      </c>
      <c r="DK27" s="85" t="n">
        <v>36854</v>
      </c>
      <c r="DL27" s="21" t="n">
        <v>-49.7253837585449</v>
      </c>
      <c r="DM27" s="21" t="n">
        <f aca="false">[5]NEPOOL!$L14</f>
        <v>0</v>
      </c>
      <c r="DN27" s="21" t="n">
        <f aca="false">IF(AND(WEEKDAY(DK27)&gt;1,WEEKDAY(DK27)&lt;7),1,0)</f>
        <v>1</v>
      </c>
    </row>
    <row r="28" customFormat="false" ht="18.75" hidden="false" customHeight="false" outlineLevel="0" collapsed="false">
      <c r="A28" s="58" t="n">
        <f aca="false">'NYISO A'!A28</f>
        <v>37151</v>
      </c>
      <c r="B28" s="59" t="n">
        <f aca="false">+[3]WestHub!$L19/16+[3]PJM!$L19/16</f>
        <v>-3.12499998751312E-013</v>
      </c>
      <c r="C28" s="60" t="n">
        <f aca="false">CY28</f>
        <v>0</v>
      </c>
      <c r="D28" s="61" t="n">
        <f aca="false">(IF(MONTH(A28)=MONTH(EOMONTH(TradeDate,1)),$AP$66,0)*VLOOKUP(A28,$DK$12:$DN$43,4))</f>
        <v>0</v>
      </c>
      <c r="E28" s="62" t="n">
        <f aca="false">+B28+C28+D28</f>
        <v>-3.12499998751312E-013</v>
      </c>
      <c r="F28" s="63" t="n">
        <f aca="false">[3]WestHub!$C19</f>
        <v>29.7000026702881</v>
      </c>
      <c r="G28" s="63" t="n">
        <f aca="false">IF($Q$9,Q28,P28)</f>
        <v>1.09999732971191</v>
      </c>
      <c r="H28" s="64" t="n">
        <f aca="false">F28+G28</f>
        <v>30.8</v>
      </c>
      <c r="I28" s="65" t="n">
        <f aca="false">B28*G28*DD28</f>
        <v>-5.49998662658271E-012</v>
      </c>
      <c r="J28" s="66" t="n">
        <f aca="false">DH28+DI28</f>
        <v>0</v>
      </c>
      <c r="K28" s="66" t="n">
        <f aca="false">I28+J28</f>
        <v>-5.49998662658271E-012</v>
      </c>
      <c r="L28" s="24"/>
      <c r="M28" s="67" t="n">
        <f aca="false">A28</f>
        <v>37151</v>
      </c>
      <c r="N28" s="68" t="n">
        <v>30.8</v>
      </c>
      <c r="O28" s="68" t="n">
        <v>30.8</v>
      </c>
      <c r="P28" s="69" t="n">
        <f aca="false">AVERAGE(N28:O28)-F28</f>
        <v>1.09999732971191</v>
      </c>
      <c r="Q28" s="70"/>
      <c r="R28" s="91" t="n">
        <f aca="false">H28</f>
        <v>30.8</v>
      </c>
      <c r="S28" s="24"/>
      <c r="T28" s="0"/>
      <c r="U28" s="72"/>
      <c r="V28" s="73" t="n">
        <f aca="false">A28</f>
        <v>37151</v>
      </c>
      <c r="W28" s="77"/>
      <c r="X28" s="99"/>
      <c r="Y28" s="77"/>
      <c r="Z28" s="78"/>
      <c r="AA28" s="77"/>
      <c r="AB28" s="78"/>
      <c r="AC28" s="77"/>
      <c r="AD28" s="78"/>
      <c r="AE28" s="77"/>
      <c r="AF28" s="78"/>
      <c r="AG28" s="77"/>
      <c r="AH28" s="78"/>
      <c r="AI28" s="77"/>
      <c r="AJ28" s="78"/>
      <c r="AK28" s="77"/>
      <c r="AL28" s="78"/>
      <c r="AM28" s="77"/>
      <c r="AN28" s="78"/>
      <c r="AO28" s="77"/>
      <c r="AP28" s="78"/>
      <c r="AQ28" s="77"/>
      <c r="AR28" s="78"/>
      <c r="AS28" s="77"/>
      <c r="AT28" s="160"/>
      <c r="AU28" s="94"/>
      <c r="AV28" s="95"/>
      <c r="AW28" s="96"/>
      <c r="AX28" s="75"/>
      <c r="AY28" s="81"/>
      <c r="AZ28" s="75"/>
      <c r="BA28" s="81"/>
      <c r="BB28" s="75"/>
      <c r="BC28" s="81"/>
      <c r="BD28" s="75"/>
      <c r="BE28" s="81"/>
      <c r="BF28" s="75"/>
      <c r="BG28" s="81"/>
      <c r="BH28" s="75"/>
      <c r="BI28" s="81"/>
      <c r="BJ28" s="75"/>
      <c r="BK28" s="81"/>
      <c r="BL28" s="75"/>
      <c r="BM28" s="81"/>
      <c r="BN28" s="75"/>
      <c r="BO28" s="81"/>
      <c r="BP28" s="75"/>
      <c r="BQ28" s="81"/>
      <c r="BR28" s="75"/>
      <c r="BS28" s="81"/>
      <c r="BT28" s="75"/>
      <c r="BU28" s="81"/>
      <c r="BV28" s="75"/>
      <c r="BW28" s="81"/>
      <c r="BX28" s="75"/>
      <c r="BY28" s="81"/>
      <c r="BZ28" s="75"/>
      <c r="CA28" s="81"/>
      <c r="CB28" s="75"/>
      <c r="CC28" s="81"/>
      <c r="CD28" s="75"/>
      <c r="CE28" s="81"/>
      <c r="CF28" s="75"/>
      <c r="CG28" s="81"/>
      <c r="CH28" s="75"/>
      <c r="CI28" s="81"/>
      <c r="CJ28" s="75"/>
      <c r="CK28" s="81"/>
      <c r="CL28" s="75"/>
      <c r="CM28" s="81"/>
      <c r="CN28" s="75"/>
      <c r="CO28" s="81"/>
      <c r="CP28" s="75"/>
      <c r="CQ28" s="81"/>
      <c r="CR28" s="75"/>
      <c r="CS28" s="81"/>
      <c r="CT28" s="75"/>
      <c r="CU28" s="81"/>
      <c r="CV28" s="75"/>
      <c r="CW28" s="81"/>
      <c r="CX28" s="75"/>
      <c r="CY28" s="82" t="n">
        <f aca="false">W28+Y28+AA28+AC28+AE28+AG28+AI28+AK28+AM28+AO28+AQ28+AS28+AU28+AW28+AY28+BA28+BC28+BE28+BG28+BI28+BK28+BM28+BO28+BQ28+BS28+BU28+BW28+BY28+CA28+CC28+CE28+CG28+CI28+CK28+CM28+CO28+CQ28+CS28+CU28+CW28</f>
        <v>0</v>
      </c>
      <c r="CZ28" s="83" t="n">
        <f aca="false">IF(AND(CY28=0,DC28=0),0,(DF28+DG28)/DC28)</f>
        <v>0</v>
      </c>
      <c r="DA28" s="84" t="n">
        <f aca="false">DC28*DD28</f>
        <v>0</v>
      </c>
      <c r="DB28" s="85" t="n">
        <f aca="false">V28</f>
        <v>37151</v>
      </c>
      <c r="DC28" s="84" t="n">
        <f aca="false">ABS(W28)+ABS(Y28)+ABS(AA28)+ABS(AC28)+ABS(AE28)+ABS(AG28)+ABS(AI28)+ABS(AK28)+ABS(AM28)+ABS(AO28)+ABS(AQ28)+ABS(AS28)+ABS(AU28)+ABS(AW28)+ABS(AY28)+ABS(BA28)+ABS(BC28)+ABS(BE28)+ABS(BG28)+ABS(BI28)+ABS(BK28)+ABS(BM28)+ABS(BO28)+ABS(BQ28)+ABS(BS28)+ABS(BU28)+ABS(BW28)+ABS(BY28)+ABS(CA28)+ABS(CC28)+ABS(CE28)+ABS(CG28)+ABS(CI28)+ABS(CK28)+ABS(CM28)+ABS(CO28)+ABS(CQ28)+ABS(CS28)+ABS(CU28)+ABS(CW28)</f>
        <v>0</v>
      </c>
      <c r="DD28" s="86" t="n">
        <v>16</v>
      </c>
      <c r="DE28" s="84" t="n">
        <v>1</v>
      </c>
      <c r="DF28" s="43" t="n">
        <f aca="false">(ABS(W28)*X28+ABS(Y28)*Z28+ABS(AA28)*AB28+ABS(AC28)*AD28+ABS(AE28)*AF28+ABS(AG28)*AH28+ABS(AI28)*AJ28+ABS(AK28)*AL28+ABS(AM28)*AN28+ABS(AO28)*AP28+ABS(AQ28)*AR28+ABS(AS28)*AT28+ABS(AU28)*AV28+ABS(AW28)*AX28+ABS(AY28)*AZ28+ABS(BA28)*BB28+ABS(BC28)*BD28+ABS(BE28)*BF28+ABS(BG28)*BH28+ABS(BI28)*BJ28)</f>
        <v>0</v>
      </c>
      <c r="DG28" s="43" t="n">
        <f aca="false">ABS(BK28)*BL28+ABS(BM28)*BN28+ABS(BO28)*BP28+ABS(BQ28)*BR28+ABS(BS28)*BT28+ABS(BU28)*BV28+ABS(BW28)*BX28+ABS(BY28)*BZ28+ABS(CA28)*CB28+ABS(CC28)*CD28+ABS(CE28)*CF28+ABS(CG28)*CH28+ABS(CI28)*CJ28+ABS(CK28)*CL28+ABS(CM28)*CN28+ABS(CO28)*CP28+ABS(CQ28)*CR28+ABS(CS28)*CT28+ABS(CU28)*CV28+ABS(CW28)*CX28</f>
        <v>0</v>
      </c>
      <c r="DH28" s="43" t="n">
        <f aca="false">((H28-X28)*W28+(H28-Z28)*Y28+(H28-AB28)*AA28+(H28-AD28)*AC28+(H28-AF28)*AE28+(H28-AH28)*AG28+(H28-AJ28)*AI28+(H28-AL28)*AK28+(H28-AN28)*AM28+(H28-AP28)*AO28+(H28-AR28)*AQ28+(H28-AT28)*AS28+(H28-AV28)*AU28+(H28-AX28)*AW28+(H28-AZ28)*AY28+(H28-BB28)*BA28+(H28-BD28)*BC28+(H28-BF28)*BE28+(H28-BH28)*BG28+(H28-BJ28)*BI28)*DD28*DE28</f>
        <v>0</v>
      </c>
      <c r="DI28" s="43" t="n">
        <f aca="false">(((H28-BL28)*BK28+(H28-BN28)*BM28+(H28-BP28)*BO28+(H28-BR28)*BQ28+(H28-BT28)*BS28+(H28-BV28)*BU28+(H28-BX28)*BW28+(H28-BZ28)*BY28+(H28-CB28)*CA28+(H28-CD28)*CC28+(H28-CF28)*CE28+(H28-CH28)*CG28+(H28-CJ28)*CH28+(H28-CL28)*CK28+(H28-CN28)*CM28+(H28-CP28)*CO28+(H28-CR28)*CQ28+(H28-CT28)*CS28+(H28-CV28)*CU28+(H28-CX28)*CW28)*DD28*DE28)</f>
        <v>0</v>
      </c>
      <c r="DK28" s="85" t="n">
        <v>36855</v>
      </c>
      <c r="DL28" s="21" t="n">
        <v>0</v>
      </c>
      <c r="DM28" s="21" t="n">
        <f aca="false">[5]NEPOOL!$L15</f>
        <v>0</v>
      </c>
      <c r="DN28" s="21" t="n">
        <f aca="false">IF(AND(WEEKDAY(DK28)&gt;1,WEEKDAY(DK28)&lt;7),1,0)</f>
        <v>0</v>
      </c>
    </row>
    <row r="29" customFormat="false" ht="18.75" hidden="false" customHeight="false" outlineLevel="0" collapsed="false">
      <c r="A29" s="58" t="n">
        <f aca="false">'NYISO A'!A29</f>
        <v>37152</v>
      </c>
      <c r="B29" s="59" t="n">
        <f aca="false">+[3]WestHub!$L20/16+[3]PJM!$L20/16</f>
        <v>-3.12499998751312E-013</v>
      </c>
      <c r="C29" s="101" t="n">
        <f aca="false">CY29</f>
        <v>0</v>
      </c>
      <c r="D29" s="87" t="n">
        <f aca="false">(IF(MONTH(A29)=MONTH(EOMONTH(TradeDate,1)),$AP$66,0)*VLOOKUP(A29,$DK$12:$DN$43,4))</f>
        <v>0</v>
      </c>
      <c r="E29" s="62" t="n">
        <f aca="false">+B29+C29+D29</f>
        <v>-3.12499998751312E-013</v>
      </c>
      <c r="F29" s="63" t="n">
        <f aca="false">[3]WestHub!$C20</f>
        <v>29.7000026702881</v>
      </c>
      <c r="G29" s="88" t="n">
        <f aca="false">IF($Q$9,Q29,P29)</f>
        <v>0.499997329711913</v>
      </c>
      <c r="H29" s="89" t="n">
        <f aca="false">F29+G29</f>
        <v>30.2</v>
      </c>
      <c r="I29" s="87" t="n">
        <f aca="false">B29*G29*DD29</f>
        <v>-2.49998663857011E-012</v>
      </c>
      <c r="J29" s="66" t="n">
        <f aca="false">DH29+DI29</f>
        <v>0</v>
      </c>
      <c r="K29" s="90" t="n">
        <f aca="false">I29+J29</f>
        <v>-2.49998663857011E-012</v>
      </c>
      <c r="L29" s="24"/>
      <c r="M29" s="67" t="n">
        <f aca="false">A29</f>
        <v>37152</v>
      </c>
      <c r="N29" s="68" t="n">
        <v>30.2</v>
      </c>
      <c r="O29" s="68" t="n">
        <v>30.2</v>
      </c>
      <c r="P29" s="69" t="n">
        <f aca="false">AVERAGE(N29:O29)-F29</f>
        <v>0.499997329711913</v>
      </c>
      <c r="Q29" s="70"/>
      <c r="R29" s="91" t="n">
        <f aca="false">H29</f>
        <v>30.2</v>
      </c>
      <c r="S29" s="24"/>
      <c r="T29" s="0"/>
      <c r="U29" s="72"/>
      <c r="V29" s="73" t="n">
        <f aca="false">A29</f>
        <v>37152</v>
      </c>
      <c r="W29" s="77"/>
      <c r="X29" s="99"/>
      <c r="Y29" s="77"/>
      <c r="Z29" s="78"/>
      <c r="AA29" s="77"/>
      <c r="AB29" s="78"/>
      <c r="AC29" s="77"/>
      <c r="AD29" s="78"/>
      <c r="AE29" s="77"/>
      <c r="AF29" s="78"/>
      <c r="AG29" s="77"/>
      <c r="AH29" s="78"/>
      <c r="AI29" s="77"/>
      <c r="AJ29" s="78"/>
      <c r="AK29" s="77"/>
      <c r="AL29" s="78"/>
      <c r="AM29" s="77"/>
      <c r="AN29" s="78"/>
      <c r="AO29" s="77"/>
      <c r="AP29" s="78"/>
      <c r="AQ29" s="77"/>
      <c r="AR29" s="78"/>
      <c r="AS29" s="77"/>
      <c r="AT29" s="160"/>
      <c r="AU29" s="94"/>
      <c r="AV29" s="95"/>
      <c r="AW29" s="96"/>
      <c r="AX29" s="75"/>
      <c r="AY29" s="81"/>
      <c r="AZ29" s="75"/>
      <c r="BA29" s="81"/>
      <c r="BB29" s="75"/>
      <c r="BC29" s="81"/>
      <c r="BD29" s="75"/>
      <c r="BE29" s="81"/>
      <c r="BF29" s="75"/>
      <c r="BG29" s="81"/>
      <c r="BH29" s="75"/>
      <c r="BI29" s="81"/>
      <c r="BJ29" s="75"/>
      <c r="BK29" s="81"/>
      <c r="BL29" s="75"/>
      <c r="BM29" s="81"/>
      <c r="BN29" s="75"/>
      <c r="BO29" s="81"/>
      <c r="BP29" s="75"/>
      <c r="BQ29" s="81"/>
      <c r="BR29" s="75"/>
      <c r="BS29" s="81"/>
      <c r="BT29" s="75"/>
      <c r="BU29" s="81"/>
      <c r="BV29" s="75"/>
      <c r="BW29" s="81"/>
      <c r="BX29" s="75"/>
      <c r="BY29" s="81"/>
      <c r="BZ29" s="75"/>
      <c r="CA29" s="81"/>
      <c r="CB29" s="75"/>
      <c r="CC29" s="81"/>
      <c r="CD29" s="75"/>
      <c r="CE29" s="81"/>
      <c r="CF29" s="75"/>
      <c r="CG29" s="81"/>
      <c r="CH29" s="75"/>
      <c r="CI29" s="81"/>
      <c r="CJ29" s="75"/>
      <c r="CK29" s="81"/>
      <c r="CL29" s="75"/>
      <c r="CM29" s="81"/>
      <c r="CN29" s="75"/>
      <c r="CO29" s="81"/>
      <c r="CP29" s="75"/>
      <c r="CQ29" s="81"/>
      <c r="CR29" s="75"/>
      <c r="CS29" s="81"/>
      <c r="CT29" s="75"/>
      <c r="CU29" s="81"/>
      <c r="CV29" s="75"/>
      <c r="CW29" s="81"/>
      <c r="CX29" s="75"/>
      <c r="CY29" s="82" t="n">
        <f aca="false">W29+Y29+AA29+AC29+AE29+AG29+AI29+AK29+AM29+AO29+AQ29+AS29+AU29+AW29+AY29+BA29+BC29+BE29+BG29+BI29+BK29+BM29+BO29+BQ29+BS29+BU29+BW29+BY29+CA29+CC29+CE29+CG29+CI29+CK29+CM29+CO29+CQ29+CS29+CU29+CW29</f>
        <v>0</v>
      </c>
      <c r="CZ29" s="83" t="n">
        <f aca="false">IF(AND(CY29=0,DC29=0),0,(DF29+DG29)/DC29)</f>
        <v>0</v>
      </c>
      <c r="DA29" s="84" t="n">
        <f aca="false">DC29*DD29</f>
        <v>0</v>
      </c>
      <c r="DB29" s="85" t="n">
        <f aca="false">V29</f>
        <v>37152</v>
      </c>
      <c r="DC29" s="84" t="n">
        <f aca="false">ABS(W29)+ABS(Y29)+ABS(AA29)+ABS(AC29)+ABS(AE29)+ABS(AG29)+ABS(AI29)+ABS(AK29)+ABS(AM29)+ABS(AO29)+ABS(AQ29)+ABS(AS29)+ABS(AU29)+ABS(AW29)+ABS(AY29)+ABS(BA29)+ABS(BC29)+ABS(BE29)+ABS(BG29)+ABS(BI29)+ABS(BK29)+ABS(BM29)+ABS(BO29)+ABS(BQ29)+ABS(BS29)+ABS(BU29)+ABS(BW29)+ABS(BY29)+ABS(CA29)+ABS(CC29)+ABS(CE29)+ABS(CG29)+ABS(CI29)+ABS(CK29)+ABS(CM29)+ABS(CO29)+ABS(CQ29)+ABS(CS29)+ABS(CU29)+ABS(CW29)</f>
        <v>0</v>
      </c>
      <c r="DD29" s="86" t="n">
        <v>16</v>
      </c>
      <c r="DE29" s="84" t="n">
        <v>1</v>
      </c>
      <c r="DF29" s="43" t="n">
        <f aca="false">(ABS(W29)*X29+ABS(Y29)*Z29+ABS(AA29)*AB29+ABS(AC29)*AD29+ABS(AE29)*AF29+ABS(AG29)*AH29+ABS(AI29)*AJ29+ABS(AK29)*AL29+ABS(AM29)*AN29+ABS(AO29)*AP29+ABS(AQ29)*AR29+ABS(AS29)*AT29+ABS(AU29)*AV29+ABS(AW29)*AX29+ABS(AY29)*AZ29+ABS(BA29)*BB29+ABS(BC29)*BD29+ABS(BE29)*BF29+ABS(BG29)*BH29+ABS(BI29)*BJ29)</f>
        <v>0</v>
      </c>
      <c r="DG29" s="43" t="n">
        <f aca="false">ABS(BK29)*BL29+ABS(BM29)*BN29+ABS(BO29)*BP29+ABS(BQ29)*BR29+ABS(BS29)*BT29+ABS(BU29)*BV29+ABS(BW29)*BX29+ABS(BY29)*BZ29+ABS(CA29)*CB29+ABS(CC29)*CD29+ABS(CE29)*CF29+ABS(CG29)*CH29+ABS(CI29)*CJ29+ABS(CK29)*CL29+ABS(CM29)*CN29+ABS(CO29)*CP29+ABS(CQ29)*CR29+ABS(CS29)*CT29+ABS(CU29)*CV29+ABS(CW29)*CX29</f>
        <v>0</v>
      </c>
      <c r="DH29" s="43" t="n">
        <f aca="false">((H29-X29)*W29+(H29-Z29)*Y29+(H29-AB29)*AA29+(H29-AD29)*AC29+(H29-AF29)*AE29+(H29-AH29)*AG29+(H29-AJ29)*AI29+(H29-AL29)*AK29+(H29-AN29)*AM29+(H29-AP29)*AO29+(H29-AR29)*AQ29+(H29-AT29)*AS29+(H29-AV29)*AU29+(H29-AX29)*AW29+(H29-AZ29)*AY29+(H29-BB29)*BA29+(H29-BD29)*BC29+(H29-BF29)*BE29+(H29-BH29)*BG29+(H29-BJ29)*BI29)*DD29*DE29</f>
        <v>0</v>
      </c>
      <c r="DI29" s="43" t="n">
        <f aca="false">(((H29-BL29)*BK29+(H29-BN29)*BM29+(H29-BP29)*BO29+(H29-BR29)*BQ29+(H29-BT29)*BS29+(H29-BV29)*BU29+(H29-BX29)*BW29+(H29-BZ29)*BY29+(H29-CB29)*CA29+(H29-CD29)*CC29+(H29-CF29)*CE29+(H29-CH29)*CG29+(H29-CJ29)*CH29+(H29-CL29)*CK29+(H29-CN29)*CM29+(H29-CP29)*CO29+(H29-CR29)*CQ29+(H29-CT29)*CS29+(H29-CV29)*CU29+(H29-CX29)*CW29)*DD29*DE29)</f>
        <v>0</v>
      </c>
      <c r="DK29" s="85" t="n">
        <v>36856</v>
      </c>
      <c r="DL29" s="21" t="n">
        <v>0</v>
      </c>
      <c r="DM29" s="21" t="n">
        <f aca="false">[5]NEPOOL!$L16</f>
        <v>-1189.7</v>
      </c>
      <c r="DN29" s="21" t="n">
        <f aca="false">IF(AND(WEEKDAY(DK29)&gt;1,WEEKDAY(DK29)&lt;7),1,0)</f>
        <v>0</v>
      </c>
    </row>
    <row r="30" customFormat="false" ht="18.75" hidden="false" customHeight="false" outlineLevel="0" collapsed="false">
      <c r="A30" s="58" t="n">
        <f aca="false">'NYISO A'!A30</f>
        <v>37153</v>
      </c>
      <c r="B30" s="59" t="n">
        <f aca="false">+[3]WestHub!$L21/16+[3]PJM!$L21/16</f>
        <v>-7.49999997003148E-013</v>
      </c>
      <c r="C30" s="60" t="n">
        <f aca="false">CY30</f>
        <v>0</v>
      </c>
      <c r="D30" s="61" t="n">
        <f aca="false">(IF(MONTH(A30)=MONTH(EOMONTH(TradeDate,1)),$AP$66,0)*VLOOKUP(A30,$DK$12:$DN$43,4))</f>
        <v>0</v>
      </c>
      <c r="E30" s="62" t="n">
        <f aca="false">+B30+C30+D30</f>
        <v>-7.49999997003148E-013</v>
      </c>
      <c r="F30" s="63" t="n">
        <f aca="false">[3]WestHub!$C21</f>
        <v>29.7000026702881</v>
      </c>
      <c r="G30" s="63" t="n">
        <f aca="false">IF($Q$9,Q30,P30)</f>
        <v>0.499997329711913</v>
      </c>
      <c r="H30" s="64" t="n">
        <f aca="false">F30+G30</f>
        <v>30.2</v>
      </c>
      <c r="I30" s="65" t="n">
        <f aca="false">B30*G30*DD30</f>
        <v>-5.99996793256827E-012</v>
      </c>
      <c r="J30" s="66" t="n">
        <f aca="false">DH30+DI30</f>
        <v>0</v>
      </c>
      <c r="K30" s="66" t="n">
        <f aca="false">I30+J30</f>
        <v>-5.99996793256827E-012</v>
      </c>
      <c r="L30" s="24"/>
      <c r="M30" s="67" t="n">
        <f aca="false">A30</f>
        <v>37153</v>
      </c>
      <c r="N30" s="68" t="n">
        <v>30.2</v>
      </c>
      <c r="O30" s="68" t="n">
        <v>30.2</v>
      </c>
      <c r="P30" s="69" t="n">
        <f aca="false">AVERAGE(N30:O30)-F30</f>
        <v>0.499997329711913</v>
      </c>
      <c r="Q30" s="70"/>
      <c r="R30" s="91" t="n">
        <f aca="false">H30</f>
        <v>30.2</v>
      </c>
      <c r="S30" s="24"/>
      <c r="T30" s="0"/>
      <c r="U30" s="72"/>
      <c r="V30" s="73" t="n">
        <f aca="false">A30</f>
        <v>37153</v>
      </c>
      <c r="W30" s="77"/>
      <c r="X30" s="76"/>
      <c r="Y30" s="77"/>
      <c r="Z30" s="76"/>
      <c r="AA30" s="77"/>
      <c r="AB30" s="76"/>
      <c r="AC30" s="77"/>
      <c r="AD30" s="78"/>
      <c r="AE30" s="77"/>
      <c r="AF30" s="78"/>
      <c r="AG30" s="77"/>
      <c r="AH30" s="78"/>
      <c r="AI30" s="77"/>
      <c r="AJ30" s="78"/>
      <c r="AK30" s="77"/>
      <c r="AL30" s="78"/>
      <c r="AM30" s="77"/>
      <c r="AN30" s="78"/>
      <c r="AO30" s="77"/>
      <c r="AP30" s="78"/>
      <c r="AQ30" s="77"/>
      <c r="AR30" s="78"/>
      <c r="AS30" s="77"/>
      <c r="AT30" s="160"/>
      <c r="AU30" s="94"/>
      <c r="AV30" s="95"/>
      <c r="AW30" s="96"/>
      <c r="AX30" s="75"/>
      <c r="AY30" s="81"/>
      <c r="AZ30" s="75"/>
      <c r="BA30" s="81"/>
      <c r="BB30" s="75"/>
      <c r="BC30" s="81"/>
      <c r="BD30" s="75"/>
      <c r="BE30" s="81"/>
      <c r="BF30" s="75"/>
      <c r="BG30" s="81"/>
      <c r="BH30" s="75"/>
      <c r="BI30" s="81"/>
      <c r="BJ30" s="75"/>
      <c r="BK30" s="81"/>
      <c r="BL30" s="75"/>
      <c r="BM30" s="81"/>
      <c r="BN30" s="75"/>
      <c r="BO30" s="81"/>
      <c r="BP30" s="75"/>
      <c r="BQ30" s="81"/>
      <c r="BR30" s="75"/>
      <c r="BS30" s="81"/>
      <c r="BT30" s="75"/>
      <c r="BU30" s="81"/>
      <c r="BV30" s="75"/>
      <c r="BW30" s="81"/>
      <c r="BX30" s="75"/>
      <c r="BY30" s="81"/>
      <c r="BZ30" s="75"/>
      <c r="CA30" s="81"/>
      <c r="CB30" s="75"/>
      <c r="CC30" s="81"/>
      <c r="CD30" s="75"/>
      <c r="CE30" s="81"/>
      <c r="CF30" s="75"/>
      <c r="CG30" s="81"/>
      <c r="CH30" s="75"/>
      <c r="CI30" s="81"/>
      <c r="CJ30" s="75"/>
      <c r="CK30" s="81"/>
      <c r="CL30" s="75"/>
      <c r="CM30" s="81"/>
      <c r="CN30" s="75"/>
      <c r="CO30" s="81"/>
      <c r="CP30" s="75"/>
      <c r="CQ30" s="81"/>
      <c r="CR30" s="75"/>
      <c r="CS30" s="81"/>
      <c r="CT30" s="75"/>
      <c r="CU30" s="81"/>
      <c r="CV30" s="75"/>
      <c r="CW30" s="81"/>
      <c r="CX30" s="75"/>
      <c r="CY30" s="82" t="n">
        <f aca="false">W30+Y30+AA30+AC30+AE30+AG30+AI30+AK30+AM30+AO30+AQ30+AS30+AU30+AW30+AY30+BA30+BC30+BE30+BG30+BI30+BK30+BM30+BO30+BQ30+BS30+BU30+BW30+BY30+CA30+CC30+CE30+CG30+CI30+CK30+CM30+CO30+CQ30+CS30+CU30+CW30</f>
        <v>0</v>
      </c>
      <c r="CZ30" s="83" t="n">
        <f aca="false">IF(AND(CY30=0,DC30=0),0,(DF30+DG30)/DC30)</f>
        <v>0</v>
      </c>
      <c r="DA30" s="84" t="n">
        <f aca="false">DC30*DD30</f>
        <v>0</v>
      </c>
      <c r="DB30" s="85" t="n">
        <f aca="false">V30</f>
        <v>37153</v>
      </c>
      <c r="DC30" s="84" t="n">
        <f aca="false">ABS(W30)+ABS(Y30)+ABS(AA30)+ABS(AC30)+ABS(AE30)+ABS(AG30)+ABS(AI30)+ABS(AK30)+ABS(AM30)+ABS(AO30)+ABS(AQ30)+ABS(AS30)+ABS(AU30)+ABS(AW30)+ABS(AY30)+ABS(BA30)+ABS(BC30)+ABS(BE30)+ABS(BG30)+ABS(BI30)+ABS(BK30)+ABS(BM30)+ABS(BO30)+ABS(BQ30)+ABS(BS30)+ABS(BU30)+ABS(BW30)+ABS(BY30)+ABS(CA30)+ABS(CC30)+ABS(CE30)+ABS(CG30)+ABS(CI30)+ABS(CK30)+ABS(CM30)+ABS(CO30)+ABS(CQ30)+ABS(CS30)+ABS(CU30)+ABS(CW30)</f>
        <v>0</v>
      </c>
      <c r="DD30" s="86" t="n">
        <v>16</v>
      </c>
      <c r="DE30" s="84" t="n">
        <v>1</v>
      </c>
      <c r="DF30" s="43" t="n">
        <f aca="false">(ABS(W30)*X30+ABS(Y30)*Z30+ABS(AA30)*AB30+ABS(AC30)*AD30+ABS(AE30)*AF30+ABS(AG30)*AH30+ABS(AI30)*AJ30+ABS(AK30)*AL30+ABS(AM30)*AN30+ABS(AO30)*AP30+ABS(AQ30)*AR30+ABS(AS30)*AT30+ABS(AU30)*AV30+ABS(AW30)*AX30+ABS(AY30)*AZ30+ABS(BA30)*BB30+ABS(BC30)*BD30+ABS(BE30)*BF30+ABS(BG30)*BH30+ABS(BI30)*BJ30)</f>
        <v>0</v>
      </c>
      <c r="DG30" s="43" t="n">
        <f aca="false">ABS(BK30)*BL30+ABS(BM30)*BN30+ABS(BO30)*BP30+ABS(BQ30)*BR30+ABS(BS30)*BT30+ABS(BU30)*BV30+ABS(BW30)*BX30+ABS(BY30)*BZ30+ABS(CA30)*CB30+ABS(CC30)*CD30+ABS(CE30)*CF30+ABS(CG30)*CH30+ABS(CI30)*CJ30+ABS(CK30)*CL30+ABS(CM30)*CN30+ABS(CO30)*CP30+ABS(CQ30)*CR30+ABS(CS30)*CT30+ABS(CU30)*CV30+ABS(CW30)*CX30</f>
        <v>0</v>
      </c>
      <c r="DH30" s="43" t="n">
        <f aca="false">((H30-X30)*W30+(H30-Z30)*Y30+(H30-AB30)*AA30+(H30-AD30)*AC30+(H30-AF30)*AE30+(H30-AH30)*AG30+(H30-AJ30)*AI30+(H30-AL30)*AK30+(H30-AN30)*AM30+(H30-AP30)*AO30+(H30-AR30)*AQ30+(H30-AT30)*AS30+(H30-AV30)*AU30+(H30-AX30)*AW30+(H30-AZ30)*AY30+(H30-BB30)*BA30+(H30-BD30)*BC30+(H30-BF30)*BE30+(H30-BH30)*BG30+(H30-BJ30)*BI30)*DD30*DE30</f>
        <v>0</v>
      </c>
      <c r="DI30" s="43" t="n">
        <f aca="false">(((H30-BL30)*BK30+(H30-BN30)*BM30+(H30-BP30)*BO30+(H30-BR30)*BQ30+(H30-BT30)*BS30+(H30-BV30)*BU30+(H30-BX30)*BW30+(H30-BZ30)*BY30+(H30-CB30)*CA30+(H30-CD30)*CC30+(H30-CF30)*CE30+(H30-CH30)*CG30+(H30-CJ30)*CH30+(H30-CL30)*CK30+(H30-CN30)*CM30+(H30-CP30)*CO30+(H30-CR30)*CQ30+(H30-CT30)*CS30+(H30-CV30)*CU30+(H30-CX30)*CW30)*DD30*DE30)</f>
        <v>0</v>
      </c>
      <c r="DK30" s="85" t="n">
        <v>36857</v>
      </c>
      <c r="DL30" s="21" t="n">
        <v>-49.7253837585449</v>
      </c>
      <c r="DM30" s="21" t="n">
        <f aca="false">[5]NEPOOL!$L17</f>
        <v>-1189.7</v>
      </c>
      <c r="DN30" s="21" t="n">
        <f aca="false">IF(AND(WEEKDAY(DK30)&gt;1,WEEKDAY(DK30)&lt;7),1,0)</f>
        <v>1</v>
      </c>
    </row>
    <row r="31" customFormat="false" ht="18.75" hidden="false" customHeight="false" outlineLevel="0" collapsed="false">
      <c r="A31" s="58" t="n">
        <f aca="false">'NYISO A'!A31</f>
        <v>37154</v>
      </c>
      <c r="B31" s="59" t="n">
        <f aca="false">+[3]WestHub!$L22/16+[3]PJM!$L22/16</f>
        <v>-7.49999997003148E-013</v>
      </c>
      <c r="C31" s="101" t="n">
        <f aca="false">CY31</f>
        <v>0</v>
      </c>
      <c r="D31" s="87" t="n">
        <f aca="false">(IF(MONTH(A31)=MONTH(EOMONTH(TradeDate,1)),$AP$66,0)*VLOOKUP(A31,$DK$12:$DN$43,4))</f>
        <v>0</v>
      </c>
      <c r="E31" s="62" t="n">
        <f aca="false">+B31+C31+D31</f>
        <v>-7.49999997003148E-013</v>
      </c>
      <c r="F31" s="63" t="n">
        <f aca="false">[3]WestHub!$C22</f>
        <v>29.7000026702881</v>
      </c>
      <c r="G31" s="88" t="n">
        <f aca="false">IF($Q$9,Q31,P31)</f>
        <v>0.499997329711913</v>
      </c>
      <c r="H31" s="89" t="n">
        <f aca="false">F31+G31</f>
        <v>30.2</v>
      </c>
      <c r="I31" s="87" t="n">
        <f aca="false">B31*G31*DD31</f>
        <v>-5.99996793256827E-012</v>
      </c>
      <c r="J31" s="66" t="n">
        <f aca="false">DH31+DI31</f>
        <v>0</v>
      </c>
      <c r="K31" s="90" t="n">
        <f aca="false">I31+J31</f>
        <v>-5.99996793256827E-012</v>
      </c>
      <c r="L31" s="24"/>
      <c r="M31" s="67" t="n">
        <f aca="false">A31</f>
        <v>37154</v>
      </c>
      <c r="N31" s="68" t="n">
        <v>30.2</v>
      </c>
      <c r="O31" s="68" t="n">
        <v>30.2</v>
      </c>
      <c r="P31" s="69" t="n">
        <f aca="false">AVERAGE(N31:O31)-F31</f>
        <v>0.499997329711913</v>
      </c>
      <c r="Q31" s="70"/>
      <c r="R31" s="91" t="n">
        <f aca="false">H31</f>
        <v>30.2</v>
      </c>
      <c r="S31" s="24"/>
      <c r="T31" s="0"/>
      <c r="U31" s="72"/>
      <c r="V31" s="73" t="n">
        <f aca="false">A31</f>
        <v>37154</v>
      </c>
      <c r="W31" s="77"/>
      <c r="X31" s="99"/>
      <c r="Y31" s="77"/>
      <c r="Z31" s="78"/>
      <c r="AA31" s="77"/>
      <c r="AB31" s="78"/>
      <c r="AC31" s="77"/>
      <c r="AD31" s="78"/>
      <c r="AE31" s="77"/>
      <c r="AF31" s="78"/>
      <c r="AG31" s="77"/>
      <c r="AH31" s="78"/>
      <c r="AI31" s="77"/>
      <c r="AJ31" s="78"/>
      <c r="AK31" s="77"/>
      <c r="AL31" s="78"/>
      <c r="AM31" s="77"/>
      <c r="AN31" s="78"/>
      <c r="AO31" s="77"/>
      <c r="AP31" s="78"/>
      <c r="AQ31" s="77"/>
      <c r="AR31" s="78"/>
      <c r="AS31" s="77"/>
      <c r="AT31" s="160"/>
      <c r="AU31" s="94"/>
      <c r="AV31" s="95"/>
      <c r="AW31" s="96"/>
      <c r="AX31" s="75"/>
      <c r="AY31" s="81"/>
      <c r="AZ31" s="75"/>
      <c r="BA31" s="81"/>
      <c r="BB31" s="75"/>
      <c r="BC31" s="81"/>
      <c r="BD31" s="75"/>
      <c r="BE31" s="81"/>
      <c r="BF31" s="75"/>
      <c r="BG31" s="81"/>
      <c r="BH31" s="75"/>
      <c r="BI31" s="81"/>
      <c r="BJ31" s="75"/>
      <c r="BK31" s="81"/>
      <c r="BL31" s="75"/>
      <c r="BM31" s="81"/>
      <c r="BN31" s="75"/>
      <c r="BO31" s="81"/>
      <c r="BP31" s="75"/>
      <c r="BQ31" s="81"/>
      <c r="BR31" s="75"/>
      <c r="BS31" s="81"/>
      <c r="BT31" s="75"/>
      <c r="BU31" s="81"/>
      <c r="BV31" s="75"/>
      <c r="BW31" s="81"/>
      <c r="BX31" s="75"/>
      <c r="BY31" s="81"/>
      <c r="BZ31" s="75"/>
      <c r="CA31" s="81"/>
      <c r="CB31" s="75"/>
      <c r="CC31" s="81"/>
      <c r="CD31" s="75"/>
      <c r="CE31" s="81"/>
      <c r="CF31" s="75"/>
      <c r="CG31" s="81"/>
      <c r="CH31" s="75"/>
      <c r="CI31" s="81"/>
      <c r="CJ31" s="75"/>
      <c r="CK31" s="81"/>
      <c r="CL31" s="75"/>
      <c r="CM31" s="81"/>
      <c r="CN31" s="75"/>
      <c r="CO31" s="81"/>
      <c r="CP31" s="75"/>
      <c r="CQ31" s="81"/>
      <c r="CR31" s="75"/>
      <c r="CS31" s="81"/>
      <c r="CT31" s="75"/>
      <c r="CU31" s="81"/>
      <c r="CV31" s="75"/>
      <c r="CW31" s="81"/>
      <c r="CX31" s="75"/>
      <c r="CY31" s="82" t="n">
        <f aca="false">W31+Y31+AA31+AC31+AE31+AG31+AI31+AK31+AM31+AO31+AQ31+AS31+AU31+AW31+AY31+BA31+BC31+BE31+BG31+BI31+BK31+BM31+BO31+BQ31+BS31+BU31+BW31+BY31+CA31+CC31+CE31+CG31+CI31+CK31+CM31+CO31+CQ31+CS31+CU31+CW31</f>
        <v>0</v>
      </c>
      <c r="CZ31" s="83" t="n">
        <f aca="false">IF(AND(CY31=0,DC31=0),0,(DF31+DG31)/DC31)</f>
        <v>0</v>
      </c>
      <c r="DA31" s="84" t="n">
        <f aca="false">DC31*DD31</f>
        <v>0</v>
      </c>
      <c r="DB31" s="85" t="n">
        <f aca="false">V31</f>
        <v>37154</v>
      </c>
      <c r="DC31" s="84" t="n">
        <f aca="false">ABS(W31)+ABS(Y31)+ABS(AA31)+ABS(AC31)+ABS(AE31)+ABS(AG31)+ABS(AI31)+ABS(AK31)+ABS(AM31)+ABS(AO31)+ABS(AQ31)+ABS(AS31)+ABS(AU31)+ABS(AW31)+ABS(AY31)+ABS(BA31)+ABS(BC31)+ABS(BE31)+ABS(BG31)+ABS(BI31)+ABS(BK31)+ABS(BM31)+ABS(BO31)+ABS(BQ31)+ABS(BS31)+ABS(BU31)+ABS(BW31)+ABS(BY31)+ABS(CA31)+ABS(CC31)+ABS(CE31)+ABS(CG31)+ABS(CI31)+ABS(CK31)+ABS(CM31)+ABS(CO31)+ABS(CQ31)+ABS(CS31)+ABS(CU31)+ABS(CW31)</f>
        <v>0</v>
      </c>
      <c r="DD31" s="86" t="n">
        <v>16</v>
      </c>
      <c r="DE31" s="84" t="n">
        <v>1</v>
      </c>
      <c r="DF31" s="43" t="n">
        <f aca="false">(ABS(W31)*X31+ABS(Y31)*Z31+ABS(AA31)*AB31+ABS(AC31)*AD31+ABS(AE31)*AF31+ABS(AG31)*AH31+ABS(AI31)*AJ31+ABS(AK31)*AL31+ABS(AM31)*AN31+ABS(AO31)*AP31+ABS(AQ31)*AR31+ABS(AS31)*AT31+ABS(AU31)*AV31+ABS(AW31)*AX31+ABS(AY31)*AZ31+ABS(BA31)*BB31+ABS(BC31)*BD31+ABS(BE31)*BF31+ABS(BG31)*BH31+ABS(BI31)*BJ31)</f>
        <v>0</v>
      </c>
      <c r="DG31" s="43" t="n">
        <f aca="false">ABS(BK31)*BL31+ABS(BM31)*BN31+ABS(BO31)*BP31+ABS(BQ31)*BR31+ABS(BS31)*BT31+ABS(BU31)*BV31+ABS(BW31)*BX31+ABS(BY31)*BZ31+ABS(CA31)*CB31+ABS(CC31)*CD31+ABS(CE31)*CF31+ABS(CG31)*CH31+ABS(CI31)*CJ31+ABS(CK31)*CL31+ABS(CM31)*CN31+ABS(CO31)*CP31+ABS(CQ31)*CR31+ABS(CS31)*CT31+ABS(CU31)*CV31+ABS(CW31)*CX31</f>
        <v>0</v>
      </c>
      <c r="DH31" s="43" t="n">
        <f aca="false">((H31-X31)*W31+(H31-Z31)*Y31+(H31-AB31)*AA31+(H31-AD31)*AC31+(H31-AF31)*AE31+(H31-AH31)*AG31+(H31-AJ31)*AI31+(H31-AL31)*AK31+(H31-AN31)*AM31+(H31-AP31)*AO31+(H31-AR31)*AQ31+(H31-AT31)*AS31+(H31-AV31)*AU31+(H31-AX31)*AW31+(H31-AZ31)*AY31+(H31-BB31)*BA31+(H31-BD31)*BC31+(H31-BF31)*BE31+(H31-BH31)*BG31+(H31-BJ31)*BI31)*DD31*DE31</f>
        <v>0</v>
      </c>
      <c r="DI31" s="43" t="n">
        <f aca="false">(((H31-BL31)*BK31+(H31-BN31)*BM31+(H31-BP31)*BO31+(H31-BR31)*BQ31+(H31-BT31)*BS31+(H31-BV31)*BU31+(H31-BX31)*BW31+(H31-BZ31)*BY31+(H31-CB31)*CA31+(H31-CD31)*CC31+(H31-CF31)*CE31+(H31-CH31)*CG31+(H31-CJ31)*CH31+(H31-CL31)*CK31+(H31-CN31)*CM31+(H31-CP31)*CO31+(H31-CR31)*CQ31+(H31-CT31)*CS31+(H31-CV31)*CU31+(H31-CX31)*CW31)*DD31*DE31)</f>
        <v>0</v>
      </c>
      <c r="DK31" s="85" t="n">
        <v>36858</v>
      </c>
      <c r="DL31" s="21" t="n">
        <v>-49.7253837585449</v>
      </c>
      <c r="DM31" s="21" t="n">
        <f aca="false">[5]NEPOOL!$L18</f>
        <v>-1189.7</v>
      </c>
      <c r="DN31" s="21" t="n">
        <f aca="false">IF(AND(WEEKDAY(DK31)&gt;1,WEEKDAY(DK31)&lt;7),1,0)</f>
        <v>1</v>
      </c>
    </row>
    <row r="32" customFormat="false" ht="18.75" hidden="false" customHeight="false" outlineLevel="0" collapsed="false">
      <c r="A32" s="58" t="n">
        <f aca="false">'NYISO A'!A32</f>
        <v>37155</v>
      </c>
      <c r="B32" s="59" t="n">
        <f aca="false">+[3]WestHub!$L23/16+[3]PJM!$L23/16</f>
        <v>-1.24999999500525E-013</v>
      </c>
      <c r="C32" s="60" t="n">
        <f aca="false">CY32</f>
        <v>0</v>
      </c>
      <c r="D32" s="61" t="n">
        <f aca="false">(IF(MONTH(A32)=MONTH(EOMONTH(TradeDate,1)),$AP$66,0)*VLOOKUP(A32,$DK$12:$DN$43,4))</f>
        <v>0</v>
      </c>
      <c r="E32" s="62" t="n">
        <f aca="false">+B32+C32+D32</f>
        <v>-1.24999999500525E-013</v>
      </c>
      <c r="F32" s="63" t="n">
        <f aca="false">[3]WestHub!$C23</f>
        <v>29.7000026702881</v>
      </c>
      <c r="G32" s="63" t="n">
        <f aca="false">IF($Q$9,Q32,P32)</f>
        <v>0.499997329711913</v>
      </c>
      <c r="H32" s="64" t="n">
        <f aca="false">F32+G32</f>
        <v>30.2</v>
      </c>
      <c r="I32" s="65" t="n">
        <f aca="false">B32*G32*DD32</f>
        <v>-9.99994655428045E-013</v>
      </c>
      <c r="J32" s="66" t="n">
        <f aca="false">DH32+DI32</f>
        <v>0</v>
      </c>
      <c r="K32" s="66" t="n">
        <f aca="false">I32+J32</f>
        <v>-9.99994655428045E-013</v>
      </c>
      <c r="L32" s="24"/>
      <c r="M32" s="67" t="n">
        <f aca="false">A32</f>
        <v>37155</v>
      </c>
      <c r="N32" s="68" t="n">
        <v>30.2</v>
      </c>
      <c r="O32" s="68" t="n">
        <v>30.2</v>
      </c>
      <c r="P32" s="69" t="n">
        <f aca="false">AVERAGE(N32:O32)-F32</f>
        <v>0.499997329711913</v>
      </c>
      <c r="Q32" s="70"/>
      <c r="R32" s="91" t="n">
        <f aca="false">H32</f>
        <v>30.2</v>
      </c>
      <c r="S32" s="24"/>
      <c r="T32" s="0"/>
      <c r="U32" s="72"/>
      <c r="V32" s="73" t="n">
        <f aca="false">A32</f>
        <v>37155</v>
      </c>
      <c r="W32" s="77"/>
      <c r="X32" s="99"/>
      <c r="Y32" s="77"/>
      <c r="Z32" s="78"/>
      <c r="AA32" s="77"/>
      <c r="AB32" s="78"/>
      <c r="AC32" s="77"/>
      <c r="AD32" s="78"/>
      <c r="AE32" s="77"/>
      <c r="AF32" s="78"/>
      <c r="AG32" s="77"/>
      <c r="AH32" s="78"/>
      <c r="AI32" s="77"/>
      <c r="AJ32" s="78"/>
      <c r="AK32" s="77"/>
      <c r="AL32" s="78"/>
      <c r="AM32" s="77"/>
      <c r="AN32" s="78"/>
      <c r="AO32" s="77"/>
      <c r="AP32" s="78"/>
      <c r="AQ32" s="77"/>
      <c r="AR32" s="78"/>
      <c r="AS32" s="77"/>
      <c r="AT32" s="160"/>
      <c r="AU32" s="94"/>
      <c r="AV32" s="95"/>
      <c r="AW32" s="96"/>
      <c r="AX32" s="75"/>
      <c r="AY32" s="81"/>
      <c r="AZ32" s="75"/>
      <c r="BA32" s="81"/>
      <c r="BB32" s="75"/>
      <c r="BC32" s="81"/>
      <c r="BD32" s="75"/>
      <c r="BE32" s="81"/>
      <c r="BF32" s="75"/>
      <c r="BG32" s="81"/>
      <c r="BH32" s="75"/>
      <c r="BI32" s="81"/>
      <c r="BJ32" s="75"/>
      <c r="BK32" s="81"/>
      <c r="BL32" s="75"/>
      <c r="BM32" s="81"/>
      <c r="BN32" s="75"/>
      <c r="BO32" s="81"/>
      <c r="BP32" s="75"/>
      <c r="BQ32" s="81"/>
      <c r="BR32" s="75"/>
      <c r="BS32" s="81"/>
      <c r="BT32" s="75"/>
      <c r="BU32" s="81"/>
      <c r="BV32" s="75"/>
      <c r="BW32" s="81"/>
      <c r="BX32" s="75"/>
      <c r="BY32" s="81"/>
      <c r="BZ32" s="75"/>
      <c r="CA32" s="81"/>
      <c r="CB32" s="75"/>
      <c r="CC32" s="81"/>
      <c r="CD32" s="75"/>
      <c r="CE32" s="81"/>
      <c r="CF32" s="75"/>
      <c r="CG32" s="81"/>
      <c r="CH32" s="75"/>
      <c r="CI32" s="81"/>
      <c r="CJ32" s="75"/>
      <c r="CK32" s="81"/>
      <c r="CL32" s="75"/>
      <c r="CM32" s="81"/>
      <c r="CN32" s="75"/>
      <c r="CO32" s="81"/>
      <c r="CP32" s="75"/>
      <c r="CQ32" s="81"/>
      <c r="CR32" s="75"/>
      <c r="CS32" s="81"/>
      <c r="CT32" s="75"/>
      <c r="CU32" s="81"/>
      <c r="CV32" s="75"/>
      <c r="CW32" s="81"/>
      <c r="CX32" s="75"/>
      <c r="CY32" s="82" t="n">
        <f aca="false">W32+Y32+AA32+AC32+AE32+AG32+AI32+AK32+AM32+AO32+AQ32+AS32+AU32+AW32+AY32+BA32+BC32+BE32+BG32+BI32+BK32+BM32+BO32+BQ32+BS32+BU32+BW32+BY32+CA32+CC32+CE32+CG32+CI32+CK32+CM32+CO32+CQ32+CS32+CU32+CW32</f>
        <v>0</v>
      </c>
      <c r="CZ32" s="83" t="n">
        <f aca="false">IF(AND(CY32=0,DC32=0),0,(DF32+DG32)/DC32)</f>
        <v>0</v>
      </c>
      <c r="DA32" s="84" t="n">
        <f aca="false">DC32*DD32</f>
        <v>0</v>
      </c>
      <c r="DB32" s="85" t="n">
        <f aca="false">V32</f>
        <v>37155</v>
      </c>
      <c r="DC32" s="84" t="n">
        <f aca="false">ABS(W32)+ABS(Y32)+ABS(AA32)+ABS(AC32)+ABS(AE32)+ABS(AG32)+ABS(AI32)+ABS(AK32)+ABS(AM32)+ABS(AO32)+ABS(AQ32)+ABS(AS32)+ABS(AU32)+ABS(AW32)+ABS(AY32)+ABS(BA32)+ABS(BC32)+ABS(BE32)+ABS(BG32)+ABS(BI32)+ABS(BK32)+ABS(BM32)+ABS(BO32)+ABS(BQ32)+ABS(BS32)+ABS(BU32)+ABS(BW32)+ABS(BY32)+ABS(CA32)+ABS(CC32)+ABS(CE32)+ABS(CG32)+ABS(CI32)+ABS(CK32)+ABS(CM32)+ABS(CO32)+ABS(CQ32)+ABS(CS32)+ABS(CU32)+ABS(CW32)</f>
        <v>0</v>
      </c>
      <c r="DD32" s="86" t="n">
        <v>16</v>
      </c>
      <c r="DE32" s="84" t="n">
        <v>1</v>
      </c>
      <c r="DF32" s="43" t="n">
        <f aca="false">(ABS(W32)*X32+ABS(Y32)*Z32+ABS(AA32)*AB32+ABS(AC32)*AD32+ABS(AE32)*AF32+ABS(AG32)*AH32+ABS(AI32)*AJ32+ABS(AK32)*AL32+ABS(AM32)*AN32+ABS(AO32)*AP32+ABS(AQ32)*AR32+ABS(AS32)*AT32+ABS(AU32)*AV32+ABS(AW32)*AX32+ABS(AY32)*AZ32+ABS(BA32)*BB32+ABS(BC32)*BD32+ABS(BE32)*BF32+ABS(BG32)*BH32+ABS(BI32)*BJ32)</f>
        <v>0</v>
      </c>
      <c r="DG32" s="43" t="n">
        <f aca="false">ABS(BK32)*BL32+ABS(BM32)*BN32+ABS(BO32)*BP32+ABS(BQ32)*BR32+ABS(BS32)*BT32+ABS(BU32)*BV32+ABS(BW32)*BX32+ABS(BY32)*BZ32+ABS(CA32)*CB32+ABS(CC32)*CD32+ABS(CE32)*CF32+ABS(CG32)*CH32+ABS(CI32)*CJ32+ABS(CK32)*CL32+ABS(CM32)*CN32+ABS(CO32)*CP32+ABS(CQ32)*CR32+ABS(CS32)*CT32+ABS(CU32)*CV32+ABS(CW32)*CX32</f>
        <v>0</v>
      </c>
      <c r="DH32" s="43" t="n">
        <f aca="false">((H32-X32)*W32+(H32-Z32)*Y32+(H32-AB32)*AA32+(H32-AD32)*AC32+(H32-AF32)*AE32+(H32-AH32)*AG32+(H32-AJ32)*AI32+(H32-AL32)*AK32+(H32-AN32)*AM32+(H32-AP32)*AO32+(H32-AR32)*AQ32+(H32-AT32)*AS32+(H32-AV32)*AU32+(H32-AX32)*AW32+(H32-AZ32)*AY32+(H32-BB32)*BA32+(H32-BD32)*BC32+(H32-BF32)*BE32+(H32-BH32)*BG32+(H32-BJ32)*BI32)*DD32*DE32</f>
        <v>0</v>
      </c>
      <c r="DI32" s="43" t="n">
        <f aca="false">(((H32-BL32)*BK32+(H32-BN32)*BM32+(H32-BP32)*BO32+(H32-BR32)*BQ32+(H32-BT32)*BS32+(H32-BV32)*BU32+(H32-BX32)*BW32+(H32-BZ32)*BY32+(H32-CB32)*CA32+(H32-CD32)*CC32+(H32-CF32)*CE32+(H32-CH32)*CG32+(H32-CJ32)*CH32+(H32-CL32)*CK32+(H32-CN32)*CM32+(H32-CP32)*CO32+(H32-CR32)*CQ32+(H32-CT32)*CS32+(H32-CV32)*CU32+(H32-CX32)*CW32)*DD32*DE32)</f>
        <v>0</v>
      </c>
      <c r="DK32" s="85" t="n">
        <v>36859</v>
      </c>
      <c r="DL32" s="21" t="n">
        <v>-49.7253837585449</v>
      </c>
      <c r="DM32" s="21" t="n">
        <f aca="false">[5]NEPOOL!$L19</f>
        <v>-1189.7</v>
      </c>
      <c r="DN32" s="21" t="n">
        <f aca="false">IF(AND(WEEKDAY(DK32)&gt;1,WEEKDAY(DK32)&lt;7),1,0)</f>
        <v>1</v>
      </c>
    </row>
    <row r="33" customFormat="false" ht="18.75" hidden="false" customHeight="false" outlineLevel="0" collapsed="false">
      <c r="A33" s="58" t="n">
        <f aca="false">'NYISO A'!A33</f>
        <v>37156</v>
      </c>
      <c r="B33" s="59" t="n">
        <f aca="false">+[3]WestHub!$L24/16+[3]PJM!$L24/16</f>
        <v>0</v>
      </c>
      <c r="C33" s="101" t="n">
        <f aca="false">CY33</f>
        <v>0</v>
      </c>
      <c r="D33" s="87" t="n">
        <f aca="false">(IF(MONTH(A33)=MONTH(EOMONTH(TradeDate,1)),$AP$66,0)*VLOOKUP(A33,$DK$12:$DN$43,4))</f>
        <v>0</v>
      </c>
      <c r="E33" s="62" t="n">
        <f aca="false">+B33+C33+D33</f>
        <v>0</v>
      </c>
      <c r="F33" s="63" t="n">
        <f aca="false">[3]WestHub!$C24</f>
        <v>25.0000019073486</v>
      </c>
      <c r="G33" s="88" t="n">
        <f aca="false">IF($Q$9,Q33,P33)</f>
        <v>5.19999809265137</v>
      </c>
      <c r="H33" s="89" t="n">
        <f aca="false">F33+G33</f>
        <v>30.2</v>
      </c>
      <c r="I33" s="87" t="n">
        <f aca="false">B33*G33*DD33</f>
        <v>0</v>
      </c>
      <c r="J33" s="66" t="n">
        <f aca="false">DH33+DI33</f>
        <v>0</v>
      </c>
      <c r="K33" s="90" t="n">
        <f aca="false">I33+J33</f>
        <v>0</v>
      </c>
      <c r="L33" s="24"/>
      <c r="M33" s="67" t="n">
        <f aca="false">A33</f>
        <v>37156</v>
      </c>
      <c r="N33" s="68" t="n">
        <v>30.2</v>
      </c>
      <c r="O33" s="68" t="n">
        <v>30.2</v>
      </c>
      <c r="P33" s="69" t="n">
        <f aca="false">AVERAGE(N33:O33)-F33</f>
        <v>5.19999809265137</v>
      </c>
      <c r="Q33" s="70"/>
      <c r="R33" s="91" t="n">
        <f aca="false">H33</f>
        <v>30.2</v>
      </c>
      <c r="S33" s="24"/>
      <c r="T33" s="0"/>
      <c r="U33" s="72"/>
      <c r="V33" s="73" t="n">
        <f aca="false">A33</f>
        <v>37156</v>
      </c>
      <c r="W33" s="77"/>
      <c r="X33" s="99"/>
      <c r="Y33" s="77"/>
      <c r="Z33" s="78"/>
      <c r="AA33" s="77"/>
      <c r="AB33" s="78"/>
      <c r="AC33" s="77"/>
      <c r="AD33" s="78"/>
      <c r="AE33" s="77"/>
      <c r="AF33" s="78"/>
      <c r="AG33" s="77"/>
      <c r="AH33" s="78"/>
      <c r="AI33" s="77"/>
      <c r="AJ33" s="78"/>
      <c r="AK33" s="77"/>
      <c r="AL33" s="78"/>
      <c r="AM33" s="77"/>
      <c r="AN33" s="78"/>
      <c r="AO33" s="77"/>
      <c r="AP33" s="78"/>
      <c r="AQ33" s="77"/>
      <c r="AR33" s="78"/>
      <c r="AS33" s="77"/>
      <c r="AT33" s="160"/>
      <c r="AU33" s="94"/>
      <c r="AV33" s="95"/>
      <c r="AW33" s="96"/>
      <c r="AX33" s="75"/>
      <c r="AY33" s="81"/>
      <c r="AZ33" s="75"/>
      <c r="BA33" s="81"/>
      <c r="BB33" s="75"/>
      <c r="BC33" s="81"/>
      <c r="BD33" s="75"/>
      <c r="BE33" s="81"/>
      <c r="BF33" s="75"/>
      <c r="BG33" s="81"/>
      <c r="BH33" s="75"/>
      <c r="BI33" s="81"/>
      <c r="BJ33" s="75"/>
      <c r="BK33" s="81"/>
      <c r="BL33" s="75"/>
      <c r="BM33" s="81"/>
      <c r="BN33" s="75"/>
      <c r="BO33" s="81"/>
      <c r="BP33" s="75"/>
      <c r="BQ33" s="81"/>
      <c r="BR33" s="75"/>
      <c r="BS33" s="81"/>
      <c r="BT33" s="75"/>
      <c r="BU33" s="81"/>
      <c r="BV33" s="75"/>
      <c r="BW33" s="81"/>
      <c r="BX33" s="75"/>
      <c r="BY33" s="81"/>
      <c r="BZ33" s="75"/>
      <c r="CA33" s="81"/>
      <c r="CB33" s="75"/>
      <c r="CC33" s="81"/>
      <c r="CD33" s="75"/>
      <c r="CE33" s="81"/>
      <c r="CF33" s="75"/>
      <c r="CG33" s="81"/>
      <c r="CH33" s="75"/>
      <c r="CI33" s="81"/>
      <c r="CJ33" s="75"/>
      <c r="CK33" s="81"/>
      <c r="CL33" s="75"/>
      <c r="CM33" s="81"/>
      <c r="CN33" s="75"/>
      <c r="CO33" s="81"/>
      <c r="CP33" s="75"/>
      <c r="CQ33" s="81"/>
      <c r="CR33" s="75"/>
      <c r="CS33" s="81"/>
      <c r="CT33" s="75"/>
      <c r="CU33" s="81"/>
      <c r="CV33" s="75"/>
      <c r="CW33" s="81"/>
      <c r="CX33" s="75"/>
      <c r="CY33" s="82" t="n">
        <f aca="false">W33+Y33+AA33+AC33+AE33+AG33+AI33+AK33+AM33+AO33+AQ33+AS33+AU33+AW33+AY33+BA33+BC33+BE33+BG33+BI33+BK33+BM33+BO33+BQ33+BS33+BU33+BW33+BY33+CA33+CC33+CE33+CG33+CI33+CK33+CM33+CO33+CQ33+CS33+CU33+CW33</f>
        <v>0</v>
      </c>
      <c r="CZ33" s="83" t="n">
        <f aca="false">IF(AND(CY33=0,DC33=0),0,(DF33+DG33)/DC33)</f>
        <v>0</v>
      </c>
      <c r="DA33" s="84" t="n">
        <f aca="false">DC33*DD33</f>
        <v>0</v>
      </c>
      <c r="DB33" s="85" t="n">
        <f aca="false">V33</f>
        <v>37156</v>
      </c>
      <c r="DC33" s="84" t="n">
        <f aca="false">ABS(W33)+ABS(Y33)+ABS(AA33)+ABS(AC33)+ABS(AE33)+ABS(AG33)+ABS(AI33)+ABS(AK33)+ABS(AM33)+ABS(AO33)+ABS(AQ33)+ABS(AS33)+ABS(AU33)+ABS(AW33)+ABS(AY33)+ABS(BA33)+ABS(BC33)+ABS(BE33)+ABS(BG33)+ABS(BI33)+ABS(BK33)+ABS(BM33)+ABS(BO33)+ABS(BQ33)+ABS(BS33)+ABS(BU33)+ABS(BW33)+ABS(BY33)+ABS(CA33)+ABS(CC33)+ABS(CE33)+ABS(CG33)+ABS(CI33)+ABS(CK33)+ABS(CM33)+ABS(CO33)+ABS(CQ33)+ABS(CS33)+ABS(CU33)+ABS(CW33)</f>
        <v>0</v>
      </c>
      <c r="DD33" s="86" t="n">
        <v>16</v>
      </c>
      <c r="DE33" s="84" t="n">
        <v>1</v>
      </c>
      <c r="DF33" s="43" t="n">
        <f aca="false">(ABS(W33)*X33+ABS(Y33)*Z33+ABS(AA33)*AB33+ABS(AC33)*AD33+ABS(AE33)*AF33+ABS(AG33)*AH33+ABS(AI33)*AJ33+ABS(AK33)*AL33+ABS(AM33)*AN33+ABS(AO33)*AP33+ABS(AQ33)*AR33+ABS(AS33)*AT33+ABS(AU33)*AV33+ABS(AW33)*AX33+ABS(AY33)*AZ33+ABS(BA33)*BB33+ABS(BC33)*BD33+ABS(BE33)*BF33+ABS(BG33)*BH33+ABS(BI33)*BJ33)</f>
        <v>0</v>
      </c>
      <c r="DG33" s="43" t="n">
        <f aca="false">ABS(BK33)*BL33+ABS(BM33)*BN33+ABS(BO33)*BP33+ABS(BQ33)*BR33+ABS(BS33)*BT33+ABS(BU33)*BV33+ABS(BW33)*BX33+ABS(BY33)*BZ33+ABS(CA33)*CB33+ABS(CC33)*CD33+ABS(CE33)*CF33+ABS(CG33)*CH33+ABS(CI33)*CJ33+ABS(CK33)*CL33+ABS(CM33)*CN33+ABS(CO33)*CP33+ABS(CQ33)*CR33+ABS(CS33)*CT33+ABS(CU33)*CV33+ABS(CW33)*CX33</f>
        <v>0</v>
      </c>
      <c r="DH33" s="43" t="n">
        <f aca="false">((H33-X33)*W33+(H33-Z33)*Y33+(H33-AB33)*AA33+(H33-AD33)*AC33+(H33-AF33)*AE33+(H33-AH33)*AG33+(H33-AJ33)*AI33+(H33-AL33)*AK33+(H33-AN33)*AM33+(H33-AP33)*AO33+(H33-AR33)*AQ33+(H33-AT33)*AS33+(H33-AV33)*AU33+(H33-AX33)*AW33+(H33-AZ33)*AY33+(H33-BB33)*BA33+(H33-BD33)*BC33+(H33-BF33)*BE33+(H33-BH33)*BG33+(H33-BJ33)*BI33)*DD33*DE33</f>
        <v>0</v>
      </c>
      <c r="DI33" s="43" t="n">
        <f aca="false">(((H33-BL33)*BK33+(H33-BN33)*BM33+(H33-BP33)*BO33+(H33-BR33)*BQ33+(H33-BT33)*BS33+(H33-BV33)*BU33+(H33-BX33)*BW33+(H33-BZ33)*BY33+(H33-CB33)*CA33+(H33-CD33)*CC33+(H33-CF33)*CE33+(H33-CH33)*CG33+(H33-CJ33)*CH33+(H33-CL33)*CK33+(H33-CN33)*CM33+(H33-CP33)*CO33+(H33-CR33)*CQ33+(H33-CT33)*CS33+(H33-CV33)*CU33+(H33-CX33)*CW33)*DD33*DE33)</f>
        <v>0</v>
      </c>
      <c r="DK33" s="85" t="n">
        <v>36860</v>
      </c>
      <c r="DL33" s="21" t="n">
        <v>-49.7253837585449</v>
      </c>
      <c r="DM33" s="21" t="n">
        <f aca="false">[5]NEPOOL!$L20</f>
        <v>-1189.7</v>
      </c>
      <c r="DN33" s="21" t="n">
        <f aca="false">IF(AND(WEEKDAY(DK33)&gt;1,WEEKDAY(DK33)&lt;7),1,0)</f>
        <v>1</v>
      </c>
    </row>
    <row r="34" customFormat="false" ht="18.75" hidden="false" customHeight="false" outlineLevel="0" collapsed="false">
      <c r="A34" s="58" t="n">
        <f aca="false">'NYISO A'!A34</f>
        <v>37157</v>
      </c>
      <c r="B34" s="59" t="n">
        <f aca="false">+[3]WestHub!$L25/16+[3]PJM!$L25/16</f>
        <v>0</v>
      </c>
      <c r="C34" s="60" t="n">
        <f aca="false">CY34</f>
        <v>0</v>
      </c>
      <c r="D34" s="61" t="n">
        <f aca="false">(IF(MONTH(A34)=MONTH(EOMONTH(TradeDate,1)),$AP$66,0)*VLOOKUP(A34,$DK$12:$DN$43,4))</f>
        <v>0</v>
      </c>
      <c r="E34" s="62" t="n">
        <f aca="false">+B34+C34+D34</f>
        <v>0</v>
      </c>
      <c r="F34" s="63" t="n">
        <f aca="false">[3]WestHub!$C25</f>
        <v>25.0000019073486</v>
      </c>
      <c r="G34" s="63" t="n">
        <f aca="false">IF($Q$9,Q34,P34)</f>
        <v>5.79999809265137</v>
      </c>
      <c r="H34" s="64" t="n">
        <f aca="false">F34+G34</f>
        <v>30.8</v>
      </c>
      <c r="I34" s="65" t="n">
        <f aca="false">B34*G34*DD34</f>
        <v>0</v>
      </c>
      <c r="J34" s="66" t="n">
        <f aca="false">DH34+DI34</f>
        <v>0</v>
      </c>
      <c r="K34" s="66" t="n">
        <f aca="false">I34+J34</f>
        <v>0</v>
      </c>
      <c r="L34" s="24"/>
      <c r="M34" s="67" t="n">
        <f aca="false">A34</f>
        <v>37157</v>
      </c>
      <c r="N34" s="68" t="n">
        <v>30.8</v>
      </c>
      <c r="O34" s="68" t="n">
        <v>30.8</v>
      </c>
      <c r="P34" s="69" t="n">
        <f aca="false">AVERAGE(N34:O34)-F34</f>
        <v>5.79999809265137</v>
      </c>
      <c r="Q34" s="70"/>
      <c r="R34" s="91" t="n">
        <f aca="false">H34</f>
        <v>30.8</v>
      </c>
      <c r="S34" s="24"/>
      <c r="T34" s="0"/>
      <c r="U34" s="72"/>
      <c r="V34" s="73" t="n">
        <f aca="false">A34</f>
        <v>37157</v>
      </c>
      <c r="W34" s="77"/>
      <c r="X34" s="99"/>
      <c r="Y34" s="77"/>
      <c r="Z34" s="78"/>
      <c r="AA34" s="77"/>
      <c r="AB34" s="78"/>
      <c r="AC34" s="77"/>
      <c r="AD34" s="76"/>
      <c r="AE34" s="77"/>
      <c r="AF34" s="76"/>
      <c r="AG34" s="77"/>
      <c r="AH34" s="76"/>
      <c r="AI34" s="77"/>
      <c r="AJ34" s="78"/>
      <c r="AK34" s="77"/>
      <c r="AL34" s="78"/>
      <c r="AM34" s="77"/>
      <c r="AN34" s="78"/>
      <c r="AO34" s="77"/>
      <c r="AP34" s="78"/>
      <c r="AQ34" s="77"/>
      <c r="AR34" s="78"/>
      <c r="AS34" s="77"/>
      <c r="AT34" s="160"/>
      <c r="AU34" s="94"/>
      <c r="AV34" s="95"/>
      <c r="AW34" s="96"/>
      <c r="AX34" s="75"/>
      <c r="AY34" s="81"/>
      <c r="AZ34" s="75"/>
      <c r="BA34" s="81"/>
      <c r="BB34" s="75"/>
      <c r="BC34" s="81"/>
      <c r="BD34" s="75"/>
      <c r="BE34" s="81"/>
      <c r="BF34" s="75"/>
      <c r="BG34" s="81"/>
      <c r="BH34" s="75"/>
      <c r="BI34" s="81"/>
      <c r="BJ34" s="75"/>
      <c r="BK34" s="81"/>
      <c r="BL34" s="75"/>
      <c r="BM34" s="81"/>
      <c r="BN34" s="75"/>
      <c r="BO34" s="81"/>
      <c r="BP34" s="75"/>
      <c r="BQ34" s="81"/>
      <c r="BR34" s="75"/>
      <c r="BS34" s="81"/>
      <c r="BT34" s="75"/>
      <c r="BU34" s="81"/>
      <c r="BV34" s="75"/>
      <c r="BW34" s="81"/>
      <c r="BX34" s="75"/>
      <c r="BY34" s="81"/>
      <c r="BZ34" s="75"/>
      <c r="CA34" s="81"/>
      <c r="CB34" s="75"/>
      <c r="CC34" s="81"/>
      <c r="CD34" s="75"/>
      <c r="CE34" s="81"/>
      <c r="CF34" s="75"/>
      <c r="CG34" s="81"/>
      <c r="CH34" s="75"/>
      <c r="CI34" s="81"/>
      <c r="CJ34" s="75"/>
      <c r="CK34" s="81"/>
      <c r="CL34" s="75"/>
      <c r="CM34" s="81"/>
      <c r="CN34" s="75"/>
      <c r="CO34" s="81"/>
      <c r="CP34" s="75"/>
      <c r="CQ34" s="81"/>
      <c r="CR34" s="75"/>
      <c r="CS34" s="81"/>
      <c r="CT34" s="75"/>
      <c r="CU34" s="81"/>
      <c r="CV34" s="75"/>
      <c r="CW34" s="81"/>
      <c r="CX34" s="75"/>
      <c r="CY34" s="82" t="n">
        <f aca="false">W34+Y34+AA34+AC34+AE34+AG34+AI34+AK34+AM34+AO34+AQ34+AS34+AU34+AW34+AY34+BA34+BC34+BE34+BG34+BI34+BK34+BM34+BO34+BQ34+BS34+BU34+BW34+BY34+CA34+CC34+CE34+CG34+CI34+CK34+CM34+CO34+CQ34+CS34+CU34+CW34</f>
        <v>0</v>
      </c>
      <c r="CZ34" s="83" t="n">
        <f aca="false">IF(AND(CY34=0,DC34=0),0,(DF34+DG34)/DC34)</f>
        <v>0</v>
      </c>
      <c r="DA34" s="84" t="n">
        <f aca="false">DC34*DD34</f>
        <v>0</v>
      </c>
      <c r="DB34" s="85" t="n">
        <f aca="false">V34</f>
        <v>37157</v>
      </c>
      <c r="DC34" s="84" t="n">
        <f aca="false">ABS(W34)+ABS(Y34)+ABS(AA34)+ABS(AC34)+ABS(AE34)+ABS(AG34)+ABS(AI34)+ABS(AK34)+ABS(AM34)+ABS(AO34)+ABS(AQ34)+ABS(AS34)+ABS(AU34)+ABS(AW34)+ABS(AY34)+ABS(BA34)+ABS(BC34)+ABS(BE34)+ABS(BG34)+ABS(BI34)+ABS(BK34)+ABS(BM34)+ABS(BO34)+ABS(BQ34)+ABS(BS34)+ABS(BU34)+ABS(BW34)+ABS(BY34)+ABS(CA34)+ABS(CC34)+ABS(CE34)+ABS(CG34)+ABS(CI34)+ABS(CK34)+ABS(CM34)+ABS(CO34)+ABS(CQ34)+ABS(CS34)+ABS(CU34)+ABS(CW34)</f>
        <v>0</v>
      </c>
      <c r="DD34" s="86" t="n">
        <v>16</v>
      </c>
      <c r="DE34" s="84" t="n">
        <v>1</v>
      </c>
      <c r="DF34" s="43" t="n">
        <f aca="false">(ABS(W34)*X34+ABS(Y34)*Z34+ABS(AA34)*AB34+ABS(AC34)*AD34+ABS(AE34)*AF34+ABS(AG34)*AH34+ABS(AI34)*AJ34+ABS(AK34)*AL34+ABS(AM34)*AN34+ABS(AO34)*AP34+ABS(AQ34)*AR34+ABS(AS34)*AT34+ABS(AU34)*AV34+ABS(AW34)*AX34+ABS(AY34)*AZ34+ABS(BA34)*BB34+ABS(BC34)*BD34+ABS(BE34)*BF34+ABS(BG34)*BH34+ABS(BI34)*BJ34)</f>
        <v>0</v>
      </c>
      <c r="DG34" s="43" t="n">
        <f aca="false">ABS(BK34)*BL34+ABS(BM34)*BN34+ABS(BO34)*BP34+ABS(BQ34)*BR34+ABS(BS34)*BT34+ABS(BU34)*BV34+ABS(BW34)*BX34+ABS(BY34)*BZ34+ABS(CA34)*CB34+ABS(CC34)*CD34+ABS(CE34)*CF34+ABS(CG34)*CH34+ABS(CI34)*CJ34+ABS(CK34)*CL34+ABS(CM34)*CN34+ABS(CO34)*CP34+ABS(CQ34)*CR34+ABS(CS34)*CT34+ABS(CU34)*CV34+ABS(CW34)*CX34</f>
        <v>0</v>
      </c>
      <c r="DH34" s="43" t="n">
        <f aca="false">((H34-X34)*W34+(H34-Z34)*Y34+(H34-AB34)*AA34+(H34-AD34)*AC34+(H34-AF34)*AE34+(H34-AH34)*AG34+(H34-AJ34)*AI34+(H34-AL34)*AK34+(H34-AN34)*AM34+(H34-AP34)*AO34+(H34-AR34)*AQ34+(H34-AT34)*AS34+(H34-AV34)*AU34+(H34-AX34)*AW34+(H34-AZ34)*AY34+(H34-BB34)*BA34+(H34-BD34)*BC34+(H34-BF34)*BE34+(H34-BH34)*BG34+(H34-BJ34)*BI34)*DD34*DE34</f>
        <v>0</v>
      </c>
      <c r="DI34" s="43" t="n">
        <f aca="false">(((H34-BL34)*BK34+(H34-BN34)*BM34+(H34-BP34)*BO34+(H34-BR34)*BQ34+(H34-BT34)*BS34+(H34-BV34)*BU34+(H34-BX34)*BW34+(H34-BZ34)*BY34+(H34-CB34)*CA34+(H34-CD34)*CC34+(H34-CF34)*CE34+(H34-CH34)*CG34+(H34-CJ34)*CH34+(H34-CL34)*CK34+(H34-CN34)*CM34+(H34-CP34)*CO34+(H34-CR34)*CQ34+(H34-CT34)*CS34+(H34-CV34)*CU34+(H34-CX34)*CW34)*DD34*DE34)</f>
        <v>0</v>
      </c>
      <c r="DK34" s="85" t="n">
        <v>36861</v>
      </c>
      <c r="DL34" s="21" t="n">
        <v>50</v>
      </c>
      <c r="DM34" s="21" t="n">
        <f aca="false">[5]NEPOOL!$L21</f>
        <v>0</v>
      </c>
      <c r="DN34" s="21" t="n">
        <f aca="false">IF(AND(WEEKDAY(DK34)&gt;1,WEEKDAY(DK34)&lt;7),1,0)</f>
        <v>1</v>
      </c>
    </row>
    <row r="35" customFormat="false" ht="18.75" hidden="false" customHeight="false" outlineLevel="0" collapsed="false">
      <c r="A35" s="58" t="n">
        <f aca="false">'NYISO A'!A35</f>
        <v>37158</v>
      </c>
      <c r="B35" s="59" t="n">
        <f aca="false">+[3]WestHub!$L26/16+[3]PJM!$L26/16</f>
        <v>-1.24999999500525E-013</v>
      </c>
      <c r="C35" s="101" t="n">
        <f aca="false">CY35</f>
        <v>0</v>
      </c>
      <c r="D35" s="87" t="n">
        <f aca="false">(IF(MONTH(A35)=MONTH(EOMONTH(TradeDate,1)),$AP$66,0)*VLOOKUP(A35,$DK$12:$DN$43,4))</f>
        <v>0</v>
      </c>
      <c r="E35" s="62" t="n">
        <f aca="false">+B35+C35+D35</f>
        <v>-1.24999999500525E-013</v>
      </c>
      <c r="F35" s="63" t="n">
        <f aca="false">[3]WestHub!$C26</f>
        <v>29.8000030517578</v>
      </c>
      <c r="G35" s="88" t="n">
        <f aca="false">IF($Q$9,Q35,P35)</f>
        <v>0.999996948242188</v>
      </c>
      <c r="H35" s="89" t="n">
        <f aca="false">F35+G35</f>
        <v>30.8</v>
      </c>
      <c r="I35" s="87" t="n">
        <f aca="false">B35*G35*DD35</f>
        <v>-1.9999938884928E-012</v>
      </c>
      <c r="J35" s="66" t="n">
        <f aca="false">DH35+DI35</f>
        <v>0</v>
      </c>
      <c r="K35" s="90" t="n">
        <f aca="false">I35+J35</f>
        <v>-1.9999938884928E-012</v>
      </c>
      <c r="L35" s="24"/>
      <c r="M35" s="67" t="n">
        <f aca="false">A35</f>
        <v>37158</v>
      </c>
      <c r="N35" s="68" t="n">
        <v>30.8</v>
      </c>
      <c r="O35" s="68" t="n">
        <v>30.8</v>
      </c>
      <c r="P35" s="69" t="n">
        <f aca="false">AVERAGE(N35:O35)-F35</f>
        <v>0.999996948242188</v>
      </c>
      <c r="Q35" s="70"/>
      <c r="R35" s="91" t="n">
        <f aca="false">H35</f>
        <v>30.8</v>
      </c>
      <c r="S35" s="24"/>
      <c r="T35" s="0"/>
      <c r="U35" s="72"/>
      <c r="V35" s="73" t="n">
        <f aca="false">A35</f>
        <v>37158</v>
      </c>
      <c r="W35" s="77"/>
      <c r="X35" s="99"/>
      <c r="Y35" s="77"/>
      <c r="Z35" s="78"/>
      <c r="AA35" s="77"/>
      <c r="AB35" s="78"/>
      <c r="AC35" s="77"/>
      <c r="AD35" s="76"/>
      <c r="AE35" s="77"/>
      <c r="AF35" s="76"/>
      <c r="AG35" s="77"/>
      <c r="AH35" s="76"/>
      <c r="AI35" s="77"/>
      <c r="AJ35" s="78"/>
      <c r="AK35" s="77"/>
      <c r="AL35" s="78"/>
      <c r="AM35" s="77"/>
      <c r="AN35" s="78"/>
      <c r="AO35" s="77"/>
      <c r="AP35" s="78"/>
      <c r="AQ35" s="77"/>
      <c r="AR35" s="78"/>
      <c r="AS35" s="77"/>
      <c r="AT35" s="160"/>
      <c r="AU35" s="94"/>
      <c r="AV35" s="95"/>
      <c r="AW35" s="96"/>
      <c r="AX35" s="75"/>
      <c r="AY35" s="81"/>
      <c r="AZ35" s="75"/>
      <c r="BA35" s="81"/>
      <c r="BB35" s="75"/>
      <c r="BC35" s="81"/>
      <c r="BD35" s="75"/>
      <c r="BE35" s="81"/>
      <c r="BF35" s="75"/>
      <c r="BG35" s="81"/>
      <c r="BH35" s="75"/>
      <c r="BI35" s="81"/>
      <c r="BJ35" s="75"/>
      <c r="BK35" s="81"/>
      <c r="BL35" s="75"/>
      <c r="BM35" s="81"/>
      <c r="BN35" s="75"/>
      <c r="BO35" s="81"/>
      <c r="BP35" s="75"/>
      <c r="BQ35" s="81"/>
      <c r="BR35" s="75"/>
      <c r="BS35" s="81"/>
      <c r="BT35" s="75"/>
      <c r="BU35" s="81"/>
      <c r="BV35" s="75"/>
      <c r="BW35" s="81"/>
      <c r="BX35" s="75"/>
      <c r="BY35" s="81"/>
      <c r="BZ35" s="75"/>
      <c r="CA35" s="81"/>
      <c r="CB35" s="75"/>
      <c r="CC35" s="81"/>
      <c r="CD35" s="75"/>
      <c r="CE35" s="81"/>
      <c r="CF35" s="75"/>
      <c r="CG35" s="81"/>
      <c r="CH35" s="75"/>
      <c r="CI35" s="81"/>
      <c r="CJ35" s="75"/>
      <c r="CK35" s="81"/>
      <c r="CL35" s="75"/>
      <c r="CM35" s="81"/>
      <c r="CN35" s="75"/>
      <c r="CO35" s="81"/>
      <c r="CP35" s="75"/>
      <c r="CQ35" s="81"/>
      <c r="CR35" s="75"/>
      <c r="CS35" s="81"/>
      <c r="CT35" s="75"/>
      <c r="CU35" s="81"/>
      <c r="CV35" s="75"/>
      <c r="CW35" s="81"/>
      <c r="CX35" s="75"/>
      <c r="CY35" s="82" t="n">
        <f aca="false">W35+Y35+AA35+AC35+AE35+AG35+AI35+AK35+AM35+AO35+AQ35+AS35+AU35+AW35+AY35+BA35+BC35+BE35+BG35+BI35+BK35+BM35+BO35+BQ35+BS35+BU35+BW35+BY35+CA35+CC35+CE35+CG35+CI35+CK35+CM35+CO35+CQ35+CS35+CU35+CW35</f>
        <v>0</v>
      </c>
      <c r="CZ35" s="83" t="n">
        <f aca="false">IF(AND(CY35=0,DC35=0),0,(DF35+DG35)/DC35)</f>
        <v>0</v>
      </c>
      <c r="DA35" s="84" t="n">
        <f aca="false">DC35*DD35</f>
        <v>0</v>
      </c>
      <c r="DB35" s="85" t="n">
        <f aca="false">V35</f>
        <v>37158</v>
      </c>
      <c r="DC35" s="84" t="n">
        <f aca="false">ABS(W35)+ABS(Y35)+ABS(AA35)+ABS(AC35)+ABS(AE35)+ABS(AG35)+ABS(AI35)+ABS(AK35)+ABS(AM35)+ABS(AO35)+ABS(AQ35)+ABS(AS35)+ABS(AU35)+ABS(AW35)+ABS(AY35)+ABS(BA35)+ABS(BC35)+ABS(BE35)+ABS(BG35)+ABS(BI35)+ABS(BK35)+ABS(BM35)+ABS(BO35)+ABS(BQ35)+ABS(BS35)+ABS(BU35)+ABS(BW35)+ABS(BY35)+ABS(CA35)+ABS(CC35)+ABS(CE35)+ABS(CG35)+ABS(CI35)+ABS(CK35)+ABS(CM35)+ABS(CO35)+ABS(CQ35)+ABS(CS35)+ABS(CU35)+ABS(CW35)</f>
        <v>0</v>
      </c>
      <c r="DD35" s="86" t="n">
        <v>16</v>
      </c>
      <c r="DE35" s="84" t="n">
        <v>1</v>
      </c>
      <c r="DF35" s="43" t="n">
        <f aca="false">(ABS(W35)*X35+ABS(Y35)*Z35+ABS(AA35)*AB35+ABS(AC35)*AD35+ABS(AE35)*AF35+ABS(AG35)*AH35+ABS(AI35)*AJ35+ABS(AK35)*AL35+ABS(AM35)*AN35+ABS(AO35)*AP35+ABS(AQ35)*AR35+ABS(AS35)*AT35+ABS(AU35)*AV35+ABS(AW35)*AX35+ABS(AY35)*AZ35+ABS(BA35)*BB35+ABS(BC35)*BD35+ABS(BE35)*BF35+ABS(BG35)*BH35+ABS(BI35)*BJ35)</f>
        <v>0</v>
      </c>
      <c r="DG35" s="43" t="n">
        <f aca="false">ABS(BK35)*BL35+ABS(BM35)*BN35+ABS(BO35)*BP35+ABS(BQ35)*BR35+ABS(BS35)*BT35+ABS(BU35)*BV35+ABS(BW35)*BX35+ABS(BY35)*BZ35+ABS(CA35)*CB35+ABS(CC35)*CD35+ABS(CE35)*CF35+ABS(CG35)*CH35+ABS(CI35)*CJ35+ABS(CK35)*CL35+ABS(CM35)*CN35+ABS(CO35)*CP35+ABS(CQ35)*CR35+ABS(CS35)*CT35+ABS(CU35)*CV35+ABS(CW35)*CX35</f>
        <v>0</v>
      </c>
      <c r="DH35" s="43" t="n">
        <f aca="false">((H35-X35)*W35+(H35-Z35)*Y35+(H35-AB35)*AA35+(H35-AD35)*AC35+(H35-AF35)*AE35+(H35-AH35)*AG35+(H35-AJ35)*AI35+(H35-AL35)*AK35+(H35-AN35)*AM35+(H35-AP35)*AO35+(H35-AR35)*AQ35+(H35-AT35)*AS35+(H35-AV35)*AU35+(H35-AX35)*AW35+(H35-AZ35)*AY35+(H35-BB35)*BA35+(H35-BD35)*BC35+(H35-BF35)*BE35+(H35-BH35)*BG35+(H35-BJ35)*BI35)*DD35*DE35</f>
        <v>0</v>
      </c>
      <c r="DI35" s="43" t="n">
        <f aca="false">(((H35-BL35)*BK35+(H35-BN35)*BM35+(H35-BP35)*BO35+(H35-BR35)*BQ35+(H35-BT35)*BS35+(H35-BV35)*BU35+(H35-BX35)*BW35+(H35-BZ35)*BY35+(H35-CB35)*CA35+(H35-CD35)*CC35+(H35-CF35)*CE35+(H35-CH35)*CG35+(H35-CJ35)*CH35+(H35-CL35)*CK35+(H35-CN35)*CM35+(H35-CP35)*CO35+(H35-CR35)*CQ35+(H35-CT35)*CS35+(H35-CV35)*CU35+(H35-CX35)*CW35)*DD35*DE35)</f>
        <v>0</v>
      </c>
      <c r="DK35" s="85" t="n">
        <v>36862</v>
      </c>
      <c r="DL35" s="21" t="n">
        <v>0</v>
      </c>
      <c r="DM35" s="21" t="n">
        <f aca="false">[5]NEPOOL!$L22</f>
        <v>0</v>
      </c>
      <c r="DN35" s="21" t="n">
        <f aca="false">IF(AND(WEEKDAY(DK35)&gt;1,WEEKDAY(DK35)&lt;7),1,0)</f>
        <v>0</v>
      </c>
    </row>
    <row r="36" customFormat="false" ht="18.75" hidden="false" customHeight="false" outlineLevel="0" collapsed="false">
      <c r="A36" s="58" t="n">
        <f aca="false">'NYISO A'!A36</f>
        <v>37159</v>
      </c>
      <c r="B36" s="59" t="n">
        <f aca="false">+[3]WestHub!$L27/16+[3]PJM!$L27/16</f>
        <v>-1.24999999500525E-013</v>
      </c>
      <c r="C36" s="60" t="n">
        <f aca="false">CY36</f>
        <v>0</v>
      </c>
      <c r="D36" s="61" t="n">
        <f aca="false">(IF(MONTH(A36)=MONTH(EOMONTH(TradeDate,1)),$AP$66,0)*VLOOKUP(A36,$DK$12:$DN$43,4))</f>
        <v>0</v>
      </c>
      <c r="E36" s="62" t="n">
        <f aca="false">+B36+C36+D36</f>
        <v>-1.24999999500525E-013</v>
      </c>
      <c r="F36" s="63" t="n">
        <f aca="false">[3]WestHub!$C27</f>
        <v>29.8000030517578</v>
      </c>
      <c r="G36" s="63" t="n">
        <f aca="false">IF($Q$9,Q36,P36)</f>
        <v>0.399996948242187</v>
      </c>
      <c r="H36" s="64" t="n">
        <f aca="false">F36+G36</f>
        <v>30.2</v>
      </c>
      <c r="I36" s="65" t="n">
        <f aca="false">B36*G36*DD36</f>
        <v>-7.99993893287756E-013</v>
      </c>
      <c r="J36" s="66" t="n">
        <f aca="false">DH36+DI36</f>
        <v>0</v>
      </c>
      <c r="K36" s="66" t="n">
        <f aca="false">I36+J36</f>
        <v>-7.99993893287756E-013</v>
      </c>
      <c r="L36" s="24"/>
      <c r="M36" s="67" t="n">
        <f aca="false">A36</f>
        <v>37159</v>
      </c>
      <c r="N36" s="68" t="n">
        <v>30.2</v>
      </c>
      <c r="O36" s="68" t="n">
        <v>30.2</v>
      </c>
      <c r="P36" s="69" t="n">
        <f aca="false">AVERAGE(N36:O36)-F36</f>
        <v>0.399996948242187</v>
      </c>
      <c r="Q36" s="70"/>
      <c r="R36" s="91" t="n">
        <f aca="false">H36</f>
        <v>30.2</v>
      </c>
      <c r="S36" s="24"/>
      <c r="T36" s="0"/>
      <c r="U36" s="72"/>
      <c r="V36" s="73" t="n">
        <f aca="false">A36</f>
        <v>37159</v>
      </c>
      <c r="W36" s="77"/>
      <c r="X36" s="76"/>
      <c r="Y36" s="77"/>
      <c r="Z36" s="76"/>
      <c r="AA36" s="77"/>
      <c r="AB36" s="76"/>
      <c r="AC36" s="77"/>
      <c r="AD36" s="78"/>
      <c r="AE36" s="77"/>
      <c r="AF36" s="78"/>
      <c r="AG36" s="77"/>
      <c r="AH36" s="78"/>
      <c r="AI36" s="77"/>
      <c r="AJ36" s="78"/>
      <c r="AK36" s="77"/>
      <c r="AL36" s="78"/>
      <c r="AM36" s="77"/>
      <c r="AN36" s="78"/>
      <c r="AO36" s="77"/>
      <c r="AP36" s="78"/>
      <c r="AQ36" s="77"/>
      <c r="AR36" s="78"/>
      <c r="AS36" s="77"/>
      <c r="AT36" s="160"/>
      <c r="AU36" s="94"/>
      <c r="AV36" s="95"/>
      <c r="AW36" s="96"/>
      <c r="AX36" s="75"/>
      <c r="AY36" s="81"/>
      <c r="AZ36" s="75"/>
      <c r="BA36" s="81"/>
      <c r="BB36" s="75"/>
      <c r="BC36" s="81"/>
      <c r="BD36" s="75"/>
      <c r="BE36" s="81"/>
      <c r="BF36" s="75"/>
      <c r="BG36" s="81"/>
      <c r="BH36" s="75"/>
      <c r="BI36" s="81"/>
      <c r="BJ36" s="75"/>
      <c r="BK36" s="81"/>
      <c r="BL36" s="75"/>
      <c r="BM36" s="81"/>
      <c r="BN36" s="75"/>
      <c r="BO36" s="81"/>
      <c r="BP36" s="75"/>
      <c r="BQ36" s="81"/>
      <c r="BR36" s="75"/>
      <c r="BS36" s="81"/>
      <c r="BT36" s="75"/>
      <c r="BU36" s="81"/>
      <c r="BV36" s="75"/>
      <c r="BW36" s="81"/>
      <c r="BX36" s="75"/>
      <c r="BY36" s="81"/>
      <c r="BZ36" s="75"/>
      <c r="CA36" s="81"/>
      <c r="CB36" s="75"/>
      <c r="CC36" s="81"/>
      <c r="CD36" s="75"/>
      <c r="CE36" s="81"/>
      <c r="CF36" s="75"/>
      <c r="CG36" s="81"/>
      <c r="CH36" s="75"/>
      <c r="CI36" s="81"/>
      <c r="CJ36" s="75"/>
      <c r="CK36" s="81"/>
      <c r="CL36" s="75"/>
      <c r="CM36" s="81"/>
      <c r="CN36" s="75"/>
      <c r="CO36" s="81"/>
      <c r="CP36" s="75"/>
      <c r="CQ36" s="81"/>
      <c r="CR36" s="75"/>
      <c r="CS36" s="81"/>
      <c r="CT36" s="75"/>
      <c r="CU36" s="81"/>
      <c r="CV36" s="75"/>
      <c r="CW36" s="81"/>
      <c r="CX36" s="75"/>
      <c r="CY36" s="82" t="n">
        <f aca="false">W36+Y36+AA36+AC36+AE36+AG36+AI36+AK36+AM36+AO36+AQ36+AS36+AU36+AW36+AY36+BA36+BC36+BE36+BG36+BI36+BK36+BM36+BO36+BQ36+BS36+BU36+BW36+BY36+CA36+CC36+CE36+CG36+CI36+CK36+CM36+CO36+CQ36+CS36+CU36+CW36</f>
        <v>0</v>
      </c>
      <c r="CZ36" s="83" t="n">
        <f aca="false">IF(AND(CY36=0,DC36=0),0,(DF36+DG36)/DC36)</f>
        <v>0</v>
      </c>
      <c r="DA36" s="84" t="n">
        <f aca="false">DC36*DD36</f>
        <v>0</v>
      </c>
      <c r="DB36" s="85" t="n">
        <f aca="false">V36</f>
        <v>37159</v>
      </c>
      <c r="DC36" s="84" t="n">
        <f aca="false">ABS(W36)+ABS(Y36)+ABS(AA36)+ABS(AC36)+ABS(AE36)+ABS(AG36)+ABS(AI36)+ABS(AK36)+ABS(AM36)+ABS(AO36)+ABS(AQ36)+ABS(AS36)+ABS(AU36)+ABS(AW36)+ABS(AY36)+ABS(BA36)+ABS(BC36)+ABS(BE36)+ABS(BG36)+ABS(BI36)+ABS(BK36)+ABS(BM36)+ABS(BO36)+ABS(BQ36)+ABS(BS36)+ABS(BU36)+ABS(BW36)+ABS(BY36)+ABS(CA36)+ABS(CC36)+ABS(CE36)+ABS(CG36)+ABS(CI36)+ABS(CK36)+ABS(CM36)+ABS(CO36)+ABS(CQ36)+ABS(CS36)+ABS(CU36)+ABS(CW36)</f>
        <v>0</v>
      </c>
      <c r="DD36" s="86" t="n">
        <v>16</v>
      </c>
      <c r="DE36" s="84" t="n">
        <v>1</v>
      </c>
      <c r="DF36" s="43" t="n">
        <f aca="false">(ABS(W36)*X36+ABS(Y36)*Z36+ABS(AA36)*AB36+ABS(AC36)*AD36+ABS(AE36)*AF36+ABS(AG36)*AH36+ABS(AI36)*AJ36+ABS(AK36)*AL36+ABS(AM36)*AN36+ABS(AO36)*AP36+ABS(AQ36)*AR36+ABS(AS36)*AT36+ABS(AU36)*AV36+ABS(AW36)*AX36+ABS(AY36)*AZ36+ABS(BA36)*BB36+ABS(BC36)*BD36+ABS(BE36)*BF36+ABS(BG36)*BH36+ABS(BI36)*BJ36)</f>
        <v>0</v>
      </c>
      <c r="DG36" s="43" t="n">
        <f aca="false">ABS(BK36)*BL36+ABS(BM36)*BN36+ABS(BO36)*BP36+ABS(BQ36)*BR36+ABS(BS36)*BT36+ABS(BU36)*BV36+ABS(BW36)*BX36+ABS(BY36)*BZ36+ABS(CA36)*CB36+ABS(CC36)*CD36+ABS(CE36)*CF36+ABS(CG36)*CH36+ABS(CI36)*CJ36+ABS(CK36)*CL36+ABS(CM36)*CN36+ABS(CO36)*CP36+ABS(CQ36)*CR36+ABS(CS36)*CT36+ABS(CU36)*CV36+ABS(CW36)*CX36</f>
        <v>0</v>
      </c>
      <c r="DH36" s="43" t="n">
        <f aca="false">((H36-X36)*W36+(H36-Z36)*Y36+(H36-AB36)*AA36+(H36-AD36)*AC36+(H36-AF36)*AE36+(H36-AH36)*AG36+(H36-AJ36)*AI36+(H36-AL36)*AK36+(H36-AN36)*AM36+(H36-AP36)*AO36+(H36-AR36)*AQ36+(H36-AT36)*AS36+(H36-AV36)*AU36+(H36-AX36)*AW36+(H36-AZ36)*AY36+(H36-BB36)*BA36+(H36-BD36)*BC36+(H36-BF36)*BE36+(H36-BH36)*BG36+(H36-BJ36)*BI36)*DD36*DE36</f>
        <v>0</v>
      </c>
      <c r="DI36" s="43" t="n">
        <f aca="false">(((H36-BL36)*BK36+(H36-BN36)*BM36+(H36-BP36)*BO36+(H36-BR36)*BQ36+(H36-BT36)*BS36+(H36-BV36)*BU36+(H36-BX36)*BW36+(H36-BZ36)*BY36+(H36-CB36)*CA36+(H36-CD36)*CC36+(H36-CF36)*CE36+(H36-CH36)*CG36+(H36-CJ36)*CH36+(H36-CL36)*CK36+(H36-CN36)*CM36+(H36-CP36)*CO36+(H36-CR36)*CQ36+(H36-CT36)*CS36+(H36-CV36)*CU36+(H36-CX36)*CW36)*DD36*DE36)</f>
        <v>0</v>
      </c>
      <c r="DK36" s="85" t="n">
        <v>36863</v>
      </c>
      <c r="DL36" s="21" t="n">
        <v>0</v>
      </c>
      <c r="DM36" s="21" t="n">
        <f aca="false">[5]NEPOOL!$L23</f>
        <v>-1189.7</v>
      </c>
      <c r="DN36" s="21" t="n">
        <f aca="false">IF(AND(WEEKDAY(DK36)&gt;1,WEEKDAY(DK36)&lt;7),1,0)</f>
        <v>0</v>
      </c>
    </row>
    <row r="37" customFormat="false" ht="18.75" hidden="false" customHeight="false" outlineLevel="0" collapsed="false">
      <c r="A37" s="58" t="n">
        <f aca="false">'NYISO A'!A37</f>
        <v>37160</v>
      </c>
      <c r="B37" s="59" t="n">
        <f aca="false">+[3]WestHub!$L28/16+[3]PJM!$L28/16</f>
        <v>-1.24999999500525E-013</v>
      </c>
      <c r="C37" s="101" t="n">
        <f aca="false">CY37</f>
        <v>0</v>
      </c>
      <c r="D37" s="87" t="n">
        <f aca="false">(IF(MONTH(A37)=MONTH(EOMONTH(TradeDate,1)),$AP$66,0)*VLOOKUP(A37,$DK$12:$DN$43,4))</f>
        <v>0</v>
      </c>
      <c r="E37" s="62" t="n">
        <f aca="false">+B37+C37+D37</f>
        <v>-1.24999999500525E-013</v>
      </c>
      <c r="F37" s="63" t="n">
        <f aca="false">[3]WestHub!$C28</f>
        <v>29.8000030517578</v>
      </c>
      <c r="G37" s="88" t="n">
        <f aca="false">IF($Q$9,Q37,P37)</f>
        <v>0.399996948242187</v>
      </c>
      <c r="H37" s="89" t="n">
        <f aca="false">F37+G37</f>
        <v>30.2</v>
      </c>
      <c r="I37" s="87" t="n">
        <f aca="false">B37*G37*DD37</f>
        <v>-7.99993893287756E-013</v>
      </c>
      <c r="J37" s="66" t="n">
        <f aca="false">DH37+DI37</f>
        <v>0</v>
      </c>
      <c r="K37" s="90" t="n">
        <f aca="false">I37+J37</f>
        <v>-7.99993893287756E-013</v>
      </c>
      <c r="L37" s="24"/>
      <c r="M37" s="67" t="n">
        <f aca="false">A37</f>
        <v>37160</v>
      </c>
      <c r="N37" s="68" t="n">
        <v>30.2</v>
      </c>
      <c r="O37" s="68" t="n">
        <v>30.2</v>
      </c>
      <c r="P37" s="69" t="n">
        <f aca="false">AVERAGE(N37:O37)-F37</f>
        <v>0.399996948242187</v>
      </c>
      <c r="Q37" s="70"/>
      <c r="R37" s="91" t="n">
        <f aca="false">H37</f>
        <v>30.2</v>
      </c>
      <c r="S37" s="24"/>
      <c r="T37" s="0"/>
      <c r="U37" s="72"/>
      <c r="V37" s="73" t="n">
        <f aca="false">A37</f>
        <v>37160</v>
      </c>
      <c r="W37" s="77"/>
      <c r="X37" s="76"/>
      <c r="Y37" s="77"/>
      <c r="Z37" s="76"/>
      <c r="AA37" s="77"/>
      <c r="AB37" s="76"/>
      <c r="AC37" s="77"/>
      <c r="AD37" s="78"/>
      <c r="AE37" s="77"/>
      <c r="AF37" s="78"/>
      <c r="AG37" s="77"/>
      <c r="AH37" s="78"/>
      <c r="AI37" s="77"/>
      <c r="AJ37" s="78"/>
      <c r="AK37" s="77"/>
      <c r="AL37" s="78"/>
      <c r="AM37" s="77"/>
      <c r="AN37" s="78"/>
      <c r="AO37" s="77"/>
      <c r="AP37" s="78"/>
      <c r="AQ37" s="77"/>
      <c r="AR37" s="78"/>
      <c r="AS37" s="77"/>
      <c r="AT37" s="160"/>
      <c r="AU37" s="94"/>
      <c r="AV37" s="95"/>
      <c r="AW37" s="96"/>
      <c r="AX37" s="75"/>
      <c r="AY37" s="81"/>
      <c r="AZ37" s="75"/>
      <c r="BA37" s="81"/>
      <c r="BB37" s="75"/>
      <c r="BC37" s="81"/>
      <c r="BD37" s="75"/>
      <c r="BE37" s="81"/>
      <c r="BF37" s="75"/>
      <c r="BG37" s="81"/>
      <c r="BH37" s="75"/>
      <c r="BI37" s="81"/>
      <c r="BJ37" s="75"/>
      <c r="BK37" s="81"/>
      <c r="BL37" s="75"/>
      <c r="BM37" s="81"/>
      <c r="BN37" s="75"/>
      <c r="BO37" s="81"/>
      <c r="BP37" s="75"/>
      <c r="BQ37" s="81"/>
      <c r="BR37" s="75"/>
      <c r="BS37" s="81"/>
      <c r="BT37" s="75"/>
      <c r="BU37" s="81"/>
      <c r="BV37" s="75"/>
      <c r="BW37" s="81"/>
      <c r="BX37" s="75"/>
      <c r="BY37" s="81"/>
      <c r="BZ37" s="75"/>
      <c r="CA37" s="81"/>
      <c r="CB37" s="75"/>
      <c r="CC37" s="81"/>
      <c r="CD37" s="75"/>
      <c r="CE37" s="81"/>
      <c r="CF37" s="75"/>
      <c r="CG37" s="81"/>
      <c r="CH37" s="75"/>
      <c r="CI37" s="81"/>
      <c r="CJ37" s="75"/>
      <c r="CK37" s="81"/>
      <c r="CL37" s="75"/>
      <c r="CM37" s="81"/>
      <c r="CN37" s="75"/>
      <c r="CO37" s="81"/>
      <c r="CP37" s="75"/>
      <c r="CQ37" s="81"/>
      <c r="CR37" s="75"/>
      <c r="CS37" s="81"/>
      <c r="CT37" s="75"/>
      <c r="CU37" s="81"/>
      <c r="CV37" s="75"/>
      <c r="CW37" s="81"/>
      <c r="CX37" s="75"/>
      <c r="CY37" s="82" t="n">
        <f aca="false">W37+Y37+AA37+AC37+AE37+AG37+AI37+AK37+AM37+AO37+AQ37+AS37+AU37+AW37+AY37+BA37+BC37+BE37+BG37+BI37+BK37+BM37+BO37+BQ37+BS37+BU37+BW37+BY37+CA37+CC37+CE37+CG37+CI37+CK37+CM37+CO37+CQ37+CS37+CU37+CW37</f>
        <v>0</v>
      </c>
      <c r="CZ37" s="83" t="n">
        <f aca="false">IF(AND(CY37=0,DC37=0),0,(DF37+DG37)/DC37)</f>
        <v>0</v>
      </c>
      <c r="DA37" s="84" t="n">
        <f aca="false">DC37*DD37</f>
        <v>0</v>
      </c>
      <c r="DB37" s="85" t="n">
        <f aca="false">V37</f>
        <v>37160</v>
      </c>
      <c r="DC37" s="84" t="n">
        <f aca="false">ABS(W37)+ABS(Y37)+ABS(AA37)+ABS(AC37)+ABS(AE37)+ABS(AG37)+ABS(AI37)+ABS(AK37)+ABS(AM37)+ABS(AO37)+ABS(AQ37)+ABS(AS37)+ABS(AU37)+ABS(AW37)+ABS(AY37)+ABS(BA37)+ABS(BC37)+ABS(BE37)+ABS(BG37)+ABS(BI37)+ABS(BK37)+ABS(BM37)+ABS(BO37)+ABS(BQ37)+ABS(BS37)+ABS(BU37)+ABS(BW37)+ABS(BY37)+ABS(CA37)+ABS(CC37)+ABS(CE37)+ABS(CG37)+ABS(CI37)+ABS(CK37)+ABS(CM37)+ABS(CO37)+ABS(CQ37)+ABS(CS37)+ABS(CU37)+ABS(CW37)</f>
        <v>0</v>
      </c>
      <c r="DD37" s="86" t="n">
        <v>16</v>
      </c>
      <c r="DE37" s="84" t="n">
        <v>1</v>
      </c>
      <c r="DF37" s="43" t="n">
        <f aca="false">(ABS(W37)*X37+ABS(Y37)*Z37+ABS(AA37)*AB37+ABS(AC37)*AD37+ABS(AE37)*AF37+ABS(AG37)*AH37+ABS(AI37)*AJ37+ABS(AK37)*AL37+ABS(AM37)*AN37+ABS(AO37)*AP37+ABS(AQ37)*AR37+ABS(AS37)*AT37+ABS(AU37)*AV37+ABS(AW37)*AX37+ABS(AY37)*AZ37+ABS(BA37)*BB37+ABS(BC37)*BD37+ABS(BE37)*BF37+ABS(BG37)*BH37+ABS(BI37)*BJ37)</f>
        <v>0</v>
      </c>
      <c r="DG37" s="43" t="n">
        <f aca="false">ABS(BK37)*BL37+ABS(BM37)*BN37+ABS(BO37)*BP37+ABS(BQ37)*BR37+ABS(BS37)*BT37+ABS(BU37)*BV37+ABS(BW37)*BX37+ABS(BY37)*BZ37+ABS(CA37)*CB37+ABS(CC37)*CD37+ABS(CE37)*CF37+ABS(CG37)*CH37+ABS(CI37)*CJ37+ABS(CK37)*CL37+ABS(CM37)*CN37+ABS(CO37)*CP37+ABS(CQ37)*CR37+ABS(CS37)*CT37+ABS(CU37)*CV37+ABS(CW37)*CX37</f>
        <v>0</v>
      </c>
      <c r="DH37" s="43" t="n">
        <f aca="false">((H37-X37)*W37+(H37-Z37)*Y37+(H37-AB37)*AA37+(H37-AD37)*AC37+(H37-AF37)*AE37+(H37-AH37)*AG37+(H37-AJ37)*AI37+(H37-AL37)*AK37+(H37-AN37)*AM37+(H37-AP37)*AO37+(H37-AR37)*AQ37+(H37-AT37)*AS37+(H37-AV37)*AU37+(H37-AX37)*AW37+(H37-AZ37)*AY37+(H37-BB37)*BA37+(H37-BD37)*BC37+(H37-BF37)*BE37+(H37-BH37)*BG37+(H37-BJ37)*BI37)*DD37*DE37</f>
        <v>0</v>
      </c>
      <c r="DI37" s="43" t="n">
        <f aca="false">(((H37-BL37)*BK37+(H37-BN37)*BM37+(H37-BP37)*BO37+(H37-BR37)*BQ37+(H37-BT37)*BS37+(H37-BV37)*BU37+(H37-BX37)*BW37+(H37-BZ37)*BY37+(H37-CB37)*CA37+(H37-CD37)*CC37+(H37-CF37)*CE37+(H37-CH37)*CG37+(H37-CJ37)*CH37+(H37-CL37)*CK37+(H37-CN37)*CM37+(H37-CP37)*CO37+(H37-CR37)*CQ37+(H37-CT37)*CS37+(H37-CV37)*CU37+(H37-CX37)*CW37)*DD37*DE37)</f>
        <v>0</v>
      </c>
      <c r="DK37" s="85" t="n">
        <v>36864</v>
      </c>
      <c r="DL37" s="21" t="n">
        <v>50</v>
      </c>
      <c r="DM37" s="21" t="n">
        <f aca="false">[5]NEPOOL!$L24</f>
        <v>-1189.7</v>
      </c>
      <c r="DN37" s="21" t="n">
        <f aca="false">IF(AND(WEEKDAY(DK37)&gt;1,WEEKDAY(DK37)&lt;7),1,0)</f>
        <v>1</v>
      </c>
    </row>
    <row r="38" customFormat="false" ht="18.75" hidden="false" customHeight="false" outlineLevel="0" collapsed="false">
      <c r="A38" s="58" t="n">
        <f aca="false">'NYISO A'!A38</f>
        <v>37161</v>
      </c>
      <c r="B38" s="59" t="n">
        <f aca="false">+[3]WestHub!$L29/16+[3]PJM!$L29/16</f>
        <v>-1.24999999500525E-013</v>
      </c>
      <c r="C38" s="60" t="n">
        <f aca="false">CY38</f>
        <v>0</v>
      </c>
      <c r="D38" s="61" t="n">
        <f aca="false">(IF(MONTH(A38)=MONTH(EOMONTH(TradeDate,1)),$AP$66,0)*VLOOKUP(A38,$DK$12:$DN$43,4))</f>
        <v>0</v>
      </c>
      <c r="E38" s="62" t="n">
        <f aca="false">+B38+C38+D38</f>
        <v>-1.24999999500525E-013</v>
      </c>
      <c r="F38" s="63" t="n">
        <f aca="false">[3]WestHub!$C29</f>
        <v>29.8000030517578</v>
      </c>
      <c r="G38" s="63" t="n">
        <f aca="false">IF($Q$9,Q38,P38)</f>
        <v>0.399996948242187</v>
      </c>
      <c r="H38" s="64" t="n">
        <f aca="false">F38+G38</f>
        <v>30.2</v>
      </c>
      <c r="I38" s="65" t="n">
        <f aca="false">B38*G38*DD38</f>
        <v>-7.99993893287756E-013</v>
      </c>
      <c r="J38" s="66" t="n">
        <f aca="false">DH38+DI38</f>
        <v>0</v>
      </c>
      <c r="K38" s="66" t="n">
        <f aca="false">I38+J38</f>
        <v>-7.99993893287756E-013</v>
      </c>
      <c r="L38" s="24"/>
      <c r="M38" s="67" t="n">
        <f aca="false">A38</f>
        <v>37161</v>
      </c>
      <c r="N38" s="68" t="n">
        <v>30.2</v>
      </c>
      <c r="O38" s="68" t="n">
        <v>30.2</v>
      </c>
      <c r="P38" s="69" t="n">
        <f aca="false">AVERAGE(N38:O38)-F38</f>
        <v>0.399996948242187</v>
      </c>
      <c r="Q38" s="70"/>
      <c r="R38" s="91" t="n">
        <f aca="false">H38</f>
        <v>30.2</v>
      </c>
      <c r="S38" s="24"/>
      <c r="T38" s="0"/>
      <c r="U38" s="72"/>
      <c r="V38" s="73" t="n">
        <f aca="false">A38</f>
        <v>37161</v>
      </c>
      <c r="W38" s="77"/>
      <c r="X38" s="99"/>
      <c r="Y38" s="77"/>
      <c r="Z38" s="78"/>
      <c r="AA38" s="77"/>
      <c r="AB38" s="78"/>
      <c r="AC38" s="77"/>
      <c r="AD38" s="78"/>
      <c r="AE38" s="77"/>
      <c r="AF38" s="78"/>
      <c r="AG38" s="77"/>
      <c r="AH38" s="78"/>
      <c r="AI38" s="77"/>
      <c r="AJ38" s="78"/>
      <c r="AK38" s="77"/>
      <c r="AL38" s="78"/>
      <c r="AM38" s="77"/>
      <c r="AN38" s="78"/>
      <c r="AO38" s="77"/>
      <c r="AP38" s="78"/>
      <c r="AQ38" s="77"/>
      <c r="AR38" s="78"/>
      <c r="AS38" s="77"/>
      <c r="AT38" s="160"/>
      <c r="AU38" s="94"/>
      <c r="AV38" s="95"/>
      <c r="AW38" s="96"/>
      <c r="AX38" s="75"/>
      <c r="AY38" s="81"/>
      <c r="AZ38" s="75"/>
      <c r="BA38" s="81"/>
      <c r="BB38" s="75"/>
      <c r="BC38" s="81"/>
      <c r="BD38" s="75"/>
      <c r="BE38" s="81"/>
      <c r="BF38" s="75"/>
      <c r="BG38" s="81"/>
      <c r="BH38" s="75"/>
      <c r="BI38" s="81"/>
      <c r="BJ38" s="75"/>
      <c r="BK38" s="81"/>
      <c r="BL38" s="75"/>
      <c r="BM38" s="81"/>
      <c r="BN38" s="75"/>
      <c r="BO38" s="81"/>
      <c r="BP38" s="75"/>
      <c r="BQ38" s="81"/>
      <c r="BR38" s="75"/>
      <c r="BS38" s="81"/>
      <c r="BT38" s="75"/>
      <c r="BU38" s="81"/>
      <c r="BV38" s="75"/>
      <c r="BW38" s="81"/>
      <c r="BX38" s="75"/>
      <c r="BY38" s="81"/>
      <c r="BZ38" s="75"/>
      <c r="CA38" s="81"/>
      <c r="CB38" s="75"/>
      <c r="CC38" s="81"/>
      <c r="CD38" s="75"/>
      <c r="CE38" s="81"/>
      <c r="CF38" s="75"/>
      <c r="CG38" s="81"/>
      <c r="CH38" s="75"/>
      <c r="CI38" s="81"/>
      <c r="CJ38" s="75"/>
      <c r="CK38" s="81"/>
      <c r="CL38" s="75"/>
      <c r="CM38" s="81"/>
      <c r="CN38" s="75"/>
      <c r="CO38" s="81"/>
      <c r="CP38" s="75"/>
      <c r="CQ38" s="81"/>
      <c r="CR38" s="75"/>
      <c r="CS38" s="81"/>
      <c r="CT38" s="75"/>
      <c r="CU38" s="81"/>
      <c r="CV38" s="75"/>
      <c r="CW38" s="81"/>
      <c r="CX38" s="75"/>
      <c r="CY38" s="82" t="n">
        <f aca="false">W38+Y38+AA38+AC38+AE38+AG38+AI38+AK38+AM38+AO38+AQ38+AS38+AU38+AW38+AY38+BA38+BC38+BE38+BG38+BI38+BK38+BM38+BO38+BQ38+BS38+BU38+BW38+BY38+CA38+CC38+CE38+CG38+CI38+CK38+CM38+CO38+CQ38+CS38+CU38+CW38</f>
        <v>0</v>
      </c>
      <c r="CZ38" s="83" t="n">
        <f aca="false">IF(AND(CY38=0,DC38=0),0,(DF38+DG38)/DC38)</f>
        <v>0</v>
      </c>
      <c r="DA38" s="84" t="n">
        <f aca="false">DC38*DD38</f>
        <v>0</v>
      </c>
      <c r="DB38" s="85" t="n">
        <f aca="false">V38</f>
        <v>37161</v>
      </c>
      <c r="DC38" s="84" t="n">
        <f aca="false">ABS(W38)+ABS(Y38)+ABS(AA38)+ABS(AC38)+ABS(AE38)+ABS(AG38)+ABS(AI38)+ABS(AK38)+ABS(AM38)+ABS(AO38)+ABS(AQ38)+ABS(AS38)+ABS(AU38)+ABS(AW38)+ABS(AY38)+ABS(BA38)+ABS(BC38)+ABS(BE38)+ABS(BG38)+ABS(BI38)+ABS(BK38)+ABS(BM38)+ABS(BO38)+ABS(BQ38)+ABS(BS38)+ABS(BU38)+ABS(BW38)+ABS(BY38)+ABS(CA38)+ABS(CC38)+ABS(CE38)+ABS(CG38)+ABS(CI38)+ABS(CK38)+ABS(CM38)+ABS(CO38)+ABS(CQ38)+ABS(CS38)+ABS(CU38)+ABS(CW38)</f>
        <v>0</v>
      </c>
      <c r="DD38" s="86" t="n">
        <v>16</v>
      </c>
      <c r="DE38" s="84" t="n">
        <v>1</v>
      </c>
      <c r="DF38" s="43" t="n">
        <f aca="false">(ABS(W38)*X38+ABS(Y38)*Z38+ABS(AA38)*AB38+ABS(AC38)*AD38+ABS(AE38)*AF38+ABS(AG38)*AH38+ABS(AI38)*AJ38+ABS(AK38)*AL38+ABS(AM38)*AN38+ABS(AO38)*AP38+ABS(AQ38)*AR38+ABS(AS38)*AT38+ABS(AU38)*AV38+ABS(AW38)*AX38+ABS(AY38)*AZ38+ABS(BA38)*BB38+ABS(BC38)*BD38+ABS(BE38)*BF38+ABS(BG38)*BH38+ABS(BI38)*BJ38)</f>
        <v>0</v>
      </c>
      <c r="DG38" s="43" t="n">
        <f aca="false">ABS(BK38)*BL38+ABS(BM38)*BN38+ABS(BO38)*BP38+ABS(BQ38)*BR38+ABS(BS38)*BT38+ABS(BU38)*BV38+ABS(BW38)*BX38+ABS(BY38)*BZ38+ABS(CA38)*CB38+ABS(CC38)*CD38+ABS(CE38)*CF38+ABS(CG38)*CH38+ABS(CI38)*CJ38+ABS(CK38)*CL38+ABS(CM38)*CN38+ABS(CO38)*CP38+ABS(CQ38)*CR38+ABS(CS38)*CT38+ABS(CU38)*CV38+ABS(CW38)*CX38</f>
        <v>0</v>
      </c>
      <c r="DH38" s="43" t="n">
        <f aca="false">((H38-X38)*W38+(H38-Z38)*Y38+(H38-AB38)*AA38+(H38-AD38)*AC38+(H38-AF38)*AE38+(H38-AH38)*AG38+(H38-AJ38)*AI38+(H38-AL38)*AK38+(H38-AN38)*AM38+(H38-AP38)*AO38+(H38-AR38)*AQ38+(H38-AT38)*AS38+(H38-AV38)*AU38+(H38-AX38)*AW38+(H38-AZ38)*AY38+(H38-BB38)*BA38+(H38-BD38)*BC38+(H38-BF38)*BE38+(H38-BH38)*BG38+(H38-BJ38)*BI38)*DD38*DE38</f>
        <v>0</v>
      </c>
      <c r="DI38" s="43" t="n">
        <f aca="false">(((H38-BL38)*BK38+(H38-BN38)*BM38+(H38-BP38)*BO38+(H38-BR38)*BQ38+(H38-BT38)*BS38+(H38-BV38)*BU38+(H38-BX38)*BW38+(H38-BZ38)*BY38+(H38-CB38)*CA38+(H38-CD38)*CC38+(H38-CF38)*CE38+(H38-CH38)*CG38+(H38-CJ38)*CH38+(H38-CL38)*CK38+(H38-CN38)*CM38+(H38-CP38)*CO38+(H38-CR38)*CQ38+(H38-CT38)*CS38+(H38-CV38)*CU38+(H38-CX38)*CW38)*DD38*DE38)</f>
        <v>0</v>
      </c>
      <c r="DK38" s="85" t="n">
        <v>36865</v>
      </c>
      <c r="DL38" s="21" t="n">
        <v>50</v>
      </c>
      <c r="DM38" s="21" t="n">
        <f aca="false">[5]NEPOOL!$L25</f>
        <v>-1189.7</v>
      </c>
      <c r="DN38" s="21" t="n">
        <f aca="false">IF(AND(WEEKDAY(DK38)&gt;1,WEEKDAY(DK38)&lt;7),1,0)</f>
        <v>1</v>
      </c>
    </row>
    <row r="39" customFormat="false" ht="18.75" hidden="false" customHeight="false" outlineLevel="0" collapsed="false">
      <c r="A39" s="58" t="n">
        <f aca="false">'NYISO A'!A39</f>
        <v>37162</v>
      </c>
      <c r="B39" s="59" t="n">
        <f aca="false">+[3]WestHub!$L30/16+[3]PJM!$L30/16</f>
        <v>-1.24999999500525E-013</v>
      </c>
      <c r="C39" s="101" t="n">
        <f aca="false">CY39</f>
        <v>0</v>
      </c>
      <c r="D39" s="87" t="n">
        <f aca="false">(IF(MONTH(A39)=MONTH(EOMONTH(TradeDate,1)),$AP$66,0)*VLOOKUP(A39,$DK$12:$DN$43,4))</f>
        <v>0</v>
      </c>
      <c r="E39" s="62" t="n">
        <f aca="false">+B39+C39+D39</f>
        <v>-1.24999999500525E-013</v>
      </c>
      <c r="F39" s="63" t="n">
        <f aca="false">[3]WestHub!$C30</f>
        <v>29.8000030517578</v>
      </c>
      <c r="G39" s="88" t="n">
        <f aca="false">IF($Q$9,Q39,P39)</f>
        <v>0.399996948242187</v>
      </c>
      <c r="H39" s="89" t="n">
        <f aca="false">F39+G39</f>
        <v>30.2</v>
      </c>
      <c r="I39" s="87" t="n">
        <f aca="false">B39*G39*DD39</f>
        <v>-7.99993893287756E-013</v>
      </c>
      <c r="J39" s="66" t="n">
        <f aca="false">DH39+DI39</f>
        <v>0</v>
      </c>
      <c r="K39" s="90" t="n">
        <f aca="false">I39+J39</f>
        <v>-7.99993893287756E-013</v>
      </c>
      <c r="L39" s="24"/>
      <c r="M39" s="67" t="n">
        <f aca="false">A39</f>
        <v>37162</v>
      </c>
      <c r="N39" s="68" t="n">
        <v>30.2</v>
      </c>
      <c r="O39" s="68" t="n">
        <v>30.2</v>
      </c>
      <c r="P39" s="69" t="n">
        <f aca="false">AVERAGE(N39:O39)-F39</f>
        <v>0.399996948242187</v>
      </c>
      <c r="Q39" s="70"/>
      <c r="R39" s="91" t="n">
        <f aca="false">H39</f>
        <v>30.2</v>
      </c>
      <c r="S39" s="24"/>
      <c r="T39" s="0"/>
      <c r="U39" s="72"/>
      <c r="V39" s="73" t="n">
        <f aca="false">A39</f>
        <v>37162</v>
      </c>
      <c r="W39" s="77"/>
      <c r="X39" s="99"/>
      <c r="Y39" s="77"/>
      <c r="Z39" s="78"/>
      <c r="AA39" s="77"/>
      <c r="AB39" s="78"/>
      <c r="AC39" s="77"/>
      <c r="AD39" s="78"/>
      <c r="AE39" s="77"/>
      <c r="AF39" s="78"/>
      <c r="AG39" s="77"/>
      <c r="AH39" s="78"/>
      <c r="AI39" s="77"/>
      <c r="AJ39" s="78"/>
      <c r="AK39" s="77"/>
      <c r="AL39" s="78"/>
      <c r="AM39" s="77"/>
      <c r="AN39" s="78"/>
      <c r="AO39" s="77"/>
      <c r="AP39" s="78"/>
      <c r="AQ39" s="77"/>
      <c r="AR39" s="78"/>
      <c r="AS39" s="77"/>
      <c r="AT39" s="160"/>
      <c r="AU39" s="94"/>
      <c r="AV39" s="95"/>
      <c r="AW39" s="96"/>
      <c r="AX39" s="75"/>
      <c r="AY39" s="81"/>
      <c r="AZ39" s="75"/>
      <c r="BA39" s="81"/>
      <c r="BB39" s="75"/>
      <c r="BC39" s="81"/>
      <c r="BD39" s="75"/>
      <c r="BE39" s="81"/>
      <c r="BF39" s="75"/>
      <c r="BG39" s="81"/>
      <c r="BH39" s="75"/>
      <c r="BI39" s="81"/>
      <c r="BJ39" s="75"/>
      <c r="BK39" s="81"/>
      <c r="BL39" s="75"/>
      <c r="BM39" s="81"/>
      <c r="BN39" s="75"/>
      <c r="BO39" s="81"/>
      <c r="BP39" s="75"/>
      <c r="BQ39" s="81"/>
      <c r="BR39" s="75"/>
      <c r="BS39" s="81"/>
      <c r="BT39" s="75"/>
      <c r="BU39" s="81"/>
      <c r="BV39" s="75"/>
      <c r="BW39" s="81"/>
      <c r="BX39" s="75"/>
      <c r="BY39" s="81"/>
      <c r="BZ39" s="75"/>
      <c r="CA39" s="81"/>
      <c r="CB39" s="75"/>
      <c r="CC39" s="81"/>
      <c r="CD39" s="75"/>
      <c r="CE39" s="81"/>
      <c r="CF39" s="75"/>
      <c r="CG39" s="81"/>
      <c r="CH39" s="75"/>
      <c r="CI39" s="81"/>
      <c r="CJ39" s="75"/>
      <c r="CK39" s="81"/>
      <c r="CL39" s="75"/>
      <c r="CM39" s="81"/>
      <c r="CN39" s="75"/>
      <c r="CO39" s="81"/>
      <c r="CP39" s="75"/>
      <c r="CQ39" s="81"/>
      <c r="CR39" s="75"/>
      <c r="CS39" s="81"/>
      <c r="CT39" s="75"/>
      <c r="CU39" s="81"/>
      <c r="CV39" s="75"/>
      <c r="CW39" s="81"/>
      <c r="CX39" s="75"/>
      <c r="CY39" s="82" t="n">
        <f aca="false">W39+Y39+AA39+AC39+AE39+AG39+AI39+AK39+AM39+AO39+AQ39+AS39+AU39+AW39+AY39+BA39+BC39+BE39+BG39+BI39+BK39+BM39+BO39+BQ39+BS39+BU39+BW39+BY39+CA39+CC39+CE39+CG39+CI39+CK39+CM39+CO39+CQ39+CS39+CU39+CW39</f>
        <v>0</v>
      </c>
      <c r="CZ39" s="83" t="n">
        <f aca="false">IF(AND(CY39=0,DC39=0),0,(DF39+DG39)/DC39)</f>
        <v>0</v>
      </c>
      <c r="DA39" s="84" t="n">
        <f aca="false">DC39*DD39</f>
        <v>0</v>
      </c>
      <c r="DB39" s="85" t="n">
        <f aca="false">V39</f>
        <v>37162</v>
      </c>
      <c r="DC39" s="84" t="n">
        <f aca="false">ABS(W39)+ABS(Y39)+ABS(AA39)+ABS(AC39)+ABS(AE39)+ABS(AG39)+ABS(AI39)+ABS(AK39)+ABS(AM39)+ABS(AO39)+ABS(AQ39)+ABS(AS39)+ABS(AU39)+ABS(AW39)+ABS(AY39)+ABS(BA39)+ABS(BC39)+ABS(BE39)+ABS(BG39)+ABS(BI39)+ABS(BK39)+ABS(BM39)+ABS(BO39)+ABS(BQ39)+ABS(BS39)+ABS(BU39)+ABS(BW39)+ABS(BY39)+ABS(CA39)+ABS(CC39)+ABS(CE39)+ABS(CG39)+ABS(CI39)+ABS(CK39)+ABS(CM39)+ABS(CO39)+ABS(CQ39)+ABS(CS39)+ABS(CU39)+ABS(CW39)</f>
        <v>0</v>
      </c>
      <c r="DD39" s="86" t="n">
        <v>16</v>
      </c>
      <c r="DE39" s="84" t="n">
        <v>1</v>
      </c>
      <c r="DF39" s="43" t="n">
        <f aca="false">(ABS(W39)*X39+ABS(Y39)*Z39+ABS(AA39)*AB39+ABS(AC39)*AD39+ABS(AE39)*AF39+ABS(AG39)*AH39+ABS(AI39)*AJ39+ABS(AK39)*AL39+ABS(AM39)*AN39+ABS(AO39)*AP39+ABS(AQ39)*AR39+ABS(AS39)*AT39+ABS(AU39)*AV39+ABS(AW39)*AX39+ABS(AY39)*AZ39+ABS(BA39)*BB39+ABS(BC39)*BD39+ABS(BE39)*BF39+ABS(BG39)*BH39+ABS(BI39)*BJ39)</f>
        <v>0</v>
      </c>
      <c r="DG39" s="43" t="n">
        <f aca="false">ABS(BK39)*BL39+ABS(BM39)*BN39+ABS(BO39)*BP39+ABS(BQ39)*BR39+ABS(BS39)*BT39+ABS(BU39)*BV39+ABS(BW39)*BX39+ABS(BY39)*BZ39+ABS(CA39)*CB39+ABS(CC39)*CD39+ABS(CE39)*CF39+ABS(CG39)*CH39+ABS(CI39)*CJ39+ABS(CK39)*CL39+ABS(CM39)*CN39+ABS(CO39)*CP39+ABS(CQ39)*CR39+ABS(CS39)*CT39+ABS(CU39)*CV39+ABS(CW39)*CX39</f>
        <v>0</v>
      </c>
      <c r="DH39" s="43" t="n">
        <f aca="false">((H39-X39)*W39+(H39-Z39)*Y39+(H39-AB39)*AA39+(H39-AD39)*AC39+(H39-AF39)*AE39+(H39-AH39)*AG39+(H39-AJ39)*AI39+(H39-AL39)*AK39+(H39-AN39)*AM39+(H39-AP39)*AO39+(H39-AR39)*AQ39+(H39-AT39)*AS39+(H39-AV39)*AU39+(H39-AX39)*AW39+(H39-AZ39)*AY39+(H39-BB39)*BA39+(H39-BD39)*BC39+(H39-BF39)*BE39+(H39-BH39)*BG39+(H39-BJ39)*BI39)*DD39*DE39</f>
        <v>0</v>
      </c>
      <c r="DI39" s="43" t="n">
        <f aca="false">(((H39-BL39)*BK39+(H39-BN39)*BM39+(H39-BP39)*BO39+(H39-BR39)*BQ39+(H39-BT39)*BS39+(H39-BV39)*BU39+(H39-BX39)*BW39+(H39-BZ39)*BY39+(H39-CB39)*CA39+(H39-CD39)*CC39+(H39-CF39)*CE39+(H39-CH39)*CG39+(H39-CJ39)*CH39+(H39-CL39)*CK39+(H39-CN39)*CM39+(H39-CP39)*CO39+(H39-CR39)*CQ39+(H39-CT39)*CS39+(H39-CV39)*CU39+(H39-CX39)*CW39)*DD39*DE39)</f>
        <v>0</v>
      </c>
      <c r="DK39" s="85" t="n">
        <v>36866</v>
      </c>
      <c r="DL39" s="21" t="n">
        <v>50</v>
      </c>
      <c r="DM39" s="21" t="n">
        <f aca="false">[5]NEPOOL!$L26</f>
        <v>-1189.7</v>
      </c>
      <c r="DN39" s="21" t="n">
        <f aca="false">IF(AND(WEEKDAY(DK39)&gt;1,WEEKDAY(DK39)&lt;7),1,0)</f>
        <v>1</v>
      </c>
    </row>
    <row r="40" customFormat="false" ht="18.75" hidden="false" customHeight="false" outlineLevel="0" collapsed="false">
      <c r="A40" s="58" t="n">
        <f aca="false">'NYISO A'!A40</f>
        <v>37163</v>
      </c>
      <c r="B40" s="59" t="n">
        <f aca="false">+[3]WestHub!$L31/16+[3]PJM!$L31/16</f>
        <v>0</v>
      </c>
      <c r="C40" s="60" t="n">
        <f aca="false">CY40</f>
        <v>0</v>
      </c>
      <c r="D40" s="61" t="n">
        <f aca="false">(IF(MONTH(A40)=MONTH(EOMONTH(TradeDate,1)),$AP$66,0)*VLOOKUP(A40,$DK$12:$DN$43,4))</f>
        <v>0</v>
      </c>
      <c r="E40" s="62" t="n">
        <f aca="false">+B40+C40+D40</f>
        <v>0</v>
      </c>
      <c r="F40" s="63" t="n">
        <f aca="false">[3]WestHub!$C31</f>
        <v>25.0000019073486</v>
      </c>
      <c r="G40" s="63" t="n">
        <f aca="false">IF($Q$9,Q40,P40)</f>
        <v>5.19999809265137</v>
      </c>
      <c r="H40" s="64" t="n">
        <f aca="false">F40+G40</f>
        <v>30.2</v>
      </c>
      <c r="I40" s="65" t="n">
        <f aca="false">B40*G40*DD40</f>
        <v>0</v>
      </c>
      <c r="J40" s="66" t="n">
        <f aca="false">DH40+DI40</f>
        <v>0</v>
      </c>
      <c r="K40" s="66" t="n">
        <f aca="false">I40+J40</f>
        <v>0</v>
      </c>
      <c r="L40" s="24"/>
      <c r="M40" s="67" t="n">
        <f aca="false">A40</f>
        <v>37163</v>
      </c>
      <c r="N40" s="68" t="n">
        <v>30.2</v>
      </c>
      <c r="O40" s="68" t="n">
        <v>30.2</v>
      </c>
      <c r="P40" s="69" t="n">
        <f aca="false">AVERAGE(N40:O40)-F40</f>
        <v>5.19999809265137</v>
      </c>
      <c r="Q40" s="70"/>
      <c r="R40" s="91" t="n">
        <f aca="false">H40</f>
        <v>30.2</v>
      </c>
      <c r="S40" s="24"/>
      <c r="T40" s="0"/>
      <c r="U40" s="72"/>
      <c r="V40" s="73" t="n">
        <f aca="false">A40</f>
        <v>37163</v>
      </c>
      <c r="W40" s="77"/>
      <c r="X40" s="99"/>
      <c r="Y40" s="77"/>
      <c r="Z40" s="78"/>
      <c r="AA40" s="77"/>
      <c r="AB40" s="78"/>
      <c r="AC40" s="77"/>
      <c r="AD40" s="78"/>
      <c r="AE40" s="77"/>
      <c r="AF40" s="78"/>
      <c r="AG40" s="77"/>
      <c r="AH40" s="78"/>
      <c r="AI40" s="77"/>
      <c r="AJ40" s="78"/>
      <c r="AK40" s="77"/>
      <c r="AL40" s="78"/>
      <c r="AM40" s="77"/>
      <c r="AN40" s="78"/>
      <c r="AO40" s="77"/>
      <c r="AP40" s="78"/>
      <c r="AQ40" s="77"/>
      <c r="AR40" s="78"/>
      <c r="AS40" s="77"/>
      <c r="AT40" s="160"/>
      <c r="AU40" s="94"/>
      <c r="AV40" s="95"/>
      <c r="AW40" s="96"/>
      <c r="AX40" s="75"/>
      <c r="AY40" s="81"/>
      <c r="AZ40" s="75"/>
      <c r="BA40" s="81"/>
      <c r="BB40" s="75"/>
      <c r="BC40" s="81"/>
      <c r="BD40" s="75"/>
      <c r="BE40" s="81"/>
      <c r="BF40" s="75"/>
      <c r="BG40" s="81"/>
      <c r="BH40" s="75"/>
      <c r="BI40" s="81"/>
      <c r="BJ40" s="75"/>
      <c r="BK40" s="81"/>
      <c r="BL40" s="75"/>
      <c r="BM40" s="81"/>
      <c r="BN40" s="75"/>
      <c r="BO40" s="81"/>
      <c r="BP40" s="75"/>
      <c r="BQ40" s="81"/>
      <c r="BR40" s="75"/>
      <c r="BS40" s="81"/>
      <c r="BT40" s="75"/>
      <c r="BU40" s="81"/>
      <c r="BV40" s="75"/>
      <c r="BW40" s="81"/>
      <c r="BX40" s="75"/>
      <c r="BY40" s="81"/>
      <c r="BZ40" s="75"/>
      <c r="CA40" s="81"/>
      <c r="CB40" s="75"/>
      <c r="CC40" s="81"/>
      <c r="CD40" s="75"/>
      <c r="CE40" s="81"/>
      <c r="CF40" s="75"/>
      <c r="CG40" s="81"/>
      <c r="CH40" s="75"/>
      <c r="CI40" s="81"/>
      <c r="CJ40" s="75"/>
      <c r="CK40" s="81"/>
      <c r="CL40" s="75"/>
      <c r="CM40" s="81"/>
      <c r="CN40" s="75"/>
      <c r="CO40" s="81"/>
      <c r="CP40" s="75"/>
      <c r="CQ40" s="81"/>
      <c r="CR40" s="75"/>
      <c r="CS40" s="81"/>
      <c r="CT40" s="75"/>
      <c r="CU40" s="81"/>
      <c r="CV40" s="75"/>
      <c r="CW40" s="81"/>
      <c r="CX40" s="75"/>
      <c r="CY40" s="82" t="n">
        <f aca="false">W40+Y40+AA40+AC40+AE40+AG40+AI40+AK40+AM40+AO40+AQ40+AS40+AU40+AW40+AY40+BA40+BC40+BE40+BG40+BI40+BK40+BM40+BO40+BQ40+BS40+BU40+BW40+BY40+CA40+CC40+CE40+CG40+CI40+CK40+CM40+CO40+CQ40+CS40+CU40+CW40</f>
        <v>0</v>
      </c>
      <c r="CZ40" s="83" t="n">
        <f aca="false">IF(AND(CY40=0,DC40=0),0,(DF40+DG40)/DC40)</f>
        <v>0</v>
      </c>
      <c r="DA40" s="84" t="n">
        <f aca="false">DC40*DD40</f>
        <v>0</v>
      </c>
      <c r="DB40" s="85" t="n">
        <f aca="false">V40</f>
        <v>37163</v>
      </c>
      <c r="DC40" s="84" t="n">
        <f aca="false">ABS(W40)+ABS(Y40)+ABS(AA40)+ABS(AC40)+ABS(AE40)+ABS(AG40)+ABS(AI40)+ABS(AK40)+ABS(AM40)+ABS(AO40)+ABS(AQ40)+ABS(AS40)+ABS(AU40)+ABS(AW40)+ABS(AY40)+ABS(BA40)+ABS(BC40)+ABS(BE40)+ABS(BG40)+ABS(BI40)+ABS(BK40)+ABS(BM40)+ABS(BO40)+ABS(BQ40)+ABS(BS40)+ABS(BU40)+ABS(BW40)+ABS(BY40)+ABS(CA40)+ABS(CC40)+ABS(CE40)+ABS(CG40)+ABS(CI40)+ABS(CK40)+ABS(CM40)+ABS(CO40)+ABS(CQ40)+ABS(CS40)+ABS(CU40)+ABS(CW40)</f>
        <v>0</v>
      </c>
      <c r="DD40" s="86" t="n">
        <v>16</v>
      </c>
      <c r="DE40" s="84" t="n">
        <v>1</v>
      </c>
      <c r="DF40" s="43" t="n">
        <f aca="false">(ABS(W40)*X40+ABS(Y40)*Z40+ABS(AA40)*AB40+ABS(AC40)*AD40+ABS(AE40)*AF40+ABS(AG40)*AH40+ABS(AI40)*AJ40+ABS(AK40)*AL40+ABS(AM40)*AN40+ABS(AO40)*AP40+ABS(AQ40)*AR40+ABS(AS40)*AT40+ABS(AU40)*AV40+ABS(AW40)*AX40+ABS(AY40)*AZ40+ABS(BA40)*BB40+ABS(BC40)*BD40+ABS(BE40)*BF40+ABS(BG40)*BH40+ABS(BI40)*BJ40)</f>
        <v>0</v>
      </c>
      <c r="DG40" s="43" t="n">
        <f aca="false">ABS(BK40)*BL40+ABS(BM40)*BN40+ABS(BO40)*BP40+ABS(BQ40)*BR40+ABS(BS40)*BT40+ABS(BU40)*BV40+ABS(BW40)*BX40+ABS(BY40)*BZ40+ABS(CA40)*CB40+ABS(CC40)*CD40+ABS(CE40)*CF40+ABS(CG40)*CH40+ABS(CI40)*CJ40+ABS(CK40)*CL40+ABS(CM40)*CN40+ABS(CO40)*CP40+ABS(CQ40)*CR40+ABS(CS40)*CT40+ABS(CU40)*CV40+ABS(CW40)*CX40</f>
        <v>0</v>
      </c>
      <c r="DH40" s="43" t="n">
        <f aca="false">((H40-X40)*W40+(H40-Z40)*Y40+(H40-AB40)*AA40+(H40-AD40)*AC40+(H40-AF40)*AE40+(H40-AH40)*AG40+(H40-AJ40)*AI40+(H40-AL40)*AK40+(H40-AN40)*AM40+(H40-AP40)*AO40+(H40-AR40)*AQ40+(H40-AT40)*AS40+(H40-AV40)*AU40+(H40-AX40)*AW40+(H40-AZ40)*AY40+(H40-BB40)*BA40+(H40-BD40)*BC40+(H40-BF40)*BE40+(H40-BH40)*BG40+(H40-BJ40)*BI40)*DD40*DE40</f>
        <v>0</v>
      </c>
      <c r="DI40" s="43" t="n">
        <f aca="false">(((H40-BL40)*BK40+(H40-BN40)*BM40+(H40-BP40)*BO40+(H40-BR40)*BQ40+(H40-BT40)*BS40+(H40-BV40)*BU40+(H40-BX40)*BW40+(H40-BZ40)*BY40+(H40-CB40)*CA40+(H40-CD40)*CC40+(H40-CF40)*CE40+(H40-CH40)*CG40+(H40-CJ40)*CH40+(H40-CL40)*CK40+(H40-CN40)*CM40+(H40-CP40)*CO40+(H40-CR40)*CQ40+(H40-CT40)*CS40+(H40-CV40)*CU40+(H40-CX40)*CW40)*DD40*DE40)</f>
        <v>0</v>
      </c>
      <c r="DK40" s="85" t="n">
        <v>36867</v>
      </c>
      <c r="DL40" s="21" t="n">
        <v>50</v>
      </c>
      <c r="DM40" s="21" t="n">
        <f aca="false">[5]NEPOOL!$L27</f>
        <v>-1189.7</v>
      </c>
      <c r="DN40" s="21" t="n">
        <f aca="false">IF(AND(WEEKDAY(DK40)&gt;1,WEEKDAY(DK40)&lt;7),1,0)</f>
        <v>1</v>
      </c>
    </row>
    <row r="41" customFormat="false" ht="18.75" hidden="false" customHeight="false" outlineLevel="0" collapsed="false">
      <c r="A41" s="58" t="n">
        <f aca="false">'NYISO A'!A41</f>
        <v>37164</v>
      </c>
      <c r="B41" s="59" t="n">
        <f aca="false">+[3]WestHub!$L32/16+[3]PJM!$L32/16</f>
        <v>0</v>
      </c>
      <c r="C41" s="101" t="n">
        <f aca="false">CY41</f>
        <v>0</v>
      </c>
      <c r="D41" s="87" t="n">
        <f aca="false">(IF(MONTH(A41)=MONTH(EOMONTH(TradeDate,1)),$AP$66,0)*VLOOKUP(A41,$DK$12:$DN$43,4))</f>
        <v>0</v>
      </c>
      <c r="E41" s="62" t="n">
        <f aca="false">+B41+C41+D41</f>
        <v>0</v>
      </c>
      <c r="F41" s="63" t="n">
        <f aca="false">[3]WestHub!$C32</f>
        <v>25.0000019073486</v>
      </c>
      <c r="G41" s="88" t="n">
        <f aca="false">IF($Q$9,Q41,P41)</f>
        <v>5.79999809265137</v>
      </c>
      <c r="H41" s="89" t="n">
        <f aca="false">F41+G41</f>
        <v>30.8</v>
      </c>
      <c r="I41" s="87" t="n">
        <f aca="false">B41*G41*DD41</f>
        <v>0</v>
      </c>
      <c r="J41" s="66" t="n">
        <f aca="false">DH41+DI41</f>
        <v>0</v>
      </c>
      <c r="K41" s="90" t="n">
        <f aca="false">I41+J41</f>
        <v>0</v>
      </c>
      <c r="L41" s="24"/>
      <c r="M41" s="67" t="n">
        <f aca="false">A41</f>
        <v>37164</v>
      </c>
      <c r="N41" s="68" t="n">
        <v>30.8</v>
      </c>
      <c r="O41" s="68" t="n">
        <v>30.8</v>
      </c>
      <c r="P41" s="69" t="n">
        <f aca="false">AVERAGE(N41:O41)-F41</f>
        <v>5.79999809265137</v>
      </c>
      <c r="Q41" s="70"/>
      <c r="R41" s="91" t="n">
        <f aca="false">H41</f>
        <v>30.8</v>
      </c>
      <c r="S41" s="24"/>
      <c r="T41" s="0"/>
      <c r="U41" s="72"/>
      <c r="V41" s="73" t="n">
        <f aca="false">A41</f>
        <v>37164</v>
      </c>
      <c r="W41" s="77"/>
      <c r="X41" s="99"/>
      <c r="Y41" s="77"/>
      <c r="Z41" s="78"/>
      <c r="AA41" s="77"/>
      <c r="AB41" s="78"/>
      <c r="AC41" s="77"/>
      <c r="AD41" s="76"/>
      <c r="AE41" s="77"/>
      <c r="AF41" s="78"/>
      <c r="AG41" s="77"/>
      <c r="AH41" s="78"/>
      <c r="AI41" s="77"/>
      <c r="AJ41" s="78"/>
      <c r="AK41" s="77"/>
      <c r="AL41" s="78"/>
      <c r="AM41" s="77"/>
      <c r="AN41" s="78"/>
      <c r="AO41" s="77"/>
      <c r="AP41" s="78"/>
      <c r="AQ41" s="77"/>
      <c r="AR41" s="78"/>
      <c r="AS41" s="77"/>
      <c r="AT41" s="160"/>
      <c r="AU41" s="94"/>
      <c r="AV41" s="95"/>
      <c r="AW41" s="96"/>
      <c r="AX41" s="75"/>
      <c r="AY41" s="81"/>
      <c r="AZ41" s="75"/>
      <c r="BA41" s="81"/>
      <c r="BB41" s="75"/>
      <c r="BC41" s="81"/>
      <c r="BD41" s="75"/>
      <c r="BE41" s="81"/>
      <c r="BF41" s="75"/>
      <c r="BG41" s="81"/>
      <c r="BH41" s="75"/>
      <c r="BI41" s="81"/>
      <c r="BJ41" s="75"/>
      <c r="BK41" s="81"/>
      <c r="BL41" s="75"/>
      <c r="BM41" s="81"/>
      <c r="BN41" s="75"/>
      <c r="BO41" s="81"/>
      <c r="BP41" s="75"/>
      <c r="BQ41" s="81"/>
      <c r="BR41" s="75"/>
      <c r="BS41" s="81"/>
      <c r="BT41" s="75"/>
      <c r="BU41" s="81"/>
      <c r="BV41" s="75"/>
      <c r="BW41" s="81"/>
      <c r="BX41" s="75"/>
      <c r="BY41" s="81"/>
      <c r="BZ41" s="75"/>
      <c r="CA41" s="81"/>
      <c r="CB41" s="75"/>
      <c r="CC41" s="81"/>
      <c r="CD41" s="75"/>
      <c r="CE41" s="81"/>
      <c r="CF41" s="75"/>
      <c r="CG41" s="81"/>
      <c r="CH41" s="75"/>
      <c r="CI41" s="81"/>
      <c r="CJ41" s="75"/>
      <c r="CK41" s="81"/>
      <c r="CL41" s="75"/>
      <c r="CM41" s="81"/>
      <c r="CN41" s="75"/>
      <c r="CO41" s="81"/>
      <c r="CP41" s="75"/>
      <c r="CQ41" s="81"/>
      <c r="CR41" s="75"/>
      <c r="CS41" s="81"/>
      <c r="CT41" s="75"/>
      <c r="CU41" s="81"/>
      <c r="CV41" s="75"/>
      <c r="CW41" s="81"/>
      <c r="CX41" s="75"/>
      <c r="CY41" s="82" t="n">
        <f aca="false">W41+Y41+AA41+AC41+AE41+AG41+AI41+AK41+AM41+AO41+AQ41+AS41+AU41+AW41+AY41+BA41+BC41+BE41+BG41+BI41+BK41+BM41+BO41+BQ41+BS41+BU41+BW41+BY41+CA41+CC41+CE41+CG41+CI41+CK41+CM41+CO41+CQ41+CS41+CU41+CW41</f>
        <v>0</v>
      </c>
      <c r="CZ41" s="83" t="n">
        <f aca="false">IF(AND(CY41=0,DC41=0),0,(DF41+DG41)/DC41)</f>
        <v>0</v>
      </c>
      <c r="DA41" s="84" t="n">
        <f aca="false">DC41*DD41</f>
        <v>0</v>
      </c>
      <c r="DB41" s="85" t="n">
        <f aca="false">V41</f>
        <v>37164</v>
      </c>
      <c r="DC41" s="84" t="n">
        <f aca="false">ABS(W41)+ABS(Y41)+ABS(AA41)+ABS(AC41)+ABS(AE41)+ABS(AG41)+ABS(AI41)+ABS(AK41)+ABS(AM41)+ABS(AO41)+ABS(AQ41)+ABS(AS41)+ABS(AU41)+ABS(AW41)+ABS(AY41)+ABS(BA41)+ABS(BC41)+ABS(BE41)+ABS(BG41)+ABS(BI41)+ABS(BK41)+ABS(BM41)+ABS(BO41)+ABS(BQ41)+ABS(BS41)+ABS(BU41)+ABS(BW41)+ABS(BY41)+ABS(CA41)+ABS(CC41)+ABS(CE41)+ABS(CG41)+ABS(CI41)+ABS(CK41)+ABS(CM41)+ABS(CO41)+ABS(CQ41)+ABS(CS41)+ABS(CU41)+ABS(CW41)</f>
        <v>0</v>
      </c>
      <c r="DD41" s="86" t="n">
        <v>16</v>
      </c>
      <c r="DE41" s="84" t="n">
        <v>1</v>
      </c>
      <c r="DF41" s="43" t="n">
        <f aca="false">(ABS(W41)*X41+ABS(Y41)*Z41+ABS(AA41)*AB41+ABS(AC41)*AD41+ABS(AE41)*AF41+ABS(AG41)*AH41+ABS(AI41)*AJ41+ABS(AK41)*AL41+ABS(AM41)*AN41+ABS(AO41)*AP41+ABS(AQ41)*AR41+ABS(AS41)*AT41+ABS(AU41)*AV41+ABS(AW41)*AX41+ABS(AY41)*AZ41+ABS(BA41)*BB41+ABS(BC41)*BD41+ABS(BE41)*BF41+ABS(BG41)*BH41+ABS(BI41)*BJ41)</f>
        <v>0</v>
      </c>
      <c r="DG41" s="43" t="n">
        <f aca="false">ABS(BK41)*BL41+ABS(BM41)*BN41+ABS(BO41)*BP41+ABS(BQ41)*BR41+ABS(BS41)*BT41+ABS(BU41)*BV41+ABS(BW41)*BX41+ABS(BY41)*BZ41+ABS(CA41)*CB41+ABS(CC41)*CD41+ABS(CE41)*CF41+ABS(CG41)*CH41+ABS(CI41)*CJ41+ABS(CK41)*CL41+ABS(CM41)*CN41+ABS(CO41)*CP41+ABS(CQ41)*CR41+ABS(CS41)*CT41+ABS(CU41)*CV41+ABS(CW41)*CX41</f>
        <v>0</v>
      </c>
      <c r="DH41" s="43" t="n">
        <f aca="false">((H41-X41)*W41+(H41-Z41)*Y41+(H41-AB41)*AA41+(H41-AD41)*AC41+(H41-AF41)*AE41+(H41-AH41)*AG41+(H41-AJ41)*AI41+(H41-AL41)*AK41+(H41-AN41)*AM41+(H41-AP41)*AO41+(H41-AR41)*AQ41+(H41-AT41)*AS41+(H41-AV41)*AU41+(H41-AX41)*AW41+(H41-AZ41)*AY41+(H41-BB41)*BA41+(H41-BD41)*BC41+(H41-BF41)*BE41+(H41-BH41)*BG41+(H41-BJ41)*BI41)*DD41*DE41</f>
        <v>0</v>
      </c>
      <c r="DI41" s="43" t="n">
        <f aca="false">(((H41-BL41)*BK41+(H41-BN41)*BM41+(H41-BP41)*BO41+(H41-BR41)*BQ41+(H41-BT41)*BS41+(H41-BV41)*BU41+(H41-BX41)*BW41+(H41-BZ41)*BY41+(H41-CB41)*CA41+(H41-CD41)*CC41+(H41-CF41)*CE41+(H41-CH41)*CG41+(H41-CJ41)*CH41+(H41-CL41)*CK41+(H41-CN41)*CM41+(H41-CP41)*CO41+(H41-CR41)*CQ41+(H41-CT41)*CS41+(H41-CV41)*CU41+(H41-CX41)*CW41)*DD41*DE41)</f>
        <v>0</v>
      </c>
      <c r="DK41" s="85" t="n">
        <v>36868</v>
      </c>
      <c r="DL41" s="21" t="n">
        <v>50</v>
      </c>
      <c r="DM41" s="21" t="n">
        <f aca="false">[5]NEPOOL!$L28</f>
        <v>0</v>
      </c>
      <c r="DN41" s="21" t="n">
        <f aca="false">IF(AND(WEEKDAY(DK41)&gt;1,WEEKDAY(DK41)&lt;7),1,0)</f>
        <v>1</v>
      </c>
    </row>
    <row r="42" customFormat="false" ht="18.75" hidden="false" customHeight="false" outlineLevel="0" collapsed="false">
      <c r="A42" s="58" t="n">
        <f aca="false">'NYISO A'!A42</f>
        <v>37165</v>
      </c>
      <c r="B42" s="59" t="n">
        <f aca="false">+[3]WestHub!$L33/16+[3]PJM!$L33/16</f>
        <v>-1140.86413574219</v>
      </c>
      <c r="C42" s="60" t="n">
        <f aca="false">CY42</f>
        <v>0</v>
      </c>
      <c r="D42" s="61" t="n">
        <f aca="false">(IF(MONTH(A42)=MONTH(EOMONTH(TradeDate,1)),$AP$66,0)*VLOOKUP(A42,$DK$12:$DN$43,4))</f>
        <v>0</v>
      </c>
      <c r="E42" s="62" t="n">
        <f aca="false">+B42+C42+D42</f>
        <v>-1140.86413574219</v>
      </c>
      <c r="F42" s="63" t="n">
        <f aca="false">[3]WestHub!$C33</f>
        <v>29.3500003814697</v>
      </c>
      <c r="G42" s="63" t="n">
        <f aca="false">IF($Q$9,Q42,P42)</f>
        <v>0.649999618530273</v>
      </c>
      <c r="H42" s="64" t="n">
        <f aca="false">F42+G42</f>
        <v>30</v>
      </c>
      <c r="I42" s="65" t="n">
        <f aca="false">B42*G42*DD42</f>
        <v>-11864.9800484367</v>
      </c>
      <c r="J42" s="66" t="n">
        <f aca="false">DH42+DI42</f>
        <v>0</v>
      </c>
      <c r="K42" s="66" t="n">
        <f aca="false">I42+J42</f>
        <v>-11864.9800484367</v>
      </c>
      <c r="L42" s="24"/>
      <c r="M42" s="67" t="n">
        <f aca="false">A42</f>
        <v>37165</v>
      </c>
      <c r="N42" s="68" t="n">
        <v>30</v>
      </c>
      <c r="O42" s="68" t="n">
        <v>30</v>
      </c>
      <c r="P42" s="69" t="n">
        <f aca="false">AVERAGE(N42:O42)-F42</f>
        <v>0.649999618530273</v>
      </c>
      <c r="Q42" s="70"/>
      <c r="R42" s="91" t="n">
        <f aca="false">H42</f>
        <v>30</v>
      </c>
      <c r="S42" s="24"/>
      <c r="T42" s="0"/>
      <c r="U42" s="72"/>
      <c r="V42" s="73" t="n">
        <f aca="false">A42</f>
        <v>37165</v>
      </c>
      <c r="W42" s="77"/>
      <c r="X42" s="99"/>
      <c r="Y42" s="77"/>
      <c r="Z42" s="78"/>
      <c r="AA42" s="77"/>
      <c r="AB42" s="78"/>
      <c r="AC42" s="77"/>
      <c r="AD42" s="76"/>
      <c r="AE42" s="77"/>
      <c r="AF42" s="78"/>
      <c r="AG42" s="77"/>
      <c r="AH42" s="78"/>
      <c r="AI42" s="77"/>
      <c r="AJ42" s="78"/>
      <c r="AK42" s="77"/>
      <c r="AL42" s="78"/>
      <c r="AM42" s="77"/>
      <c r="AN42" s="78"/>
      <c r="AO42" s="77"/>
      <c r="AP42" s="78"/>
      <c r="AQ42" s="77"/>
      <c r="AR42" s="78"/>
      <c r="AS42" s="77"/>
      <c r="AT42" s="160"/>
      <c r="AU42" s="94"/>
      <c r="AV42" s="95"/>
      <c r="AW42" s="96"/>
      <c r="AX42" s="75"/>
      <c r="AY42" s="81"/>
      <c r="AZ42" s="75"/>
      <c r="BA42" s="81"/>
      <c r="BB42" s="75"/>
      <c r="BC42" s="81"/>
      <c r="BD42" s="75"/>
      <c r="BE42" s="81"/>
      <c r="BF42" s="75"/>
      <c r="BG42" s="81"/>
      <c r="BH42" s="75"/>
      <c r="BI42" s="81"/>
      <c r="BJ42" s="75"/>
      <c r="BK42" s="81"/>
      <c r="BL42" s="75"/>
      <c r="BM42" s="81"/>
      <c r="BN42" s="75"/>
      <c r="BO42" s="81"/>
      <c r="BP42" s="75"/>
      <c r="BQ42" s="81"/>
      <c r="BR42" s="75"/>
      <c r="BS42" s="81"/>
      <c r="BT42" s="75"/>
      <c r="BU42" s="81"/>
      <c r="BV42" s="75"/>
      <c r="BW42" s="81"/>
      <c r="BX42" s="75"/>
      <c r="BY42" s="81"/>
      <c r="BZ42" s="75"/>
      <c r="CA42" s="81"/>
      <c r="CB42" s="75"/>
      <c r="CC42" s="81"/>
      <c r="CD42" s="75"/>
      <c r="CE42" s="81"/>
      <c r="CF42" s="75"/>
      <c r="CG42" s="81"/>
      <c r="CH42" s="75"/>
      <c r="CI42" s="81"/>
      <c r="CJ42" s="75"/>
      <c r="CK42" s="81"/>
      <c r="CL42" s="75"/>
      <c r="CM42" s="81"/>
      <c r="CN42" s="75"/>
      <c r="CO42" s="81"/>
      <c r="CP42" s="75"/>
      <c r="CQ42" s="81"/>
      <c r="CR42" s="75"/>
      <c r="CS42" s="81"/>
      <c r="CT42" s="75"/>
      <c r="CU42" s="81"/>
      <c r="CV42" s="75"/>
      <c r="CW42" s="81"/>
      <c r="CX42" s="75"/>
      <c r="CY42" s="82" t="n">
        <f aca="false">W42+Y42+AA42+AC42+AE42+AG42+AI42+AK42+AM42+AO42+AQ42+AS42+AU42+AW42+AY42+BA42+BC42+BE42+BG42+BI42+BK42+BM42+BO42+BQ42+BS42+BU42+BW42+BY42+CA42+CC42+CE42+CG42+CI42+CK42+CM42+CO42+CQ42+CS42+CU42+CW42</f>
        <v>0</v>
      </c>
      <c r="CZ42" s="83" t="n">
        <f aca="false">IF(AND(CY42=0,DC42=0),0,(DF42+DG42)/DC42)</f>
        <v>0</v>
      </c>
      <c r="DA42" s="84" t="n">
        <f aca="false">DC42*DD42</f>
        <v>0</v>
      </c>
      <c r="DB42" s="85" t="n">
        <f aca="false">V42</f>
        <v>37165</v>
      </c>
      <c r="DC42" s="84" t="n">
        <f aca="false">ABS(W42)+ABS(Y42)+ABS(AA42)+ABS(AC42)+ABS(AE42)+ABS(AG42)+ABS(AI42)+ABS(AK42)+ABS(AM42)+ABS(AO42)+ABS(AQ42)+ABS(AS42)+ABS(AU42)+ABS(AW42)+ABS(AY42)+ABS(BA42)+ABS(BC42)+ABS(BE42)+ABS(BG42)+ABS(BI42)+ABS(BK42)+ABS(BM42)+ABS(BO42)+ABS(BQ42)+ABS(BS42)+ABS(BU42)+ABS(BW42)+ABS(BY42)+ABS(CA42)+ABS(CC42)+ABS(CE42)+ABS(CG42)+ABS(CI42)+ABS(CK42)+ABS(CM42)+ABS(CO42)+ABS(CQ42)+ABS(CS42)+ABS(CU42)+ABS(CW42)</f>
        <v>0</v>
      </c>
      <c r="DD42" s="86" t="n">
        <v>16</v>
      </c>
      <c r="DE42" s="84" t="n">
        <v>1</v>
      </c>
      <c r="DF42" s="43" t="n">
        <f aca="false">(ABS(W42)*X42+ABS(Y42)*Z42+ABS(AA42)*AB42+ABS(AC42)*AD42+ABS(AE42)*AF42+ABS(AG42)*AH42+ABS(AI42)*AJ42+ABS(AK42)*AL42+ABS(AM42)*AN42+ABS(AO42)*AP42+ABS(AQ42)*AR42+ABS(AS42)*AT42+ABS(AU42)*AV42+ABS(AW42)*AX42+ABS(AY42)*AZ42+ABS(BA42)*BB42+ABS(BC42)*BD42+ABS(BE42)*BF42+ABS(BG42)*BH42+ABS(BI42)*BJ42)</f>
        <v>0</v>
      </c>
      <c r="DG42" s="43" t="n">
        <f aca="false">ABS(BK42)*BL42+ABS(BM42)*BN42+ABS(BO42)*BP42+ABS(BQ42)*BR42+ABS(BS42)*BT42+ABS(BU42)*BV42+ABS(BW42)*BX42+ABS(BY42)*BZ42+ABS(CA42)*CB42+ABS(CC42)*CD42+ABS(CE42)*CF42+ABS(CG42)*CH42+ABS(CI42)*CJ42+ABS(CK42)*CL42+ABS(CM42)*CN42+ABS(CO42)*CP42+ABS(CQ42)*CR42+ABS(CS42)*CT42+ABS(CU42)*CV42+ABS(CW42)*CX42</f>
        <v>0</v>
      </c>
      <c r="DH42" s="43" t="n">
        <f aca="false">((H42-X42)*W42+(H42-Z42)*Y42+(H42-AB42)*AA42+(H42-AD42)*AC42+(H42-AF42)*AE42+(H42-AH42)*AG42+(H42-AJ42)*AI42+(H42-AL42)*AK42+(H42-AN42)*AM42+(H42-AP42)*AO42+(H42-AR42)*AQ42+(H42-AT42)*AS42+(H42-AV42)*AU42+(H42-AX42)*AW42+(H42-AZ42)*AY42+(H42-BB42)*BA42+(H42-BD42)*BC42+(H42-BF42)*BE42+(H42-BH42)*BG42+(H42-BJ42)*BI42)*DD42*DE42</f>
        <v>0</v>
      </c>
      <c r="DI42" s="43" t="n">
        <f aca="false">(((H42-BL42)*BK42+(H42-BN42)*BM42+(H42-BP42)*BO42+(H42-BR42)*BQ42+(H42-BT42)*BS42+(H42-BV42)*BU42+(H42-BX42)*BW42+(H42-BZ42)*BY42+(H42-CB42)*CA42+(H42-CD42)*CC42+(H42-CF42)*CE42+(H42-CH42)*CG42+(H42-CJ42)*CH42+(H42-CL42)*CK42+(H42-CN42)*CM42+(H42-CP42)*CO42+(H42-CR42)*CQ42+(H42-CT42)*CS42+(H42-CV42)*CU42+(H42-CX42)*CW42)*DD42*DE42)</f>
        <v>0</v>
      </c>
      <c r="DK42" s="85" t="n">
        <v>36869</v>
      </c>
      <c r="DL42" s="21" t="n">
        <v>0</v>
      </c>
      <c r="DM42" s="21" t="n">
        <f aca="false">[5]NEPOOL!$L29</f>
        <v>-1189.7</v>
      </c>
      <c r="DN42" s="21" t="n">
        <f aca="false">IF(AND(WEEKDAY(DK42)&gt;1,WEEKDAY(DK42)&lt;7),1,0)</f>
        <v>0</v>
      </c>
      <c r="DS42" s="24"/>
      <c r="DT42" s="24"/>
    </row>
    <row r="43" customFormat="false" ht="19.5" hidden="false" customHeight="false" outlineLevel="0" collapsed="false">
      <c r="A43" s="58" t="n">
        <f aca="false">'NYISO A'!A43</f>
        <v>37195</v>
      </c>
      <c r="B43" s="104" t="n">
        <f aca="false">+[3]WestHub!$L34/16+[3]PJM!$L34</f>
        <v>0</v>
      </c>
      <c r="C43" s="101" t="n">
        <f aca="false">CY43</f>
        <v>0</v>
      </c>
      <c r="D43" s="87" t="n">
        <f aca="false">(IF(MONTH(A43)=MONTH(EOMONTH(TradeDate,1)),$AP$66,0)*VLOOKUP(A43,$DK$12:$DN$43,4))</f>
        <v>0</v>
      </c>
      <c r="E43" s="105" t="n">
        <f aca="false">+B43+C43+D43</f>
        <v>0</v>
      </c>
      <c r="F43" s="63" t="n">
        <f aca="false">[3]WestHub!$C34</f>
        <v>29.3500003814697</v>
      </c>
      <c r="G43" s="88" t="n">
        <f aca="false">IF($Q$9,Q43,P43)</f>
        <v>1.44999961853027</v>
      </c>
      <c r="H43" s="89" t="n">
        <f aca="false">F43+G43</f>
        <v>30.8</v>
      </c>
      <c r="I43" s="87" t="n">
        <f aca="false">B43*G43*DD43</f>
        <v>0</v>
      </c>
      <c r="J43" s="90" t="n">
        <f aca="false">DH43+DI43</f>
        <v>0</v>
      </c>
      <c r="K43" s="90" t="n">
        <f aca="false">I43+J43</f>
        <v>0</v>
      </c>
      <c r="L43" s="24"/>
      <c r="M43" s="67" t="n">
        <f aca="false">A43</f>
        <v>37195</v>
      </c>
      <c r="N43" s="68" t="n">
        <v>30.8</v>
      </c>
      <c r="O43" s="68" t="n">
        <v>30.8</v>
      </c>
      <c r="P43" s="69" t="n">
        <f aca="false">AVERAGE(N43:O43)-F43</f>
        <v>1.44999961853027</v>
      </c>
      <c r="Q43" s="70"/>
      <c r="R43" s="91" t="n">
        <f aca="false">H43</f>
        <v>30.8</v>
      </c>
      <c r="S43" s="24"/>
      <c r="T43" s="0"/>
      <c r="U43" s="72"/>
      <c r="V43" s="67" t="n">
        <f aca="false">A43</f>
        <v>37195</v>
      </c>
      <c r="W43" s="108"/>
      <c r="X43" s="110"/>
      <c r="Y43" s="108"/>
      <c r="Z43" s="110"/>
      <c r="AA43" s="108"/>
      <c r="AB43" s="110"/>
      <c r="AC43" s="108"/>
      <c r="AD43" s="110"/>
      <c r="AE43" s="108"/>
      <c r="AF43" s="110"/>
      <c r="AG43" s="108"/>
      <c r="AH43" s="110"/>
      <c r="AI43" s="108"/>
      <c r="AJ43" s="110"/>
      <c r="AK43" s="108"/>
      <c r="AL43" s="110"/>
      <c r="AM43" s="108"/>
      <c r="AN43" s="110"/>
      <c r="AO43" s="108"/>
      <c r="AP43" s="110"/>
      <c r="AQ43" s="108"/>
      <c r="AR43" s="110"/>
      <c r="AS43" s="108"/>
      <c r="AT43" s="273"/>
      <c r="AU43" s="111"/>
      <c r="AV43" s="112"/>
      <c r="AW43" s="266"/>
      <c r="AX43" s="114"/>
      <c r="AY43" s="113"/>
      <c r="AZ43" s="114"/>
      <c r="BA43" s="113"/>
      <c r="BB43" s="114"/>
      <c r="BC43" s="113"/>
      <c r="BD43" s="114"/>
      <c r="BE43" s="113"/>
      <c r="BF43" s="114"/>
      <c r="BG43" s="113"/>
      <c r="BH43" s="114"/>
      <c r="BI43" s="113"/>
      <c r="BJ43" s="114"/>
      <c r="BK43" s="113"/>
      <c r="BL43" s="114"/>
      <c r="BM43" s="113"/>
      <c r="BN43" s="114"/>
      <c r="BO43" s="113"/>
      <c r="BP43" s="114"/>
      <c r="BQ43" s="113"/>
      <c r="BR43" s="114"/>
      <c r="BS43" s="113"/>
      <c r="BT43" s="114"/>
      <c r="BU43" s="113"/>
      <c r="BV43" s="114"/>
      <c r="BW43" s="113"/>
      <c r="BX43" s="114"/>
      <c r="BY43" s="113"/>
      <c r="BZ43" s="114"/>
      <c r="CA43" s="113"/>
      <c r="CB43" s="114"/>
      <c r="CC43" s="113"/>
      <c r="CD43" s="114"/>
      <c r="CE43" s="113"/>
      <c r="CF43" s="114"/>
      <c r="CG43" s="113"/>
      <c r="CH43" s="114"/>
      <c r="CI43" s="113"/>
      <c r="CJ43" s="114"/>
      <c r="CK43" s="113"/>
      <c r="CL43" s="114"/>
      <c r="CM43" s="113"/>
      <c r="CN43" s="114"/>
      <c r="CO43" s="113"/>
      <c r="CP43" s="114"/>
      <c r="CQ43" s="113"/>
      <c r="CR43" s="114"/>
      <c r="CS43" s="113"/>
      <c r="CT43" s="114"/>
      <c r="CU43" s="113"/>
      <c r="CV43" s="114"/>
      <c r="CW43" s="113"/>
      <c r="CX43" s="114"/>
      <c r="CY43" s="115" t="n">
        <f aca="false">W43+Y43+AA43+AC43+AE43+AG43+AI43+AK43+AM43+AO43+AQ43+AS43+AU43+AW43+AY43+BA43+BC43+BE43+BG43+BI43+BK43+BM43+BO43+BQ43+BS43+BU43+BW43+BY43+CA43+CC43+CE43+CG43+CI43+CK43+CM43+CO43+CQ43+CS43+CU43+CW43</f>
        <v>0</v>
      </c>
      <c r="CZ43" s="116" t="n">
        <f aca="false">IF(AND(CY43=0,DC43=0),0,(DF43+DG43)/DC43)</f>
        <v>0</v>
      </c>
      <c r="DA43" s="84" t="n">
        <f aca="false">DC43*DD43</f>
        <v>0</v>
      </c>
      <c r="DB43" s="85" t="n">
        <f aca="false">V43</f>
        <v>37195</v>
      </c>
      <c r="DC43" s="84" t="n">
        <f aca="false">ABS(W43)+ABS(Y43)+ABS(AA43)+ABS(AC43)+ABS(AE43)+ABS(AG43)+ABS(AI43)+ABS(AK43)+ABS(AM43)+ABS(AO43)+ABS(AQ43)+ABS(AS43)+ABS(AU43)+ABS(AW43)+ABS(AY43)+ABS(BA43)+ABS(BC43)+ABS(BE43)+ABS(BG43)+ABS(BI43)+ABS(BK43)+ABS(BM43)+ABS(BO43)+ABS(BQ43)+ABS(BS43)+ABS(BU43)+ABS(BW43)+ABS(BY43)+ABS(CA43)+ABS(CC43)+ABS(CE43)+ABS(CG43)+ABS(CI43)+ABS(CK43)+ABS(CM43)+ABS(CO43)+ABS(CQ43)+ABS(CS43)+ABS(CU43)+ABS(CW43)</f>
        <v>0</v>
      </c>
      <c r="DD43" s="86" t="n">
        <f aca="false">16</f>
        <v>16</v>
      </c>
      <c r="DE43" s="84" t="n">
        <v>1</v>
      </c>
      <c r="DF43" s="43" t="n">
        <f aca="false">(ABS(W43)*X43+ABS(Y43)*Z43+ABS(AA43)*AB43+ABS(AC43)*AD43+ABS(AE43)*AF43+ABS(AG43)*AH43+ABS(AI43)*AJ43+ABS(AK43)*AL43+ABS(AM43)*AN43+ABS(AO43)*AP43+ABS(AQ43)*AR43+ABS(AS43)*AT43+ABS(AU43)*AV43+ABS(AW43)*AX43+ABS(AY43)*AZ43+ABS(BA43)*BB43+ABS(BC43)*BD43+ABS(BE43)*BF43+ABS(BG43)*BH43+ABS(BI43)*BJ43)</f>
        <v>0</v>
      </c>
      <c r="DG43" s="43" t="n">
        <f aca="false">ABS(BK43)*BL43+ABS(BM43)*BN43+ABS(BO43)*BP43+ABS(BQ43)*BR43+ABS(BS43)*BT43+ABS(BU43)*BV43+ABS(BW43)*BX43+ABS(BY43)*BZ43+ABS(CA43)*CB43+ABS(CC43)*CD43+ABS(CE43)*CF43+ABS(CG43)*CH43+ABS(CI43)*CJ43+ABS(CK43)*CL43+ABS(CM43)*CN43+ABS(CO43)*CP43+ABS(CQ43)*CR43+ABS(CS43)*CT43+ABS(CU43)*CV43+ABS(CW43)*CX43</f>
        <v>0</v>
      </c>
      <c r="DH43" s="43" t="n">
        <f aca="false">((H43-X43)*W43+(H43-Z43)*Y43+(H43-AB43)*AA43+(H43-AD43)*AC43+(H43-AF43)*AE43+(H43-AH43)*AG43+(H43-AJ43)*AI43+(H43-AL43)*AK43+(H43-AN43)*AM43+(H43-AP43)*AO43+(H43-AR43)*AQ43+(H43-AT43)*AS43+(H43-AV43)*AU43+(H43-AX43)*AW43+(H43-AZ43)*AY43+(H43-BB43)*BA43+(H43-BD43)*BC43+(H43-BF43)*BE43+(H43-BH43)*BG43+(H43-BJ43)*BI43)*DD43*DE43</f>
        <v>0</v>
      </c>
      <c r="DI43" s="43" t="n">
        <f aca="false">(((H43-BL43)*BK43+(H43-BN43)*BM43+(H43-BP43)*BO43+(H43-BR43)*BQ43+(H43-BT43)*BS43+(H43-BV43)*BU43+(H43-BX43)*BW43+(H43-BZ43)*BY43+(H43-CB43)*CA43+(H43-CD43)*CC43+(H43-CF43)*CE43+(H43-CH43)*CG43+(H43-CJ43)*CH43+(H43-CL43)*CK43+(H43-CN43)*CM43+(H43-CP43)*CO43+(H43-CR43)*CQ43+(H43-CT43)*CS43+(H43-CV43)*CU43+(H43-CX43)*CW43)*DD43*DE43)</f>
        <v>0</v>
      </c>
      <c r="DK43" s="85" t="n">
        <v>36891</v>
      </c>
      <c r="DL43" s="21" t="n">
        <v>0</v>
      </c>
      <c r="DM43" s="21" t="n">
        <f aca="false">[5]NEPOOL!$L30</f>
        <v>-1189.7</v>
      </c>
      <c r="DN43" s="21" t="n">
        <v>1</v>
      </c>
      <c r="DR43" s="117" t="s">
        <v>79</v>
      </c>
      <c r="DS43" s="24"/>
      <c r="DT43" s="24"/>
    </row>
    <row r="44" customFormat="false" ht="18.75" hidden="false" customHeight="false" outlineLevel="0" collapsed="false">
      <c r="A44" s="118" t="n">
        <f aca="false">'NYISO A'!A44</f>
        <v>37196</v>
      </c>
      <c r="B44" s="119" t="n">
        <f aca="false">+[3]WestHub!$L35/16/DR44</f>
        <v>-49.4659249441964</v>
      </c>
      <c r="C44" s="120" t="n">
        <f aca="false">CY44</f>
        <v>0</v>
      </c>
      <c r="D44" s="121" t="n">
        <f aca="false">(IF(MONTH(A44)=MONTH(EOMONTH(TradeDate,1)),$AP$66,0)*VLOOKUP(A44,$DK$12:$DN$43,4))</f>
        <v>0</v>
      </c>
      <c r="E44" s="122" t="n">
        <f aca="false">B44+C44+D44</f>
        <v>-49.4659249441964</v>
      </c>
      <c r="F44" s="123" t="n">
        <f aca="false">[3]WestHub!$C35</f>
        <v>28.5</v>
      </c>
      <c r="G44" s="124" t="n">
        <f aca="false">IF($Q$9,Q44,P44)</f>
        <v>1.5</v>
      </c>
      <c r="H44" s="125" t="n">
        <f aca="false">F44+G44</f>
        <v>30</v>
      </c>
      <c r="I44" s="126" t="n">
        <f aca="false">B44*G44*DD44*DR44</f>
        <v>-24930.826171875</v>
      </c>
      <c r="J44" s="127" t="n">
        <f aca="false">+(W44*(H44-X44)+Y44*(H44-Z44)+AA44*(H44-AB44))*DD44*DR44</f>
        <v>0</v>
      </c>
      <c r="K44" s="268" t="n">
        <f aca="false">I44+J44</f>
        <v>-24930.826171875</v>
      </c>
      <c r="L44" s="24"/>
      <c r="M44" s="324" t="n">
        <f aca="false">A44</f>
        <v>37196</v>
      </c>
      <c r="N44" s="325" t="n">
        <v>30</v>
      </c>
      <c r="O44" s="326" t="n">
        <v>30</v>
      </c>
      <c r="P44" s="327" t="n">
        <f aca="false">AVERAGE(N44:O44)-F44</f>
        <v>1.5</v>
      </c>
      <c r="Q44" s="130"/>
      <c r="R44" s="71" t="n">
        <f aca="false">H44</f>
        <v>30</v>
      </c>
      <c r="S44" s="24"/>
      <c r="T44" s="0"/>
      <c r="U44" s="131"/>
      <c r="V44" s="132" t="n">
        <f aca="false">A44</f>
        <v>37196</v>
      </c>
      <c r="W44" s="133"/>
      <c r="X44" s="135"/>
      <c r="Y44" s="133"/>
      <c r="Z44" s="135"/>
      <c r="AA44" s="133"/>
      <c r="AB44" s="135"/>
      <c r="AC44" s="137"/>
      <c r="AD44" s="136"/>
      <c r="AE44" s="137"/>
      <c r="AF44" s="136"/>
      <c r="AG44" s="137"/>
      <c r="AH44" s="136"/>
      <c r="AI44" s="137"/>
      <c r="AJ44" s="136"/>
      <c r="AK44" s="137"/>
      <c r="AL44" s="136"/>
      <c r="AM44" s="137"/>
      <c r="AN44" s="136"/>
      <c r="AO44" s="137"/>
      <c r="AP44" s="136"/>
      <c r="AQ44" s="137"/>
      <c r="AR44" s="136"/>
      <c r="AS44" s="137"/>
      <c r="AT44" s="138"/>
      <c r="AU44" s="139"/>
      <c r="AV44" s="140"/>
      <c r="AW44" s="141"/>
      <c r="AX44" s="142"/>
      <c r="AY44" s="143"/>
      <c r="AZ44" s="142"/>
      <c r="BA44" s="143"/>
      <c r="BB44" s="142"/>
      <c r="BC44" s="143"/>
      <c r="BD44" s="142"/>
      <c r="BE44" s="143"/>
      <c r="BF44" s="142"/>
      <c r="BG44" s="143"/>
      <c r="BH44" s="142"/>
      <c r="BI44" s="143"/>
      <c r="BJ44" s="142"/>
      <c r="BK44" s="143"/>
      <c r="BL44" s="142"/>
      <c r="BM44" s="143"/>
      <c r="BN44" s="142"/>
      <c r="BO44" s="143"/>
      <c r="BP44" s="142"/>
      <c r="BQ44" s="143"/>
      <c r="BR44" s="142"/>
      <c r="BS44" s="143"/>
      <c r="BT44" s="142"/>
      <c r="BU44" s="143"/>
      <c r="BV44" s="142"/>
      <c r="BW44" s="143"/>
      <c r="BX44" s="142"/>
      <c r="BY44" s="143"/>
      <c r="BZ44" s="142"/>
      <c r="CA44" s="143"/>
      <c r="CB44" s="142"/>
      <c r="CC44" s="143"/>
      <c r="CD44" s="142"/>
      <c r="CE44" s="143"/>
      <c r="CF44" s="142"/>
      <c r="CG44" s="143"/>
      <c r="CH44" s="142"/>
      <c r="CI44" s="143"/>
      <c r="CJ44" s="142"/>
      <c r="CK44" s="143"/>
      <c r="CL44" s="142"/>
      <c r="CM44" s="143"/>
      <c r="CN44" s="142"/>
      <c r="CO44" s="143"/>
      <c r="CP44" s="142"/>
      <c r="CQ44" s="143"/>
      <c r="CR44" s="142"/>
      <c r="CS44" s="143"/>
      <c r="CT44" s="142"/>
      <c r="CU44" s="143"/>
      <c r="CV44" s="142"/>
      <c r="CW44" s="143"/>
      <c r="CX44" s="142"/>
      <c r="CY44" s="144" t="n">
        <f aca="false">W44+Y44+AA44+AC44+AE44+AG44+AI44+AK44+AM44+AO44+AQ44+AS44+AU44+AW44+AY44+BA44+BC44+BE44+BG44+BI44+BK44+BM44+BO44+BQ44+BS44+BU44+BW44+BY44+CA44+CC44+CE44+CG44+CI44+CK44+CM44+CO44+CQ44+CS44+CU44+CW44</f>
        <v>0</v>
      </c>
      <c r="CZ44" s="145" t="n">
        <f aca="false">IF(AND(CY44=0,DC44=0),0,(DF44+DG44)/DC44)</f>
        <v>0</v>
      </c>
      <c r="DA44" s="84" t="n">
        <f aca="false">DC44*DD44</f>
        <v>0</v>
      </c>
      <c r="DB44" s="85" t="n">
        <f aca="false">V44</f>
        <v>37196</v>
      </c>
      <c r="DC44" s="84" t="n">
        <f aca="false">ABS(W44)+ABS(Y44)+ABS(AA44)+ABS(AC44)+ABS(AE44)+ABS(AG44)+ABS(AI44)+ABS(AK44)+ABS(AM44)+ABS(AO44)+ABS(AQ44)+ABS(AS44)+ABS(AU44)+ABS(AW44)+ABS(AY44)+ABS(BA44)+ABS(BC44)+ABS(BE44)+ABS(BG44)+ABS(BI44)+ABS(BK44)+ABS(BM44)+ABS(BO44)+ABS(BQ44)+ABS(BS44)+ABS(BU44)+ABS(BW44)+ABS(BY44)+ABS(CA44)+ABS(CC44)+ABS(CE44)+ABS(CG44)+ABS(CI44)+ABS(CK44)+ABS(CM44)+ABS(CO44)+ABS(CQ44)+ABS(CS44)+ABS(CU44)+ABS(CW44)</f>
        <v>0</v>
      </c>
      <c r="DD44" s="86" t="n">
        <f aca="false">16</f>
        <v>16</v>
      </c>
      <c r="DE44" s="84" t="n">
        <v>1</v>
      </c>
      <c r="DF44" s="43" t="n">
        <f aca="false">(ABS(W44)*X44+ABS(Y44)*Z44+ABS(AA44)*AB44+ABS(AC44)*AD44+ABS(AE44)*AF44+ABS(AG44)*AH44+ABS(AI44)*AJ44+ABS(AK44)*AL44+ABS(AM44)*AN44+ABS(AO44)*AP44+ABS(AQ44)*AR44+ABS(AS44)*AT44+ABS(AU44)*AV44+ABS(AW44)*AX44+ABS(AY44)*AZ44+ABS(BA44)*BB44+ABS(BC44)*BD44+ABS(BE44)*BF44+ABS(BG44)*BH44+ABS(BI44)*BJ44)</f>
        <v>0</v>
      </c>
      <c r="DG44" s="43" t="n">
        <f aca="false">ABS(BK44)*BL44+ABS(BM44)*BN44+ABS(BO44)*BP44+ABS(BQ44)*BR44+ABS(BS44)*BT44+ABS(BU44)*BV44+ABS(BW44)*BX44+ABS(BY44)*BZ44+ABS(CA44)*CB44+ABS(CC44)*CD44+ABS(CE44)*CF44+ABS(CG44)*CH44+ABS(CI44)*CJ44+ABS(CK44)*CL44+ABS(CM44)*CN44+ABS(CO44)*CP44+ABS(CQ44)*CR44+ABS(CS44)*CT44+ABS(CU44)*CV44+ABS(CW44)*CX44</f>
        <v>0</v>
      </c>
      <c r="DH44" s="43" t="n">
        <f aca="false">((H44-X44)*W44+(H44-Z44)*Y44+(H44-AB44)*AA44+(H44-AD44)*AC44+(H44-AF44)*AE44+(H44-AH44)*AG44+(H44-AJ44)*AI44+(H44-AL44)*AK44+(H44-AN44)*AM44+(H44-AP44)*AO44+(H44-AR44)*AQ44+(H44-AT44)*AS44+(H44-AV44)*AU44+(H44-AX44)*AW44+(H44-AZ44)*AY44+(H44-BB44)*BA44+(H44-BD44)*BC44+(H44-BF44)*BE44+(H44-BH44)*BG44+(H44-BJ44)*BI44)*DD44*DE44</f>
        <v>0</v>
      </c>
      <c r="DI44" s="43" t="n">
        <f aca="false">(((H44-BL44)*BK44+(H44-BN44)*BM44+(H44-BP44)*BO44+(H44-BR44)*BQ44+(H44-BT44)*BS44+(H44-BV44)*BU44+(H44-BX44)*BW44+(H44-BZ44)*BY44+(H44-CB44)*CA44+(H44-CD44)*CC44+(H44-CF44)*CE44+(H44-CH44)*CG44+(H44-CJ44)*CH44+(H44-CL44)*CK44+(H44-CN44)*CM44+(H44-CP44)*CO44+(H44-CR44)*CQ44+(H44-CT44)*CS44+(H44-CV44)*CU44+(H44-CX44)*CW44)*DD44*DE44)</f>
        <v>0</v>
      </c>
      <c r="DK44" s="85" t="n">
        <v>36892</v>
      </c>
      <c r="DL44" s="21" t="n">
        <v>344.057239879261</v>
      </c>
      <c r="DN44" s="21" t="n">
        <v>1</v>
      </c>
      <c r="DR44" s="146" t="n">
        <f aca="false">+VLOOKUP(A44,'NET P&amp;L'!$AH$6:$AK$31,2)</f>
        <v>21</v>
      </c>
      <c r="DS44" s="24"/>
      <c r="DT44" s="24"/>
    </row>
    <row r="45" customFormat="false" ht="18.75" hidden="false" customHeight="false" outlineLevel="0" collapsed="false">
      <c r="A45" s="147" t="n">
        <f aca="false">'NYISO A'!A45</f>
        <v>37226</v>
      </c>
      <c r="B45" s="119" t="n">
        <f aca="false">+[3]WestHub!$L36/16/DR45</f>
        <v>-49.3241790771484</v>
      </c>
      <c r="C45" s="148" t="n">
        <f aca="false">CY45</f>
        <v>0</v>
      </c>
      <c r="D45" s="149" t="n">
        <f aca="false">(IF(MONTH(A45)=MONTH(EOMONTH(TradeDate,1)),$AP$66,0)*VLOOKUP(A45,$DK$12:$DN$43,4))</f>
        <v>0</v>
      </c>
      <c r="E45" s="150" t="n">
        <f aca="false">B45+C45+D45</f>
        <v>-49.3241790771484</v>
      </c>
      <c r="F45" s="151" t="n">
        <f aca="false">[3]WestHub!$C36</f>
        <v>31.75</v>
      </c>
      <c r="G45" s="152" t="n">
        <f aca="false">IF($Q$9,Q45,P45)</f>
        <v>-1.75</v>
      </c>
      <c r="H45" s="153" t="n">
        <f aca="false">F45+G45</f>
        <v>30</v>
      </c>
      <c r="I45" s="154" t="n">
        <f aca="false">B45*G45*DD45*DR45</f>
        <v>27621.5402832031</v>
      </c>
      <c r="J45" s="155" t="n">
        <f aca="false">+(W45*(H45-X45)+Y45*(H45-Z45)+AA45*(H45-AB45))*DD45*DR45</f>
        <v>0</v>
      </c>
      <c r="K45" s="156" t="n">
        <f aca="false">I45+J45</f>
        <v>27621.5402832031</v>
      </c>
      <c r="L45" s="24"/>
      <c r="M45" s="161" t="n">
        <f aca="false">A45</f>
        <v>37226</v>
      </c>
      <c r="N45" s="328" t="n">
        <v>30</v>
      </c>
      <c r="O45" s="329" t="n">
        <v>30</v>
      </c>
      <c r="P45" s="103" t="n">
        <f aca="false">AVERAGE(N45:O45)-F45</f>
        <v>-1.75</v>
      </c>
      <c r="Q45" s="70"/>
      <c r="R45" s="91" t="n">
        <f aca="false">H45</f>
        <v>30</v>
      </c>
      <c r="S45" s="24"/>
      <c r="T45" s="0"/>
      <c r="U45" s="131"/>
      <c r="V45" s="158" t="n">
        <f aca="false">A45</f>
        <v>37226</v>
      </c>
      <c r="W45" s="159"/>
      <c r="X45" s="134"/>
      <c r="Y45" s="159"/>
      <c r="Z45" s="134"/>
      <c r="AA45" s="159"/>
      <c r="AB45" s="134"/>
      <c r="AC45" s="77"/>
      <c r="AD45" s="78"/>
      <c r="AE45" s="77"/>
      <c r="AF45" s="78"/>
      <c r="AG45" s="77"/>
      <c r="AH45" s="78"/>
      <c r="AI45" s="77"/>
      <c r="AJ45" s="78"/>
      <c r="AK45" s="77"/>
      <c r="AL45" s="78"/>
      <c r="AM45" s="77"/>
      <c r="AN45" s="78"/>
      <c r="AO45" s="77"/>
      <c r="AP45" s="78"/>
      <c r="AQ45" s="77"/>
      <c r="AR45" s="78"/>
      <c r="AS45" s="77"/>
      <c r="AT45" s="160"/>
      <c r="AU45" s="94"/>
      <c r="AV45" s="95"/>
      <c r="AW45" s="96"/>
      <c r="AX45" s="75"/>
      <c r="AY45" s="81"/>
      <c r="AZ45" s="75"/>
      <c r="BA45" s="81"/>
      <c r="BB45" s="75"/>
      <c r="BC45" s="81"/>
      <c r="BD45" s="75"/>
      <c r="BE45" s="81"/>
      <c r="BF45" s="75"/>
      <c r="BG45" s="81"/>
      <c r="BH45" s="75"/>
      <c r="BI45" s="81"/>
      <c r="BJ45" s="75"/>
      <c r="BK45" s="81"/>
      <c r="BL45" s="75"/>
      <c r="BM45" s="81"/>
      <c r="BN45" s="75"/>
      <c r="BO45" s="81"/>
      <c r="BP45" s="75"/>
      <c r="BQ45" s="81"/>
      <c r="BR45" s="75"/>
      <c r="BS45" s="81"/>
      <c r="BT45" s="75"/>
      <c r="BU45" s="81"/>
      <c r="BV45" s="75"/>
      <c r="BW45" s="81"/>
      <c r="BX45" s="75"/>
      <c r="BY45" s="81"/>
      <c r="BZ45" s="75"/>
      <c r="CA45" s="81"/>
      <c r="CB45" s="75"/>
      <c r="CC45" s="81"/>
      <c r="CD45" s="75"/>
      <c r="CE45" s="81"/>
      <c r="CF45" s="75"/>
      <c r="CG45" s="81"/>
      <c r="CH45" s="75"/>
      <c r="CI45" s="81"/>
      <c r="CJ45" s="75"/>
      <c r="CK45" s="81"/>
      <c r="CL45" s="75"/>
      <c r="CM45" s="81"/>
      <c r="CN45" s="75"/>
      <c r="CO45" s="81"/>
      <c r="CP45" s="75"/>
      <c r="CQ45" s="81"/>
      <c r="CR45" s="75"/>
      <c r="CS45" s="81"/>
      <c r="CT45" s="75"/>
      <c r="CU45" s="81"/>
      <c r="CV45" s="75"/>
      <c r="CW45" s="81"/>
      <c r="CX45" s="75"/>
      <c r="CY45" s="82" t="n">
        <f aca="false">W45+Y45+AA45+AC45+AE45+AG45+AI45+AK45+AM45+AO45+AQ45+AS45+AU45+AW45+AY45+BA45+BC45+BE45+BG45+BI45+BK45+BM45+BO45+BQ45+BS45+BU45+BW45+BY45+CA45+CC45+CE45+CG45+CI45+CK45+CM45+CO45+CQ45+CS45+CU45+CW45</f>
        <v>0</v>
      </c>
      <c r="CZ45" s="83" t="n">
        <f aca="false">IF(AND(CY45=0,DC45=0),0,(DF45+DG45)/DC45)</f>
        <v>0</v>
      </c>
      <c r="DB45" s="85" t="n">
        <f aca="false">V45</f>
        <v>37226</v>
      </c>
      <c r="DC45" s="84" t="n">
        <f aca="false">ABS(W45)+ABS(Y45)+ABS(AA45)+ABS(AC45)+ABS(AE45)+ABS(AG45)+ABS(AI45)+ABS(AK45)+ABS(AM45)+ABS(AO45)+ABS(AQ45)+ABS(AS45)+ABS(AU45)+ABS(AW45)+ABS(AY45)+ABS(BA45)+ABS(BC45)+ABS(BE45)+ABS(BG45)+ABS(BI45)+ABS(BK45)+ABS(BM45)+ABS(BO45)+ABS(BQ45)+ABS(BS45)+ABS(BU45)+ABS(BW45)+ABS(BY45)+ABS(CA45)+ABS(CC45)+ABS(CE45)+ABS(CG45)+ABS(CI45)+ABS(CK45)+ABS(CM45)+ABS(CO45)+ABS(CQ45)+ABS(CS45)+ABS(CU45)+ABS(CW45)</f>
        <v>0</v>
      </c>
      <c r="DD45" s="86" t="n">
        <f aca="false">16</f>
        <v>16</v>
      </c>
      <c r="DE45" s="84" t="n">
        <v>1</v>
      </c>
      <c r="DF45" s="43"/>
      <c r="DG45" s="43"/>
      <c r="DH45" s="43"/>
      <c r="DI45" s="43"/>
      <c r="DK45" s="85"/>
      <c r="DR45" s="146" t="n">
        <f aca="false">+VLOOKUP(A45,'NET P&amp;L'!$AH$6:$AK$31,2)</f>
        <v>20</v>
      </c>
      <c r="DS45" s="24"/>
      <c r="DT45" s="24"/>
    </row>
    <row r="46" customFormat="false" ht="18.75" hidden="false" customHeight="false" outlineLevel="0" collapsed="false">
      <c r="A46" s="147" t="n">
        <f aca="false">'NYISO A'!A46</f>
        <v>37257</v>
      </c>
      <c r="B46" s="119" t="n">
        <f aca="false">+[3]WestHub!$L37/16/DR46</f>
        <v>-147.542047674006</v>
      </c>
      <c r="C46" s="148" t="n">
        <f aca="false">CY46</f>
        <v>50</v>
      </c>
      <c r="D46" s="149" t="n">
        <f aca="false">(IF(MONTH(A46)=MONTH(EOMONTH(TradeDate,1)),$AP$66,0)*VLOOKUP(A46,$DK$12:$DN$43,4))</f>
        <v>0</v>
      </c>
      <c r="E46" s="150" t="n">
        <f aca="false">B46+C46+D46</f>
        <v>-97.5420476740057</v>
      </c>
      <c r="F46" s="151" t="n">
        <f aca="false">[3]WestHub!$C37</f>
        <v>35.5</v>
      </c>
      <c r="G46" s="152" t="n">
        <f aca="false">IF($Q$9,Q46,P46)</f>
        <v>0.5</v>
      </c>
      <c r="H46" s="153" t="n">
        <f aca="false">F46+G46</f>
        <v>36</v>
      </c>
      <c r="I46" s="154" t="n">
        <f aca="false">B46*G46*DD46*DR46</f>
        <v>-25967.400390625</v>
      </c>
      <c r="J46" s="155" t="n">
        <f aca="false">+(W46*(H46-X46)+Y46*(H46-Z46)+AA46*(H46-AB46))*DD46*DR46</f>
        <v>22000</v>
      </c>
      <c r="K46" s="156" t="n">
        <f aca="false">I46+J46</f>
        <v>-3967.400390625</v>
      </c>
      <c r="L46" s="24"/>
      <c r="M46" s="161" t="n">
        <f aca="false">A46</f>
        <v>37257</v>
      </c>
      <c r="N46" s="328" t="n">
        <v>36</v>
      </c>
      <c r="O46" s="329" t="n">
        <v>36</v>
      </c>
      <c r="P46" s="103" t="n">
        <f aca="false">AVERAGE(N46:O46)-F46</f>
        <v>0.5</v>
      </c>
      <c r="Q46" s="70"/>
      <c r="R46" s="91" t="n">
        <f aca="false">H46</f>
        <v>36</v>
      </c>
      <c r="S46" s="24"/>
      <c r="T46" s="0"/>
      <c r="U46" s="131"/>
      <c r="V46" s="158" t="n">
        <f aca="false">A46</f>
        <v>37257</v>
      </c>
      <c r="W46" s="159" t="n">
        <v>50</v>
      </c>
      <c r="X46" s="134" t="n">
        <v>34.75</v>
      </c>
      <c r="Y46" s="159"/>
      <c r="Z46" s="134"/>
      <c r="AA46" s="159"/>
      <c r="AB46" s="134"/>
      <c r="AC46" s="77"/>
      <c r="AD46" s="78"/>
      <c r="AE46" s="77"/>
      <c r="AF46" s="78"/>
      <c r="AG46" s="77"/>
      <c r="AH46" s="78"/>
      <c r="AI46" s="77"/>
      <c r="AJ46" s="78"/>
      <c r="AK46" s="77"/>
      <c r="AL46" s="78"/>
      <c r="AM46" s="77"/>
      <c r="AN46" s="78"/>
      <c r="AO46" s="77"/>
      <c r="AP46" s="78"/>
      <c r="AQ46" s="77"/>
      <c r="AR46" s="78"/>
      <c r="AS46" s="77"/>
      <c r="AT46" s="160"/>
      <c r="AU46" s="94"/>
      <c r="AV46" s="95"/>
      <c r="AW46" s="96"/>
      <c r="AX46" s="75"/>
      <c r="AY46" s="81"/>
      <c r="AZ46" s="75"/>
      <c r="BA46" s="81"/>
      <c r="BB46" s="75"/>
      <c r="BC46" s="81"/>
      <c r="BD46" s="75"/>
      <c r="BE46" s="81"/>
      <c r="BF46" s="75"/>
      <c r="BG46" s="81"/>
      <c r="BH46" s="75"/>
      <c r="BI46" s="81"/>
      <c r="BJ46" s="75"/>
      <c r="BK46" s="81"/>
      <c r="BL46" s="75"/>
      <c r="BM46" s="81"/>
      <c r="BN46" s="75"/>
      <c r="BO46" s="81"/>
      <c r="BP46" s="75"/>
      <c r="BQ46" s="81"/>
      <c r="BR46" s="75"/>
      <c r="BS46" s="81"/>
      <c r="BT46" s="75"/>
      <c r="BU46" s="81"/>
      <c r="BV46" s="75"/>
      <c r="BW46" s="81"/>
      <c r="BX46" s="75"/>
      <c r="BY46" s="81"/>
      <c r="BZ46" s="75"/>
      <c r="CA46" s="81"/>
      <c r="CB46" s="75"/>
      <c r="CC46" s="81"/>
      <c r="CD46" s="75"/>
      <c r="CE46" s="81"/>
      <c r="CF46" s="75"/>
      <c r="CG46" s="81"/>
      <c r="CH46" s="75"/>
      <c r="CI46" s="81"/>
      <c r="CJ46" s="75"/>
      <c r="CK46" s="81"/>
      <c r="CL46" s="75"/>
      <c r="CM46" s="81"/>
      <c r="CN46" s="75"/>
      <c r="CO46" s="81"/>
      <c r="CP46" s="75"/>
      <c r="CQ46" s="81"/>
      <c r="CR46" s="75"/>
      <c r="CS46" s="81"/>
      <c r="CT46" s="75"/>
      <c r="CU46" s="81"/>
      <c r="CV46" s="75"/>
      <c r="CW46" s="81"/>
      <c r="CX46" s="75"/>
      <c r="CY46" s="82" t="n">
        <f aca="false">W46+Y46+AA46+AC46+AE46+AG46+AI46+AK46+AM46+AO46+AQ46+AS46+AU46+AW46+AY46+BA46+BC46+BE46+BG46+BI46+BK46+BM46+BO46+BQ46+BS46+BU46+BW46+BY46+CA46+CC46+CE46+CG46+CI46+CK46+CM46+CO46+CQ46+CS46+CU46+CW46</f>
        <v>50</v>
      </c>
      <c r="CZ46" s="83" t="n">
        <f aca="false">IF(AND(CY46=0,DC46=0),0,(DF46+DG46)/DC46)</f>
        <v>0</v>
      </c>
      <c r="DB46" s="85" t="n">
        <f aca="false">V46</f>
        <v>37257</v>
      </c>
      <c r="DC46" s="84" t="n">
        <f aca="false">ABS(W46)+ABS(Y46)+ABS(AA46)+ABS(AC46)+ABS(AE46)+ABS(AG46)+ABS(AI46)+ABS(AK46)+ABS(AM46)+ABS(AO46)+ABS(AQ46)+ABS(AS46)+ABS(AU46)+ABS(AW46)+ABS(AY46)+ABS(BA46)+ABS(BC46)+ABS(BE46)+ABS(BG46)+ABS(BI46)+ABS(BK46)+ABS(BM46)+ABS(BO46)+ABS(BQ46)+ABS(BS46)+ABS(BU46)+ABS(BW46)+ABS(BY46)+ABS(CA46)+ABS(CC46)+ABS(CE46)+ABS(CG46)+ABS(CI46)+ABS(CK46)+ABS(CM46)+ABS(CO46)+ABS(CQ46)+ABS(CS46)+ABS(CU46)+ABS(CW46)</f>
        <v>50</v>
      </c>
      <c r="DD46" s="86" t="n">
        <f aca="false">16</f>
        <v>16</v>
      </c>
      <c r="DE46" s="84" t="n">
        <v>1</v>
      </c>
      <c r="DF46" s="43"/>
      <c r="DG46" s="43"/>
      <c r="DH46" s="43"/>
      <c r="DI46" s="43"/>
      <c r="DK46" s="85"/>
      <c r="DR46" s="146" t="n">
        <f aca="false">+VLOOKUP(A46,'NET P&amp;L'!$AH$6:$AK$31,2)</f>
        <v>22</v>
      </c>
    </row>
    <row r="47" customFormat="false" ht="18.75" hidden="false" customHeight="false" outlineLevel="0" collapsed="false">
      <c r="A47" s="147" t="n">
        <f aca="false">'NYISO A'!A47</f>
        <v>37288</v>
      </c>
      <c r="B47" s="119" t="n">
        <f aca="false">+[3]WestHub!$L38/16/DR47</f>
        <v>-147.1529296875</v>
      </c>
      <c r="C47" s="148" t="n">
        <f aca="false">CY47</f>
        <v>50</v>
      </c>
      <c r="D47" s="149" t="n">
        <f aca="false">(IF(MONTH(A47)=MONTH(EOMONTH(TradeDate,1)),$AP$66,0)*VLOOKUP(A47,$DK$12:$DN$43,4))</f>
        <v>0</v>
      </c>
      <c r="E47" s="150" t="n">
        <f aca="false">B47+C47+D47</f>
        <v>-97.1529296875</v>
      </c>
      <c r="F47" s="151" t="n">
        <f aca="false">[3]WestHub!$C38</f>
        <v>35.5</v>
      </c>
      <c r="G47" s="152" t="n">
        <f aca="false">IF($Q$9,Q47,P47)</f>
        <v>0.5</v>
      </c>
      <c r="H47" s="153" t="n">
        <f aca="false">F47+G47</f>
        <v>36</v>
      </c>
      <c r="I47" s="154" t="n">
        <f aca="false">B47*G47*DD47*DR47</f>
        <v>-23544.46875</v>
      </c>
      <c r="J47" s="155" t="n">
        <f aca="false">+(W47*(H47-X47)+Y47*(H47-Z47)+AA47*(H47-AB47))*DD47*DR47</f>
        <v>20000</v>
      </c>
      <c r="K47" s="156" t="n">
        <f aca="false">I47+J47</f>
        <v>-3544.46875</v>
      </c>
      <c r="L47" s="24"/>
      <c r="M47" s="161" t="n">
        <f aca="false">A47</f>
        <v>37288</v>
      </c>
      <c r="N47" s="328" t="n">
        <v>36</v>
      </c>
      <c r="O47" s="329" t="n">
        <v>36</v>
      </c>
      <c r="P47" s="103" t="n">
        <f aca="false">AVERAGE(N47:O47)-F47</f>
        <v>0.5</v>
      </c>
      <c r="Q47" s="70"/>
      <c r="R47" s="91" t="n">
        <f aca="false">H47</f>
        <v>36</v>
      </c>
      <c r="S47" s="24"/>
      <c r="T47" s="0"/>
      <c r="U47" s="131"/>
      <c r="V47" s="158" t="n">
        <f aca="false">A47</f>
        <v>37288</v>
      </c>
      <c r="W47" s="159" t="n">
        <v>50</v>
      </c>
      <c r="X47" s="134" t="n">
        <v>34.75</v>
      </c>
      <c r="Y47" s="159"/>
      <c r="Z47" s="134"/>
      <c r="AA47" s="159"/>
      <c r="AB47" s="134"/>
      <c r="AC47" s="77"/>
      <c r="AD47" s="78"/>
      <c r="AE47" s="77"/>
      <c r="AF47" s="78"/>
      <c r="AG47" s="77"/>
      <c r="AH47" s="78"/>
      <c r="AI47" s="77"/>
      <c r="AJ47" s="78"/>
      <c r="AK47" s="77"/>
      <c r="AL47" s="78"/>
      <c r="AM47" s="77"/>
      <c r="AN47" s="78"/>
      <c r="AO47" s="77"/>
      <c r="AP47" s="78"/>
      <c r="AQ47" s="77"/>
      <c r="AR47" s="78"/>
      <c r="AS47" s="77"/>
      <c r="AT47" s="160"/>
      <c r="AU47" s="94"/>
      <c r="AV47" s="95"/>
      <c r="AW47" s="96"/>
      <c r="AX47" s="75"/>
      <c r="AY47" s="81"/>
      <c r="AZ47" s="75"/>
      <c r="BA47" s="81"/>
      <c r="BB47" s="75"/>
      <c r="BC47" s="81"/>
      <c r="BD47" s="75"/>
      <c r="BE47" s="81"/>
      <c r="BF47" s="75"/>
      <c r="BG47" s="81"/>
      <c r="BH47" s="75"/>
      <c r="BI47" s="81"/>
      <c r="BJ47" s="75"/>
      <c r="BK47" s="81"/>
      <c r="BL47" s="75"/>
      <c r="BM47" s="81"/>
      <c r="BN47" s="75"/>
      <c r="BO47" s="81"/>
      <c r="BP47" s="75"/>
      <c r="BQ47" s="81"/>
      <c r="BR47" s="75"/>
      <c r="BS47" s="81"/>
      <c r="BT47" s="75"/>
      <c r="BU47" s="81"/>
      <c r="BV47" s="75"/>
      <c r="BW47" s="81"/>
      <c r="BX47" s="75"/>
      <c r="BY47" s="81"/>
      <c r="BZ47" s="75"/>
      <c r="CA47" s="81"/>
      <c r="CB47" s="75"/>
      <c r="CC47" s="81"/>
      <c r="CD47" s="75"/>
      <c r="CE47" s="81"/>
      <c r="CF47" s="75"/>
      <c r="CG47" s="81"/>
      <c r="CH47" s="75"/>
      <c r="CI47" s="81"/>
      <c r="CJ47" s="75"/>
      <c r="CK47" s="81"/>
      <c r="CL47" s="75"/>
      <c r="CM47" s="81"/>
      <c r="CN47" s="75"/>
      <c r="CO47" s="81"/>
      <c r="CP47" s="75"/>
      <c r="CQ47" s="81"/>
      <c r="CR47" s="75"/>
      <c r="CS47" s="81"/>
      <c r="CT47" s="75"/>
      <c r="CU47" s="81"/>
      <c r="CV47" s="75"/>
      <c r="CW47" s="81"/>
      <c r="CX47" s="75"/>
      <c r="CY47" s="82" t="n">
        <f aca="false">W47+Y47+AA47+AC47+AE47+AG47+AI47+AK47+AM47+AO47+AQ47+AS47+AU47+AW47+AY47+BA47+BC47+BE47+BG47+BI47+BK47+BM47+BO47+BQ47+BS47+BU47+BW47+BY47+CA47+CC47+CE47+CG47+CI47+CK47+CM47+CO47+CQ47+CS47+CU47+CW47</f>
        <v>50</v>
      </c>
      <c r="CZ47" s="83" t="n">
        <f aca="false">IF(AND(CY47=0,DC47=0),0,(DF47+DG47)/DC47)</f>
        <v>0</v>
      </c>
      <c r="DB47" s="85" t="n">
        <f aca="false">V47</f>
        <v>37288</v>
      </c>
      <c r="DC47" s="84" t="n">
        <f aca="false">ABS(W47)+ABS(Y47)+ABS(AA47)+ABS(AC47)+ABS(AE47)+ABS(AG47)+ABS(AI47)+ABS(AK47)+ABS(AM47)+ABS(AO47)+ABS(AQ47)+ABS(AS47)+ABS(AU47)+ABS(AW47)+ABS(AY47)+ABS(BA47)+ABS(BC47)+ABS(BE47)+ABS(BG47)+ABS(BI47)+ABS(BK47)+ABS(BM47)+ABS(BO47)+ABS(BQ47)+ABS(BS47)+ABS(BU47)+ABS(BW47)+ABS(BY47)+ABS(CA47)+ABS(CC47)+ABS(CE47)+ABS(CG47)+ABS(CI47)+ABS(CK47)+ABS(CM47)+ABS(CO47)+ABS(CQ47)+ABS(CS47)+ABS(CU47)+ABS(CW47)</f>
        <v>50</v>
      </c>
      <c r="DD47" s="86" t="n">
        <f aca="false">16</f>
        <v>16</v>
      </c>
      <c r="DE47" s="84" t="n">
        <v>1</v>
      </c>
      <c r="DF47" s="43"/>
      <c r="DG47" s="43"/>
      <c r="DH47" s="43"/>
      <c r="DI47" s="43"/>
      <c r="DK47" s="85"/>
      <c r="DR47" s="146" t="n">
        <f aca="false">+VLOOKUP(A47,'NET P&amp;L'!$AH$6:$AK$31,2)</f>
        <v>20</v>
      </c>
    </row>
    <row r="48" customFormat="false" ht="18.75" hidden="false" customHeight="false" outlineLevel="0" collapsed="false">
      <c r="A48" s="147" t="n">
        <f aca="false">'NYISO A'!A48</f>
        <v>37316</v>
      </c>
      <c r="B48" s="119" t="n">
        <f aca="false">+[3]WestHub!$L39/16/DR48</f>
        <v>0</v>
      </c>
      <c r="C48" s="148" t="n">
        <f aca="false">CY48</f>
        <v>0</v>
      </c>
      <c r="D48" s="149" t="n">
        <f aca="false">(IF(MONTH(A48)=MONTH(EOMONTH(TradeDate,1)),$AP$66,0)*VLOOKUP(A48,$DK$12:$DN$43,4))</f>
        <v>0</v>
      </c>
      <c r="E48" s="150" t="n">
        <f aca="false">B48+C48+D48</f>
        <v>0</v>
      </c>
      <c r="F48" s="151" t="n">
        <f aca="false">[3]WestHub!$C39</f>
        <v>32.25</v>
      </c>
      <c r="G48" s="152" t="n">
        <f aca="false">IF($Q$9,Q48,P48)</f>
        <v>1.75</v>
      </c>
      <c r="H48" s="153" t="n">
        <f aca="false">F48+G48</f>
        <v>34</v>
      </c>
      <c r="I48" s="154" t="n">
        <f aca="false">B48*G48*DD48*DR48</f>
        <v>0</v>
      </c>
      <c r="J48" s="155" t="n">
        <f aca="false">+(W48*(H48-X48)+Y48*(H48-Z48)+AA48*(H48-AB48))*DD48*DR48</f>
        <v>0</v>
      </c>
      <c r="K48" s="156" t="n">
        <f aca="false">I48+J48</f>
        <v>0</v>
      </c>
      <c r="L48" s="24"/>
      <c r="M48" s="161" t="n">
        <f aca="false">A48</f>
        <v>37316</v>
      </c>
      <c r="N48" s="328" t="n">
        <v>34</v>
      </c>
      <c r="O48" s="329" t="n">
        <v>34</v>
      </c>
      <c r="P48" s="103" t="n">
        <f aca="false">AVERAGE(N48:O48)-F48</f>
        <v>1.75</v>
      </c>
      <c r="Q48" s="70"/>
      <c r="R48" s="91" t="n">
        <f aca="false">H48</f>
        <v>34</v>
      </c>
      <c r="S48" s="24"/>
      <c r="T48" s="0"/>
      <c r="U48" s="131"/>
      <c r="V48" s="158" t="n">
        <f aca="false">A48</f>
        <v>37316</v>
      </c>
      <c r="W48" s="159"/>
      <c r="X48" s="134"/>
      <c r="Y48" s="159"/>
      <c r="Z48" s="134"/>
      <c r="AA48" s="159"/>
      <c r="AB48" s="134"/>
      <c r="AC48" s="77"/>
      <c r="AD48" s="78"/>
      <c r="AE48" s="77"/>
      <c r="AF48" s="78"/>
      <c r="AG48" s="77"/>
      <c r="AH48" s="78"/>
      <c r="AI48" s="77"/>
      <c r="AJ48" s="78"/>
      <c r="AK48" s="77"/>
      <c r="AL48" s="78"/>
      <c r="AM48" s="77"/>
      <c r="AN48" s="78"/>
      <c r="AO48" s="77"/>
      <c r="AP48" s="78"/>
      <c r="AQ48" s="77"/>
      <c r="AR48" s="78"/>
      <c r="AS48" s="77"/>
      <c r="AT48" s="160"/>
      <c r="AU48" s="94"/>
      <c r="AV48" s="95"/>
      <c r="AW48" s="96"/>
      <c r="AX48" s="75"/>
      <c r="AY48" s="81"/>
      <c r="AZ48" s="75"/>
      <c r="BA48" s="81"/>
      <c r="BB48" s="75"/>
      <c r="BC48" s="81"/>
      <c r="BD48" s="75"/>
      <c r="BE48" s="81"/>
      <c r="BF48" s="75"/>
      <c r="BG48" s="81"/>
      <c r="BH48" s="75"/>
      <c r="BI48" s="81"/>
      <c r="BJ48" s="75"/>
      <c r="BK48" s="81"/>
      <c r="BL48" s="75"/>
      <c r="BM48" s="81"/>
      <c r="BN48" s="75"/>
      <c r="BO48" s="81"/>
      <c r="BP48" s="75"/>
      <c r="BQ48" s="81"/>
      <c r="BR48" s="75"/>
      <c r="BS48" s="81"/>
      <c r="BT48" s="75"/>
      <c r="BU48" s="81"/>
      <c r="BV48" s="75"/>
      <c r="BW48" s="81"/>
      <c r="BX48" s="75"/>
      <c r="BY48" s="81"/>
      <c r="BZ48" s="75"/>
      <c r="CA48" s="81"/>
      <c r="CB48" s="75"/>
      <c r="CC48" s="81"/>
      <c r="CD48" s="75"/>
      <c r="CE48" s="81"/>
      <c r="CF48" s="75"/>
      <c r="CG48" s="81"/>
      <c r="CH48" s="75"/>
      <c r="CI48" s="81"/>
      <c r="CJ48" s="75"/>
      <c r="CK48" s="81"/>
      <c r="CL48" s="75"/>
      <c r="CM48" s="81"/>
      <c r="CN48" s="75"/>
      <c r="CO48" s="81"/>
      <c r="CP48" s="75"/>
      <c r="CQ48" s="81"/>
      <c r="CR48" s="75"/>
      <c r="CS48" s="81"/>
      <c r="CT48" s="75"/>
      <c r="CU48" s="81"/>
      <c r="CV48" s="75"/>
      <c r="CW48" s="81"/>
      <c r="CX48" s="75"/>
      <c r="CY48" s="82" t="n">
        <f aca="false">W48+Y48+AA48+AC48+AE48+AG48+AI48+AK48+AM48+AO48+AQ48+AS48+AU48+AW48+AY48+BA48+BC48+BE48+BG48+BI48+BK48+BM48+BO48+BQ48+BS48+BU48+BW48+BY48+CA48+CC48+CE48+CG48+CI48+CK48+CM48+CO48+CQ48+CS48+CU48+CW48</f>
        <v>0</v>
      </c>
      <c r="CZ48" s="83" t="n">
        <f aca="false">IF(AND(CY48=0,DC48=0),0,(DF48+DG48)/DC48)</f>
        <v>0</v>
      </c>
      <c r="DB48" s="85" t="n">
        <f aca="false">V48</f>
        <v>37316</v>
      </c>
      <c r="DC48" s="84" t="n">
        <f aca="false">ABS(W48)+ABS(Y48)+ABS(AA48)+ABS(AC48)+ABS(AE48)+ABS(AG48)+ABS(AI48)+ABS(AK48)+ABS(AM48)+ABS(AO48)+ABS(AQ48)+ABS(AS48)+ABS(AU48)+ABS(AW48)+ABS(AY48)+ABS(BA48)+ABS(BC48)+ABS(BE48)+ABS(BG48)+ABS(BI48)+ABS(BK48)+ABS(BM48)+ABS(BO48)+ABS(BQ48)+ABS(BS48)+ABS(BU48)+ABS(BW48)+ABS(BY48)+ABS(CA48)+ABS(CC48)+ABS(CE48)+ABS(CG48)+ABS(CI48)+ABS(CK48)+ABS(CM48)+ABS(CO48)+ABS(CQ48)+ABS(CS48)+ABS(CU48)+ABS(CW48)</f>
        <v>0</v>
      </c>
      <c r="DD48" s="86" t="n">
        <f aca="false">16</f>
        <v>16</v>
      </c>
      <c r="DE48" s="84" t="n">
        <v>1</v>
      </c>
      <c r="DF48" s="43"/>
      <c r="DG48" s="43"/>
      <c r="DH48" s="43"/>
      <c r="DI48" s="43"/>
      <c r="DK48" s="85"/>
      <c r="DR48" s="146" t="n">
        <f aca="false">+VLOOKUP(A48,'NET P&amp;L'!$AH$6:$AK$31,2)</f>
        <v>21</v>
      </c>
    </row>
    <row r="49" customFormat="false" ht="18.75" hidden="false" customHeight="false" outlineLevel="0" collapsed="false">
      <c r="A49" s="147" t="n">
        <f aca="false">'NYISO A'!A49</f>
        <v>37347</v>
      </c>
      <c r="B49" s="119" t="n">
        <f aca="false">+[3]WestHub!$L40/16/DR49</f>
        <v>0</v>
      </c>
      <c r="C49" s="148" t="n">
        <f aca="false">CY49</f>
        <v>0</v>
      </c>
      <c r="D49" s="149" t="n">
        <f aca="false">(IF(MONTH(A49)=MONTH(EOMONTH(TradeDate,1)),$AP$66,0)*VLOOKUP(A49,$DK$12:$DN$43,4))</f>
        <v>0</v>
      </c>
      <c r="E49" s="150" t="n">
        <f aca="false">B49+C49+D49</f>
        <v>0</v>
      </c>
      <c r="F49" s="151" t="n">
        <f aca="false">[3]WestHub!$C40</f>
        <v>31.5</v>
      </c>
      <c r="G49" s="152" t="n">
        <f aca="false">IF($Q$9,Q49,P49)</f>
        <v>42.75</v>
      </c>
      <c r="H49" s="153" t="n">
        <f aca="false">F49+G49</f>
        <v>74.25</v>
      </c>
      <c r="I49" s="154" t="n">
        <f aca="false">B49*G49*DD49*DR49</f>
        <v>0</v>
      </c>
      <c r="J49" s="155" t="n">
        <f aca="false">+(W49*(H49-X49)+Y49*(H49-Z49)+AA49*(H49-AB49))*DD49*DR49</f>
        <v>0</v>
      </c>
      <c r="K49" s="156" t="n">
        <f aca="false">I49+J49</f>
        <v>0</v>
      </c>
      <c r="L49" s="24"/>
      <c r="M49" s="161" t="n">
        <f aca="false">A49</f>
        <v>37347</v>
      </c>
      <c r="N49" s="328" t="n">
        <v>71.95</v>
      </c>
      <c r="O49" s="329" t="n">
        <v>76.55</v>
      </c>
      <c r="P49" s="103" t="n">
        <f aca="false">AVERAGE(N49:O49)-F49</f>
        <v>42.75</v>
      </c>
      <c r="Q49" s="70"/>
      <c r="R49" s="91" t="n">
        <f aca="false">H49</f>
        <v>74.25</v>
      </c>
      <c r="S49" s="24"/>
      <c r="T49" s="0"/>
      <c r="U49" s="131"/>
      <c r="V49" s="158" t="n">
        <f aca="false">A49</f>
        <v>37347</v>
      </c>
      <c r="W49" s="159"/>
      <c r="X49" s="134"/>
      <c r="Y49" s="159"/>
      <c r="Z49" s="134"/>
      <c r="AA49" s="159"/>
      <c r="AB49" s="134"/>
      <c r="AC49" s="77"/>
      <c r="AD49" s="78"/>
      <c r="AE49" s="77"/>
      <c r="AF49" s="78"/>
      <c r="AG49" s="77"/>
      <c r="AH49" s="78"/>
      <c r="AI49" s="77"/>
      <c r="AJ49" s="78"/>
      <c r="AK49" s="77"/>
      <c r="AL49" s="78"/>
      <c r="AM49" s="77"/>
      <c r="AN49" s="78"/>
      <c r="AO49" s="77"/>
      <c r="AP49" s="78"/>
      <c r="AQ49" s="77"/>
      <c r="AR49" s="78"/>
      <c r="AS49" s="77"/>
      <c r="AT49" s="160"/>
      <c r="AU49" s="94"/>
      <c r="AV49" s="95"/>
      <c r="AW49" s="96"/>
      <c r="AX49" s="75"/>
      <c r="AY49" s="81"/>
      <c r="AZ49" s="75"/>
      <c r="BA49" s="81"/>
      <c r="BB49" s="75"/>
      <c r="BC49" s="81"/>
      <c r="BD49" s="75"/>
      <c r="BE49" s="81"/>
      <c r="BF49" s="75"/>
      <c r="BG49" s="81"/>
      <c r="BH49" s="75"/>
      <c r="BI49" s="81"/>
      <c r="BJ49" s="75"/>
      <c r="BK49" s="81"/>
      <c r="BL49" s="75"/>
      <c r="BM49" s="81"/>
      <c r="BN49" s="75"/>
      <c r="BO49" s="81"/>
      <c r="BP49" s="75"/>
      <c r="BQ49" s="81"/>
      <c r="BR49" s="75"/>
      <c r="BS49" s="81"/>
      <c r="BT49" s="75"/>
      <c r="BU49" s="81"/>
      <c r="BV49" s="75"/>
      <c r="BW49" s="81"/>
      <c r="BX49" s="75"/>
      <c r="BY49" s="81"/>
      <c r="BZ49" s="75"/>
      <c r="CA49" s="81"/>
      <c r="CB49" s="75"/>
      <c r="CC49" s="81"/>
      <c r="CD49" s="75"/>
      <c r="CE49" s="81"/>
      <c r="CF49" s="75"/>
      <c r="CG49" s="81"/>
      <c r="CH49" s="75"/>
      <c r="CI49" s="81"/>
      <c r="CJ49" s="75"/>
      <c r="CK49" s="81"/>
      <c r="CL49" s="75"/>
      <c r="CM49" s="81"/>
      <c r="CN49" s="75"/>
      <c r="CO49" s="81"/>
      <c r="CP49" s="75"/>
      <c r="CQ49" s="81"/>
      <c r="CR49" s="75"/>
      <c r="CS49" s="81"/>
      <c r="CT49" s="75"/>
      <c r="CU49" s="81"/>
      <c r="CV49" s="75"/>
      <c r="CW49" s="81"/>
      <c r="CX49" s="75"/>
      <c r="CY49" s="82" t="n">
        <f aca="false">W49+Y49+AA49+AC49+AE49+AG49+AI49+AK49+AM49+AO49+AQ49+AS49+AU49+AW49+AY49+BA49+BC49+BE49+BG49+BI49+BK49+BM49+BO49+BQ49+BS49+BU49+BW49+BY49+CA49+CC49+CE49+CG49+CI49+CK49+CM49+CO49+CQ49+CS49+CU49+CW49</f>
        <v>0</v>
      </c>
      <c r="CZ49" s="83" t="n">
        <f aca="false">IF(AND(CY49=0,DC49=0),0,(DF49+DG49)/DC49)</f>
        <v>0</v>
      </c>
      <c r="DB49" s="85" t="n">
        <f aca="false">V49</f>
        <v>37347</v>
      </c>
      <c r="DC49" s="84" t="n">
        <f aca="false">ABS(W49)+ABS(Y49)+ABS(AA49)+ABS(AC49)+ABS(AE49)+ABS(AG49)+ABS(AI49)+ABS(AK49)+ABS(AM49)+ABS(AO49)+ABS(AQ49)+ABS(AS49)+ABS(AU49)+ABS(AW49)+ABS(AY49)+ABS(BA49)+ABS(BC49)+ABS(BE49)+ABS(BG49)+ABS(BI49)+ABS(BK49)+ABS(BM49)+ABS(BO49)+ABS(BQ49)+ABS(BS49)+ABS(BU49)+ABS(BW49)+ABS(BY49)+ABS(CA49)+ABS(CC49)+ABS(CE49)+ABS(CG49)+ABS(CI49)+ABS(CK49)+ABS(CM49)+ABS(CO49)+ABS(CQ49)+ABS(CS49)+ABS(CU49)+ABS(CW49)</f>
        <v>0</v>
      </c>
      <c r="DD49" s="86" t="n">
        <f aca="false">16</f>
        <v>16</v>
      </c>
      <c r="DE49" s="84" t="n">
        <v>1</v>
      </c>
      <c r="DF49" s="43"/>
      <c r="DG49" s="43"/>
      <c r="DH49" s="43"/>
      <c r="DI49" s="43"/>
      <c r="DK49" s="85"/>
      <c r="DR49" s="146" t="n">
        <f aca="false">+VLOOKUP(A49,'NET P&amp;L'!$AH$6:$AK$31,2)</f>
        <v>22</v>
      </c>
    </row>
    <row r="50" customFormat="false" ht="18.75" hidden="false" customHeight="false" outlineLevel="0" collapsed="false">
      <c r="A50" s="147" t="n">
        <f aca="false">'NYISO A'!A50</f>
        <v>37377</v>
      </c>
      <c r="B50" s="119" t="n">
        <f aca="false">+[3]WestHub!$L41/16/DR50</f>
        <v>-97.2336758700284</v>
      </c>
      <c r="C50" s="148" t="n">
        <f aca="false">CY50</f>
        <v>0</v>
      </c>
      <c r="D50" s="149" t="n">
        <f aca="false">(IF(MONTH(A50)=MONTH(EOMONTH(TradeDate,1)),$AP$66,0)*VLOOKUP(A50,$DK$12:$DN$43,4))</f>
        <v>0</v>
      </c>
      <c r="E50" s="150" t="n">
        <f aca="false">B50+C50+D50</f>
        <v>-97.2336758700284</v>
      </c>
      <c r="F50" s="151" t="n">
        <f aca="false">[3]WestHub!$C41</f>
        <v>33.5</v>
      </c>
      <c r="G50" s="152" t="n">
        <f aca="false">IF($Q$9,Q50,P50)</f>
        <v>0.5</v>
      </c>
      <c r="H50" s="153" t="n">
        <f aca="false">F50+G50</f>
        <v>34</v>
      </c>
      <c r="I50" s="154" t="n">
        <f aca="false">B50*G50*DD50*DR50</f>
        <v>-17113.126953125</v>
      </c>
      <c r="J50" s="155" t="n">
        <f aca="false">+(W50*(H50-X50)+Y50*(H50-Z50)+AA50*(H50-AB50))*DD50*DR50</f>
        <v>0</v>
      </c>
      <c r="K50" s="156" t="n">
        <f aca="false">I50+J50</f>
        <v>-17113.126953125</v>
      </c>
      <c r="L50" s="24"/>
      <c r="M50" s="161" t="n">
        <f aca="false">A50</f>
        <v>37377</v>
      </c>
      <c r="N50" s="328" t="n">
        <v>34</v>
      </c>
      <c r="O50" s="329" t="n">
        <v>34</v>
      </c>
      <c r="P50" s="103" t="n">
        <f aca="false">AVERAGE(N50:O50)-F50</f>
        <v>0.5</v>
      </c>
      <c r="Q50" s="70"/>
      <c r="R50" s="91" t="n">
        <f aca="false">H50</f>
        <v>34</v>
      </c>
      <c r="S50" s="24"/>
      <c r="T50" s="0"/>
      <c r="U50" s="131"/>
      <c r="V50" s="158" t="n">
        <f aca="false">A50</f>
        <v>37377</v>
      </c>
      <c r="W50" s="159"/>
      <c r="X50" s="134"/>
      <c r="Y50" s="159"/>
      <c r="Z50" s="134"/>
      <c r="AA50" s="159"/>
      <c r="AB50" s="134"/>
      <c r="AC50" s="77"/>
      <c r="AD50" s="78"/>
      <c r="AE50" s="77"/>
      <c r="AF50" s="78"/>
      <c r="AG50" s="77"/>
      <c r="AH50" s="78"/>
      <c r="AI50" s="77"/>
      <c r="AJ50" s="78"/>
      <c r="AK50" s="77"/>
      <c r="AL50" s="78"/>
      <c r="AM50" s="77"/>
      <c r="AN50" s="78"/>
      <c r="AO50" s="77"/>
      <c r="AP50" s="78"/>
      <c r="AQ50" s="77"/>
      <c r="AR50" s="78"/>
      <c r="AS50" s="77"/>
      <c r="AT50" s="160"/>
      <c r="AU50" s="94"/>
      <c r="AV50" s="95"/>
      <c r="AW50" s="96"/>
      <c r="AX50" s="75"/>
      <c r="AY50" s="81"/>
      <c r="AZ50" s="75"/>
      <c r="BA50" s="81"/>
      <c r="BB50" s="75"/>
      <c r="BC50" s="81"/>
      <c r="BD50" s="75"/>
      <c r="BE50" s="81"/>
      <c r="BF50" s="75"/>
      <c r="BG50" s="81"/>
      <c r="BH50" s="75"/>
      <c r="BI50" s="81"/>
      <c r="BJ50" s="75"/>
      <c r="BK50" s="81"/>
      <c r="BL50" s="75"/>
      <c r="BM50" s="81"/>
      <c r="BN50" s="75"/>
      <c r="BO50" s="81"/>
      <c r="BP50" s="75"/>
      <c r="BQ50" s="81"/>
      <c r="BR50" s="75"/>
      <c r="BS50" s="81"/>
      <c r="BT50" s="75"/>
      <c r="BU50" s="81"/>
      <c r="BV50" s="75"/>
      <c r="BW50" s="81"/>
      <c r="BX50" s="75"/>
      <c r="BY50" s="81"/>
      <c r="BZ50" s="75"/>
      <c r="CA50" s="81"/>
      <c r="CB50" s="75"/>
      <c r="CC50" s="81"/>
      <c r="CD50" s="75"/>
      <c r="CE50" s="81"/>
      <c r="CF50" s="75"/>
      <c r="CG50" s="81"/>
      <c r="CH50" s="75"/>
      <c r="CI50" s="81"/>
      <c r="CJ50" s="75"/>
      <c r="CK50" s="81"/>
      <c r="CL50" s="75"/>
      <c r="CM50" s="81"/>
      <c r="CN50" s="75"/>
      <c r="CO50" s="81"/>
      <c r="CP50" s="75"/>
      <c r="CQ50" s="81"/>
      <c r="CR50" s="75"/>
      <c r="CS50" s="81"/>
      <c r="CT50" s="75"/>
      <c r="CU50" s="81"/>
      <c r="CV50" s="75"/>
      <c r="CW50" s="81"/>
      <c r="CX50" s="75"/>
      <c r="CY50" s="82" t="n">
        <f aca="false">W50+Y50+AA50+AC50+AE50+AG50+AI50+AK50+AM50+AO50+AQ50+AS50+AU50+AW50+AY50+BA50+BC50+BE50+BG50+BI50+BK50+BM50+BO50+BQ50+BS50+BU50+BW50+BY50+CA50+CC50+CE50+CG50+CI50+CK50+CM50+CO50+CQ50+CS50+CU50+CW50</f>
        <v>0</v>
      </c>
      <c r="CZ50" s="83" t="n">
        <f aca="false">IF(AND(CY50=0,DC50=0),0,(DF50+DG50)/DC50)</f>
        <v>0</v>
      </c>
      <c r="DB50" s="85" t="n">
        <f aca="false">V50</f>
        <v>37377</v>
      </c>
      <c r="DC50" s="84" t="n">
        <f aca="false">ABS(W50)+ABS(Y50)+ABS(AA50)+ABS(AC50)+ABS(AE50)+ABS(AG50)+ABS(AI50)+ABS(AK50)+ABS(AM50)+ABS(AO50)+ABS(AQ50)+ABS(AS50)+ABS(AU50)+ABS(AW50)+ABS(AY50)+ABS(BA50)+ABS(BC50)+ABS(BE50)+ABS(BG50)+ABS(BI50)+ABS(BK50)+ABS(BM50)+ABS(BO50)+ABS(BQ50)+ABS(BS50)+ABS(BU50)+ABS(BW50)+ABS(BY50)+ABS(CA50)+ABS(CC50)+ABS(CE50)+ABS(CG50)+ABS(CI50)+ABS(CK50)+ABS(CM50)+ABS(CO50)+ABS(CQ50)+ABS(CS50)+ABS(CU50)+ABS(CW50)</f>
        <v>0</v>
      </c>
      <c r="DD50" s="86" t="n">
        <f aca="false">16</f>
        <v>16</v>
      </c>
      <c r="DE50" s="84" t="n">
        <v>1</v>
      </c>
      <c r="DF50" s="43"/>
      <c r="DG50" s="43"/>
      <c r="DH50" s="43"/>
      <c r="DI50" s="43"/>
      <c r="DK50" s="85"/>
      <c r="DR50" s="146" t="n">
        <f aca="false">+VLOOKUP(A50,'NET P&amp;L'!$AH$6:$AK$31,2)</f>
        <v>22</v>
      </c>
    </row>
    <row r="51" customFormat="false" ht="18.75" hidden="false" customHeight="false" outlineLevel="0" collapsed="false">
      <c r="A51" s="147" t="n">
        <f aca="false">'NYISO A'!A51</f>
        <v>37408</v>
      </c>
      <c r="B51" s="119" t="n">
        <f aca="false">+[3]WestHub!$L42/16/DR51</f>
        <v>-48.4691436767578</v>
      </c>
      <c r="C51" s="148" t="n">
        <f aca="false">CY51</f>
        <v>0</v>
      </c>
      <c r="D51" s="149" t="n">
        <f aca="false">(IF(MONTH(A51)=MONTH(EOMONTH(TradeDate,1)),$AP$66,0)*VLOOKUP(A51,$DK$12:$DN$43,4))</f>
        <v>0</v>
      </c>
      <c r="E51" s="150" t="n">
        <f aca="false">B51+C51+D51</f>
        <v>-48.4691436767578</v>
      </c>
      <c r="F51" s="151" t="n">
        <f aca="false">[3]WestHub!$C42</f>
        <v>44.25</v>
      </c>
      <c r="G51" s="152" t="n">
        <f aca="false">IF($Q$9,Q51,P51)</f>
        <v>0</v>
      </c>
      <c r="H51" s="153" t="n">
        <f aca="false">F51+G51</f>
        <v>44.25</v>
      </c>
      <c r="I51" s="154" t="n">
        <f aca="false">B51*G51*DD51*DR51</f>
        <v>-0</v>
      </c>
      <c r="J51" s="155" t="n">
        <f aca="false">+(W51*(H51-X51)+Y51*(H51-Z51)+AA51*(H51-AB51))*DD51*DR51</f>
        <v>0</v>
      </c>
      <c r="K51" s="156" t="n">
        <f aca="false">I51+J51</f>
        <v>0</v>
      </c>
      <c r="L51" s="24"/>
      <c r="M51" s="161" t="n">
        <f aca="false">A51</f>
        <v>37408</v>
      </c>
      <c r="N51" s="328" t="n">
        <v>44.25</v>
      </c>
      <c r="O51" s="329" t="n">
        <v>44.25</v>
      </c>
      <c r="P51" s="103" t="n">
        <f aca="false">AVERAGE(N51:O51)-F51</f>
        <v>0</v>
      </c>
      <c r="Q51" s="70"/>
      <c r="R51" s="91" t="n">
        <f aca="false">H51</f>
        <v>44.25</v>
      </c>
      <c r="S51" s="24"/>
      <c r="T51" s="0"/>
      <c r="U51" s="131"/>
      <c r="V51" s="158" t="n">
        <f aca="false">A51</f>
        <v>37408</v>
      </c>
      <c r="W51" s="159"/>
      <c r="X51" s="134"/>
      <c r="Y51" s="159"/>
      <c r="Z51" s="134"/>
      <c r="AA51" s="159"/>
      <c r="AB51" s="134"/>
      <c r="AC51" s="77"/>
      <c r="AD51" s="78"/>
      <c r="AE51" s="77"/>
      <c r="AF51" s="78"/>
      <c r="AG51" s="77"/>
      <c r="AH51" s="78"/>
      <c r="AI51" s="77"/>
      <c r="AJ51" s="78"/>
      <c r="AK51" s="77"/>
      <c r="AL51" s="78"/>
      <c r="AM51" s="77"/>
      <c r="AN51" s="78"/>
      <c r="AO51" s="77"/>
      <c r="AP51" s="78"/>
      <c r="AQ51" s="77"/>
      <c r="AR51" s="78"/>
      <c r="AS51" s="77"/>
      <c r="AT51" s="160"/>
      <c r="AU51" s="94"/>
      <c r="AV51" s="95"/>
      <c r="AW51" s="96"/>
      <c r="AX51" s="75"/>
      <c r="AY51" s="81"/>
      <c r="AZ51" s="75"/>
      <c r="BA51" s="81"/>
      <c r="BB51" s="75"/>
      <c r="BC51" s="81"/>
      <c r="BD51" s="75"/>
      <c r="BE51" s="81"/>
      <c r="BF51" s="75"/>
      <c r="BG51" s="81"/>
      <c r="BH51" s="75"/>
      <c r="BI51" s="81"/>
      <c r="BJ51" s="75"/>
      <c r="BK51" s="81"/>
      <c r="BL51" s="75"/>
      <c r="BM51" s="81"/>
      <c r="BN51" s="75"/>
      <c r="BO51" s="81"/>
      <c r="BP51" s="75"/>
      <c r="BQ51" s="81"/>
      <c r="BR51" s="75"/>
      <c r="BS51" s="81"/>
      <c r="BT51" s="75"/>
      <c r="BU51" s="81"/>
      <c r="BV51" s="75"/>
      <c r="BW51" s="81"/>
      <c r="BX51" s="75"/>
      <c r="BY51" s="81"/>
      <c r="BZ51" s="75"/>
      <c r="CA51" s="81"/>
      <c r="CB51" s="75"/>
      <c r="CC51" s="81"/>
      <c r="CD51" s="75"/>
      <c r="CE51" s="81"/>
      <c r="CF51" s="75"/>
      <c r="CG51" s="81"/>
      <c r="CH51" s="75"/>
      <c r="CI51" s="81"/>
      <c r="CJ51" s="75"/>
      <c r="CK51" s="81"/>
      <c r="CL51" s="75"/>
      <c r="CM51" s="81"/>
      <c r="CN51" s="75"/>
      <c r="CO51" s="81"/>
      <c r="CP51" s="75"/>
      <c r="CQ51" s="81"/>
      <c r="CR51" s="75"/>
      <c r="CS51" s="81"/>
      <c r="CT51" s="75"/>
      <c r="CU51" s="81"/>
      <c r="CV51" s="75"/>
      <c r="CW51" s="81"/>
      <c r="CX51" s="75"/>
      <c r="CY51" s="82" t="n">
        <f aca="false">W51+Y51+AA51+AC51+AE51+AG51+AI51+AK51+AM51+AO51+AQ51+AS51+AU51+AW51+AY51+BA51+BC51+BE51+BG51+BI51+BK51+BM51+BO51+BQ51+BS51+BU51+BW51+BY51+CA51+CC51+CE51+CG51+CI51+CK51+CM51+CO51+CQ51+CS51+CU51+CW51</f>
        <v>0</v>
      </c>
      <c r="CZ51" s="83" t="n">
        <f aca="false">IF(AND(CY51=0,DC51=0),0,(DF51+DG51)/DC51)</f>
        <v>0</v>
      </c>
      <c r="DB51" s="85" t="n">
        <f aca="false">V51</f>
        <v>37408</v>
      </c>
      <c r="DC51" s="84" t="n">
        <f aca="false">ABS(W51)+ABS(Y51)+ABS(AA51)+ABS(AC51)+ABS(AE51)+ABS(AG51)+ABS(AI51)+ABS(AK51)+ABS(AM51)+ABS(AO51)+ABS(AQ51)+ABS(AS51)+ABS(AU51)+ABS(AW51)+ABS(AY51)+ABS(BA51)+ABS(BC51)+ABS(BE51)+ABS(BG51)+ABS(BI51)+ABS(BK51)+ABS(BM51)+ABS(BO51)+ABS(BQ51)+ABS(BS51)+ABS(BU51)+ABS(BW51)+ABS(BY51)+ABS(CA51)+ABS(CC51)+ABS(CE51)+ABS(CG51)+ABS(CI51)+ABS(CK51)+ABS(CM51)+ABS(CO51)+ABS(CQ51)+ABS(CS51)+ABS(CU51)+ABS(CW51)</f>
        <v>0</v>
      </c>
      <c r="DD51" s="86" t="n">
        <f aca="false">16</f>
        <v>16</v>
      </c>
      <c r="DE51" s="84" t="n">
        <v>1</v>
      </c>
      <c r="DF51" s="43"/>
      <c r="DG51" s="43"/>
      <c r="DH51" s="43"/>
      <c r="DI51" s="43"/>
      <c r="DK51" s="85"/>
      <c r="DR51" s="146" t="n">
        <f aca="false">+VLOOKUP(A51,'NET P&amp;L'!$AH$6:$AK$31,2)</f>
        <v>20</v>
      </c>
    </row>
    <row r="52" customFormat="false" ht="18.75" hidden="false" customHeight="false" outlineLevel="0" collapsed="false">
      <c r="A52" s="147" t="n">
        <f aca="false">'NYISO A'!A52</f>
        <v>37438</v>
      </c>
      <c r="B52" s="119" t="n">
        <f aca="false">+[3]WestHub!$L43/16/DR52</f>
        <v>-241.56660600142</v>
      </c>
      <c r="C52" s="148" t="n">
        <f aca="false">CY52</f>
        <v>0</v>
      </c>
      <c r="D52" s="149" t="n">
        <f aca="false">(IF(MONTH(A52)=MONTH(EOMONTH(TradeDate,1)),$AP$66,0)*VLOOKUP(A52,$DK$12:$DN$43,4))</f>
        <v>0</v>
      </c>
      <c r="E52" s="150" t="n">
        <f aca="false">B52+C52+D52</f>
        <v>-241.56660600142</v>
      </c>
      <c r="F52" s="151" t="n">
        <f aca="false">[3]WestHub!$C43</f>
        <v>59.75</v>
      </c>
      <c r="G52" s="152" t="n">
        <f aca="false">IF($Q$9,Q52,P52)</f>
        <v>0.75</v>
      </c>
      <c r="H52" s="153" t="n">
        <f aca="false">F52+G52</f>
        <v>60.5</v>
      </c>
      <c r="I52" s="154" t="n">
        <f aca="false">B52*G52*DD52*DR52</f>
        <v>-63773.583984375</v>
      </c>
      <c r="J52" s="155" t="n">
        <f aca="false">+(W52*(H52-X52)+Y52*(H52-Z52)+AA52*(H52-AB52))*DD52*DR52</f>
        <v>0</v>
      </c>
      <c r="K52" s="156" t="n">
        <f aca="false">I52+J52</f>
        <v>-63773.583984375</v>
      </c>
      <c r="L52" s="24"/>
      <c r="M52" s="161" t="n">
        <f aca="false">A52</f>
        <v>37438</v>
      </c>
      <c r="N52" s="328" t="n">
        <v>60.5</v>
      </c>
      <c r="O52" s="329" t="n">
        <v>60.5</v>
      </c>
      <c r="P52" s="103" t="n">
        <f aca="false">AVERAGE(N52:O52)-F52</f>
        <v>0.75</v>
      </c>
      <c r="Q52" s="70"/>
      <c r="R52" s="91" t="n">
        <f aca="false">H52</f>
        <v>60.5</v>
      </c>
      <c r="S52" s="24"/>
      <c r="T52" s="0"/>
      <c r="U52" s="131"/>
      <c r="V52" s="158" t="n">
        <f aca="false">A52</f>
        <v>37438</v>
      </c>
      <c r="W52" s="159"/>
      <c r="X52" s="134"/>
      <c r="Y52" s="159"/>
      <c r="Z52" s="134"/>
      <c r="AA52" s="159"/>
      <c r="AB52" s="134"/>
      <c r="AC52" s="77"/>
      <c r="AD52" s="78"/>
      <c r="AE52" s="77"/>
      <c r="AF52" s="78"/>
      <c r="AG52" s="77"/>
      <c r="AH52" s="78"/>
      <c r="AI52" s="77"/>
      <c r="AJ52" s="78"/>
      <c r="AK52" s="77"/>
      <c r="AL52" s="78"/>
      <c r="AM52" s="77"/>
      <c r="AN52" s="78"/>
      <c r="AO52" s="77"/>
      <c r="AP52" s="78"/>
      <c r="AQ52" s="77"/>
      <c r="AR52" s="78"/>
      <c r="AS52" s="77"/>
      <c r="AT52" s="160"/>
      <c r="AU52" s="94"/>
      <c r="AV52" s="95"/>
      <c r="AW52" s="96"/>
      <c r="AX52" s="75"/>
      <c r="AY52" s="81"/>
      <c r="AZ52" s="75"/>
      <c r="BA52" s="81"/>
      <c r="BB52" s="75"/>
      <c r="BC52" s="81"/>
      <c r="BD52" s="75"/>
      <c r="BE52" s="81"/>
      <c r="BF52" s="75"/>
      <c r="BG52" s="81"/>
      <c r="BH52" s="75"/>
      <c r="BI52" s="81"/>
      <c r="BJ52" s="75"/>
      <c r="BK52" s="81"/>
      <c r="BL52" s="75"/>
      <c r="BM52" s="81"/>
      <c r="BN52" s="75"/>
      <c r="BO52" s="81"/>
      <c r="BP52" s="75"/>
      <c r="BQ52" s="81"/>
      <c r="BR52" s="75"/>
      <c r="BS52" s="81"/>
      <c r="BT52" s="75"/>
      <c r="BU52" s="81"/>
      <c r="BV52" s="75"/>
      <c r="BW52" s="81"/>
      <c r="BX52" s="75"/>
      <c r="BY52" s="81"/>
      <c r="BZ52" s="75"/>
      <c r="CA52" s="81"/>
      <c r="CB52" s="75"/>
      <c r="CC52" s="81"/>
      <c r="CD52" s="75"/>
      <c r="CE52" s="81"/>
      <c r="CF52" s="75"/>
      <c r="CG52" s="81"/>
      <c r="CH52" s="75"/>
      <c r="CI52" s="81"/>
      <c r="CJ52" s="75"/>
      <c r="CK52" s="81"/>
      <c r="CL52" s="75"/>
      <c r="CM52" s="81"/>
      <c r="CN52" s="75"/>
      <c r="CO52" s="81"/>
      <c r="CP52" s="75"/>
      <c r="CQ52" s="81"/>
      <c r="CR52" s="75"/>
      <c r="CS52" s="81"/>
      <c r="CT52" s="75"/>
      <c r="CU52" s="81"/>
      <c r="CV52" s="75"/>
      <c r="CW52" s="81"/>
      <c r="CX52" s="75"/>
      <c r="CY52" s="82" t="n">
        <f aca="false">W52+Y52+AA52+AC52+AE52+AG52+AI52+AK52+AM52+AO52+AQ52+AS52+AU52+AW52+AY52+BA52+BC52+BE52+BG52+BI52+BK52+BM52+BO52+BQ52+BS52+BU52+BW52+BY52+CA52+CC52+CE52+CG52+CI52+CK52+CM52+CO52+CQ52+CS52+CU52+CW52</f>
        <v>0</v>
      </c>
      <c r="CZ52" s="83" t="n">
        <f aca="false">IF(AND(CY52=0,DC52=0),0,(DF52+DG52)/DC52)</f>
        <v>0</v>
      </c>
      <c r="DB52" s="85" t="n">
        <f aca="false">V52</f>
        <v>37438</v>
      </c>
      <c r="DC52" s="84" t="n">
        <f aca="false">ABS(W52)+ABS(Y52)+ABS(AA52)+ABS(AC52)+ABS(AE52)+ABS(AG52)+ABS(AI52)+ABS(AK52)+ABS(AM52)+ABS(AO52)+ABS(AQ52)+ABS(AS52)+ABS(AU52)+ABS(AW52)+ABS(AY52)+ABS(BA52)+ABS(BC52)+ABS(BE52)+ABS(BG52)+ABS(BI52)+ABS(BK52)+ABS(BM52)+ABS(BO52)+ABS(BQ52)+ABS(BS52)+ABS(BU52)+ABS(BW52)+ABS(BY52)+ABS(CA52)+ABS(CC52)+ABS(CE52)+ABS(CG52)+ABS(CI52)+ABS(CK52)+ABS(CM52)+ABS(CO52)+ABS(CQ52)+ABS(CS52)+ABS(CU52)+ABS(CW52)</f>
        <v>0</v>
      </c>
      <c r="DD52" s="86" t="n">
        <f aca="false">16</f>
        <v>16</v>
      </c>
      <c r="DE52" s="84" t="n">
        <v>1</v>
      </c>
      <c r="DF52" s="43"/>
      <c r="DG52" s="43"/>
      <c r="DH52" s="43"/>
      <c r="DI52" s="43"/>
      <c r="DK52" s="85"/>
      <c r="DR52" s="146" t="n">
        <f aca="false">+VLOOKUP(A52,'NET P&amp;L'!$AH$6:$AK$31,2)</f>
        <v>22</v>
      </c>
    </row>
    <row r="53" customFormat="false" ht="18.75" hidden="false" customHeight="false" outlineLevel="0" collapsed="false">
      <c r="A53" s="147" t="n">
        <f aca="false">'NYISO A'!A53</f>
        <v>37469</v>
      </c>
      <c r="B53" s="119" t="n">
        <f aca="false">+[3]WestHub!$L44/16/DR53</f>
        <v>-240.770751953125</v>
      </c>
      <c r="C53" s="148" t="n">
        <f aca="false">CY53</f>
        <v>0</v>
      </c>
      <c r="D53" s="149" t="n">
        <f aca="false">(IF(MONTH(A53)=MONTH(EOMONTH(TradeDate,1)),$AP$66,0)*VLOOKUP(A53,$DK$12:$DN$43,4))</f>
        <v>0</v>
      </c>
      <c r="E53" s="150" t="n">
        <f aca="false">B53+C53+D53</f>
        <v>-240.770751953125</v>
      </c>
      <c r="F53" s="151" t="n">
        <f aca="false">[3]WestHub!$C44</f>
        <v>59.75</v>
      </c>
      <c r="G53" s="152" t="n">
        <f aca="false">IF($Q$9,Q53,P53)</f>
        <v>0.75</v>
      </c>
      <c r="H53" s="153" t="n">
        <f aca="false">F53+G53</f>
        <v>60.5</v>
      </c>
      <c r="I53" s="154" t="n">
        <f aca="false">B53*G53*DD53*DR53</f>
        <v>-63563.478515625</v>
      </c>
      <c r="J53" s="155" t="n">
        <f aca="false">+(W53*(H53-X53)+Y53*(H53-Z53)+AA53*(H53-AB53))*DD53*DR53</f>
        <v>0</v>
      </c>
      <c r="K53" s="156" t="n">
        <f aca="false">I53+J53</f>
        <v>-63563.478515625</v>
      </c>
      <c r="L53" s="24"/>
      <c r="M53" s="161" t="n">
        <f aca="false">A53</f>
        <v>37469</v>
      </c>
      <c r="N53" s="328" t="n">
        <v>60.5</v>
      </c>
      <c r="O53" s="329" t="n">
        <v>60.5</v>
      </c>
      <c r="P53" s="103" t="n">
        <f aca="false">AVERAGE(N53:O53)-F53</f>
        <v>0.75</v>
      </c>
      <c r="Q53" s="70"/>
      <c r="R53" s="91" t="n">
        <f aca="false">H53</f>
        <v>60.5</v>
      </c>
      <c r="S53" s="24"/>
      <c r="T53" s="0"/>
      <c r="U53" s="131"/>
      <c r="V53" s="158" t="n">
        <f aca="false">A53</f>
        <v>37469</v>
      </c>
      <c r="W53" s="159"/>
      <c r="X53" s="134"/>
      <c r="Y53" s="159"/>
      <c r="Z53" s="134"/>
      <c r="AA53" s="159"/>
      <c r="AB53" s="134"/>
      <c r="AC53" s="77"/>
      <c r="AD53" s="78"/>
      <c r="AE53" s="77"/>
      <c r="AF53" s="78"/>
      <c r="AG53" s="77"/>
      <c r="AH53" s="78"/>
      <c r="AI53" s="77"/>
      <c r="AJ53" s="78"/>
      <c r="AK53" s="77"/>
      <c r="AL53" s="78"/>
      <c r="AM53" s="77"/>
      <c r="AN53" s="78"/>
      <c r="AO53" s="77"/>
      <c r="AP53" s="78"/>
      <c r="AQ53" s="77"/>
      <c r="AR53" s="78"/>
      <c r="AS53" s="77"/>
      <c r="AT53" s="160"/>
      <c r="AU53" s="94"/>
      <c r="AV53" s="95"/>
      <c r="AW53" s="96"/>
      <c r="AX53" s="75"/>
      <c r="AY53" s="81"/>
      <c r="AZ53" s="75"/>
      <c r="BA53" s="81"/>
      <c r="BB53" s="75"/>
      <c r="BC53" s="81"/>
      <c r="BD53" s="75"/>
      <c r="BE53" s="81"/>
      <c r="BF53" s="75"/>
      <c r="BG53" s="81"/>
      <c r="BH53" s="75"/>
      <c r="BI53" s="81"/>
      <c r="BJ53" s="75"/>
      <c r="BK53" s="81"/>
      <c r="BL53" s="75"/>
      <c r="BM53" s="81"/>
      <c r="BN53" s="75"/>
      <c r="BO53" s="81"/>
      <c r="BP53" s="75"/>
      <c r="BQ53" s="81"/>
      <c r="BR53" s="75"/>
      <c r="BS53" s="81"/>
      <c r="BT53" s="75"/>
      <c r="BU53" s="81"/>
      <c r="BV53" s="75"/>
      <c r="BW53" s="81"/>
      <c r="BX53" s="75"/>
      <c r="BY53" s="81"/>
      <c r="BZ53" s="75"/>
      <c r="CA53" s="81"/>
      <c r="CB53" s="75"/>
      <c r="CC53" s="81"/>
      <c r="CD53" s="75"/>
      <c r="CE53" s="81"/>
      <c r="CF53" s="75"/>
      <c r="CG53" s="81"/>
      <c r="CH53" s="75"/>
      <c r="CI53" s="81"/>
      <c r="CJ53" s="75"/>
      <c r="CK53" s="81"/>
      <c r="CL53" s="75"/>
      <c r="CM53" s="81"/>
      <c r="CN53" s="75"/>
      <c r="CO53" s="81"/>
      <c r="CP53" s="75"/>
      <c r="CQ53" s="81"/>
      <c r="CR53" s="75"/>
      <c r="CS53" s="81"/>
      <c r="CT53" s="75"/>
      <c r="CU53" s="81"/>
      <c r="CV53" s="75"/>
      <c r="CW53" s="81"/>
      <c r="CX53" s="75"/>
      <c r="CY53" s="82" t="n">
        <f aca="false">W53+Y53+AA53+AC53+AE53+AG53+AI53+AK53+AM53+AO53+AQ53+AS53+AU53+AW53+AY53+BA53+BC53+BE53+BG53+BI53+BK53+BM53+BO53+BQ53+BS53+BU53+BW53+BY53+CA53+CC53+CE53+CG53+CI53+CK53+CM53+CO53+CQ53+CS53+CU53+CW53</f>
        <v>0</v>
      </c>
      <c r="CZ53" s="83" t="n">
        <f aca="false">IF(AND(CY53=0,DC53=0),0,(DF53+DG53)/DC53)</f>
        <v>0</v>
      </c>
      <c r="DB53" s="85" t="n">
        <f aca="false">V53</f>
        <v>37469</v>
      </c>
      <c r="DC53" s="84" t="n">
        <f aca="false">ABS(W53)+ABS(Y53)+ABS(AA53)+ABS(AC53)+ABS(AE53)+ABS(AG53)+ABS(AI53)+ABS(AK53)+ABS(AM53)+ABS(AO53)+ABS(AQ53)+ABS(AS53)+ABS(AU53)+ABS(AW53)+ABS(AY53)+ABS(BA53)+ABS(BC53)+ABS(BE53)+ABS(BG53)+ABS(BI53)+ABS(BK53)+ABS(BM53)+ABS(BO53)+ABS(BQ53)+ABS(BS53)+ABS(BU53)+ABS(BW53)+ABS(BY53)+ABS(CA53)+ABS(CC53)+ABS(CE53)+ABS(CG53)+ABS(CI53)+ABS(CK53)+ABS(CM53)+ABS(CO53)+ABS(CQ53)+ABS(CS53)+ABS(CU53)+ABS(CW53)</f>
        <v>0</v>
      </c>
      <c r="DD53" s="86" t="n">
        <f aca="false">16</f>
        <v>16</v>
      </c>
      <c r="DE53" s="84" t="n">
        <v>1</v>
      </c>
      <c r="DF53" s="43"/>
      <c r="DG53" s="43"/>
      <c r="DH53" s="43"/>
      <c r="DI53" s="43"/>
      <c r="DK53" s="85"/>
      <c r="DR53" s="146" t="n">
        <f aca="false">+VLOOKUP(A53,'NET P&amp;L'!$AH$6:$AK$31,2)</f>
        <v>22</v>
      </c>
    </row>
    <row r="54" customFormat="false" ht="18.75" hidden="false" customHeight="false" outlineLevel="0" collapsed="false">
      <c r="A54" s="147" t="n">
        <f aca="false">'NYISO A'!A54</f>
        <v>37500</v>
      </c>
      <c r="B54" s="119" t="n">
        <f aca="false">+[3]WestHub!$L45/16/DR54</f>
        <v>0</v>
      </c>
      <c r="C54" s="148" t="n">
        <f aca="false">CY54</f>
        <v>0</v>
      </c>
      <c r="D54" s="149" t="n">
        <f aca="false">(IF(MONTH(A54)=MONTH(EOMONTH(TradeDate,1)),$AP$66,0)*VLOOKUP(A54,$DK$12:$DN$43,4))</f>
        <v>0</v>
      </c>
      <c r="E54" s="150" t="n">
        <f aca="false">B54+C54+D54</f>
        <v>0</v>
      </c>
      <c r="F54" s="151" t="n">
        <f aca="false">[3]WestHub!$C45</f>
        <v>31.5</v>
      </c>
      <c r="G54" s="152" t="n">
        <f aca="false">IF($Q$9,Q54,P54)</f>
        <v>26.5</v>
      </c>
      <c r="H54" s="153" t="n">
        <f aca="false">F54+G54</f>
        <v>58</v>
      </c>
      <c r="I54" s="154" t="n">
        <f aca="false">B54*G54*DD54*DR54</f>
        <v>0</v>
      </c>
      <c r="J54" s="155" t="n">
        <f aca="false">+(W54*(H54-X54)+Y54*(H54-Z54)+AA54*(H54-AB54))*DD54*DR54</f>
        <v>0</v>
      </c>
      <c r="K54" s="156" t="n">
        <f aca="false">I54+J54</f>
        <v>0</v>
      </c>
      <c r="L54" s="24"/>
      <c r="M54" s="161" t="n">
        <f aca="false">A54</f>
        <v>37500</v>
      </c>
      <c r="N54" s="328" t="n">
        <v>58</v>
      </c>
      <c r="O54" s="329" t="n">
        <v>58</v>
      </c>
      <c r="P54" s="103" t="n">
        <f aca="false">AVERAGE(N54:O54)-F54</f>
        <v>26.5</v>
      </c>
      <c r="Q54" s="70"/>
      <c r="R54" s="91" t="n">
        <f aca="false">H54</f>
        <v>58</v>
      </c>
      <c r="S54" s="24"/>
      <c r="T54" s="0"/>
      <c r="U54" s="131"/>
      <c r="V54" s="158" t="n">
        <f aca="false">A54</f>
        <v>37500</v>
      </c>
      <c r="W54" s="159"/>
      <c r="X54" s="134"/>
      <c r="Y54" s="159"/>
      <c r="Z54" s="134"/>
      <c r="AA54" s="159"/>
      <c r="AB54" s="134"/>
      <c r="AC54" s="77"/>
      <c r="AD54" s="78"/>
      <c r="AE54" s="77"/>
      <c r="AF54" s="78"/>
      <c r="AG54" s="77"/>
      <c r="AH54" s="78"/>
      <c r="AI54" s="77"/>
      <c r="AJ54" s="78"/>
      <c r="AK54" s="77"/>
      <c r="AL54" s="78"/>
      <c r="AM54" s="77"/>
      <c r="AN54" s="78"/>
      <c r="AO54" s="77"/>
      <c r="AP54" s="78"/>
      <c r="AQ54" s="77"/>
      <c r="AR54" s="78"/>
      <c r="AS54" s="77"/>
      <c r="AT54" s="160"/>
      <c r="AU54" s="94"/>
      <c r="AV54" s="95"/>
      <c r="AW54" s="96"/>
      <c r="AX54" s="75"/>
      <c r="AY54" s="81"/>
      <c r="AZ54" s="75"/>
      <c r="BA54" s="81"/>
      <c r="BB54" s="75"/>
      <c r="BC54" s="81"/>
      <c r="BD54" s="75"/>
      <c r="BE54" s="81"/>
      <c r="BF54" s="75"/>
      <c r="BG54" s="81"/>
      <c r="BH54" s="75"/>
      <c r="BI54" s="81"/>
      <c r="BJ54" s="75"/>
      <c r="BK54" s="81"/>
      <c r="BL54" s="75"/>
      <c r="BM54" s="81"/>
      <c r="BN54" s="75"/>
      <c r="BO54" s="81"/>
      <c r="BP54" s="75"/>
      <c r="BQ54" s="81"/>
      <c r="BR54" s="75"/>
      <c r="BS54" s="81"/>
      <c r="BT54" s="75"/>
      <c r="BU54" s="81"/>
      <c r="BV54" s="75"/>
      <c r="BW54" s="81"/>
      <c r="BX54" s="75"/>
      <c r="BY54" s="81"/>
      <c r="BZ54" s="75"/>
      <c r="CA54" s="81"/>
      <c r="CB54" s="75"/>
      <c r="CC54" s="81"/>
      <c r="CD54" s="75"/>
      <c r="CE54" s="81"/>
      <c r="CF54" s="75"/>
      <c r="CG54" s="81"/>
      <c r="CH54" s="75"/>
      <c r="CI54" s="81"/>
      <c r="CJ54" s="75"/>
      <c r="CK54" s="81"/>
      <c r="CL54" s="75"/>
      <c r="CM54" s="81"/>
      <c r="CN54" s="75"/>
      <c r="CO54" s="81"/>
      <c r="CP54" s="75"/>
      <c r="CQ54" s="81"/>
      <c r="CR54" s="75"/>
      <c r="CS54" s="81"/>
      <c r="CT54" s="75"/>
      <c r="CU54" s="81"/>
      <c r="CV54" s="75"/>
      <c r="CW54" s="81"/>
      <c r="CX54" s="75"/>
      <c r="CY54" s="82" t="n">
        <f aca="false">W54+Y54+AA54+AC54+AE54+AG54+AI54+AK54+AM54+AO54+AQ54+AS54+AU54+AW54+AY54+BA54+BC54+BE54+BG54+BI54+BK54+BM54+BO54+BQ54+BS54+BU54+BW54+BY54+CA54+CC54+CE54+CG54+CI54+CK54+CM54+CO54+CQ54+CS54+CU54+CW54</f>
        <v>0</v>
      </c>
      <c r="CZ54" s="83" t="n">
        <f aca="false">IF(AND(CY54=0,DC54=0),0,(DF54+DG54)/DC54)</f>
        <v>0</v>
      </c>
      <c r="DB54" s="85" t="n">
        <f aca="false">V54</f>
        <v>37500</v>
      </c>
      <c r="DC54" s="84" t="n">
        <f aca="false">ABS(W54)+ABS(Y54)+ABS(AA54)+ABS(AC54)+ABS(AE54)+ABS(AG54)+ABS(AI54)+ABS(AK54)+ABS(AM54)+ABS(AO54)+ABS(AQ54)+ABS(AS54)+ABS(AU54)+ABS(AW54)+ABS(AY54)+ABS(BA54)+ABS(BC54)+ABS(BE54)+ABS(BG54)+ABS(BI54)+ABS(BK54)+ABS(BM54)+ABS(BO54)+ABS(BQ54)+ABS(BS54)+ABS(BU54)+ABS(BW54)+ABS(BY54)+ABS(CA54)+ABS(CC54)+ABS(CE54)+ABS(CG54)+ABS(CI54)+ABS(CK54)+ABS(CM54)+ABS(CO54)+ABS(CQ54)+ABS(CS54)+ABS(CU54)+ABS(CW54)</f>
        <v>0</v>
      </c>
      <c r="DD54" s="86" t="n">
        <f aca="false">16</f>
        <v>16</v>
      </c>
      <c r="DE54" s="84" t="n">
        <v>1</v>
      </c>
      <c r="DF54" s="43"/>
      <c r="DG54" s="43"/>
      <c r="DH54" s="43"/>
      <c r="DI54" s="43"/>
      <c r="DK54" s="85"/>
      <c r="DR54" s="146" t="n">
        <f aca="false">+VLOOKUP(A54,'NET P&amp;L'!$AH$6:$AK$31,2)</f>
        <v>20</v>
      </c>
    </row>
    <row r="55" customFormat="false" ht="18.75" hidden="false" customHeight="false" outlineLevel="0" collapsed="false">
      <c r="A55" s="147" t="n">
        <f aca="false">'NYISO A'!A55</f>
        <v>37530</v>
      </c>
      <c r="B55" s="119" t="n">
        <f aca="false">+[3]WestHub!$L46/16/DR55</f>
        <v>0</v>
      </c>
      <c r="C55" s="148" t="n">
        <f aca="false">CY55</f>
        <v>0</v>
      </c>
      <c r="D55" s="149" t="n">
        <f aca="false">(IF(MONTH(A55)=MONTH(EOMONTH(TradeDate,1)),$AP$66,0)*VLOOKUP(A55,$DK$12:$DN$43,4))</f>
        <v>0</v>
      </c>
      <c r="E55" s="150" t="n">
        <f aca="false">B55+C55+D55</f>
        <v>0</v>
      </c>
      <c r="F55" s="151" t="n">
        <f aca="false">[3]WestHub!$C46</f>
        <v>31.25</v>
      </c>
      <c r="G55" s="152" t="n">
        <f aca="false">IF($Q$9,Q55,P55)</f>
        <v>-0.25</v>
      </c>
      <c r="H55" s="153" t="n">
        <f aca="false">F55+G55</f>
        <v>31</v>
      </c>
      <c r="I55" s="154" t="n">
        <f aca="false">B55*G55*DD55*DR55</f>
        <v>-0</v>
      </c>
      <c r="J55" s="155" t="n">
        <f aca="false">+(W55*(H55-X55)+Y55*(H55-Z55)+AA55*(H55-AB55))*DD55*DR55</f>
        <v>0</v>
      </c>
      <c r="K55" s="156" t="n">
        <f aca="false">I55+J55</f>
        <v>0</v>
      </c>
      <c r="L55" s="24"/>
      <c r="M55" s="161" t="n">
        <f aca="false">A55</f>
        <v>37530</v>
      </c>
      <c r="N55" s="328" t="n">
        <v>31</v>
      </c>
      <c r="O55" s="329" t="n">
        <v>31</v>
      </c>
      <c r="P55" s="103" t="n">
        <f aca="false">AVERAGE(N55:O55)-F55</f>
        <v>-0.25</v>
      </c>
      <c r="Q55" s="70"/>
      <c r="R55" s="91" t="n">
        <f aca="false">H55</f>
        <v>31</v>
      </c>
      <c r="S55" s="24"/>
      <c r="T55" s="0"/>
      <c r="U55" s="131"/>
      <c r="V55" s="158" t="n">
        <f aca="false">A55</f>
        <v>37530</v>
      </c>
      <c r="W55" s="159"/>
      <c r="X55" s="134"/>
      <c r="Y55" s="159"/>
      <c r="Z55" s="134"/>
      <c r="AA55" s="159"/>
      <c r="AB55" s="134"/>
      <c r="AC55" s="77"/>
      <c r="AD55" s="78"/>
      <c r="AE55" s="77"/>
      <c r="AF55" s="78"/>
      <c r="AG55" s="77"/>
      <c r="AH55" s="78"/>
      <c r="AI55" s="77"/>
      <c r="AJ55" s="78"/>
      <c r="AK55" s="77"/>
      <c r="AL55" s="78"/>
      <c r="AM55" s="77"/>
      <c r="AN55" s="78"/>
      <c r="AO55" s="77"/>
      <c r="AP55" s="78"/>
      <c r="AQ55" s="77"/>
      <c r="AR55" s="78"/>
      <c r="AS55" s="77"/>
      <c r="AT55" s="160"/>
      <c r="AU55" s="94"/>
      <c r="AV55" s="95"/>
      <c r="AW55" s="96"/>
      <c r="AX55" s="75"/>
      <c r="AY55" s="81"/>
      <c r="AZ55" s="75"/>
      <c r="BA55" s="81"/>
      <c r="BB55" s="75"/>
      <c r="BC55" s="81"/>
      <c r="BD55" s="75"/>
      <c r="BE55" s="81"/>
      <c r="BF55" s="75"/>
      <c r="BG55" s="81"/>
      <c r="BH55" s="75"/>
      <c r="BI55" s="81"/>
      <c r="BJ55" s="75"/>
      <c r="BK55" s="81"/>
      <c r="BL55" s="75"/>
      <c r="BM55" s="81"/>
      <c r="BN55" s="75"/>
      <c r="BO55" s="81"/>
      <c r="BP55" s="75"/>
      <c r="BQ55" s="81"/>
      <c r="BR55" s="75"/>
      <c r="BS55" s="81"/>
      <c r="BT55" s="75"/>
      <c r="BU55" s="81"/>
      <c r="BV55" s="75"/>
      <c r="BW55" s="81"/>
      <c r="BX55" s="75"/>
      <c r="BY55" s="81"/>
      <c r="BZ55" s="75"/>
      <c r="CA55" s="81"/>
      <c r="CB55" s="75"/>
      <c r="CC55" s="81"/>
      <c r="CD55" s="75"/>
      <c r="CE55" s="81"/>
      <c r="CF55" s="75"/>
      <c r="CG55" s="81"/>
      <c r="CH55" s="75"/>
      <c r="CI55" s="81"/>
      <c r="CJ55" s="75"/>
      <c r="CK55" s="81"/>
      <c r="CL55" s="75"/>
      <c r="CM55" s="81"/>
      <c r="CN55" s="75"/>
      <c r="CO55" s="81"/>
      <c r="CP55" s="75"/>
      <c r="CQ55" s="81"/>
      <c r="CR55" s="75"/>
      <c r="CS55" s="81"/>
      <c r="CT55" s="75"/>
      <c r="CU55" s="81"/>
      <c r="CV55" s="75"/>
      <c r="CW55" s="81"/>
      <c r="CX55" s="75"/>
      <c r="CY55" s="82" t="n">
        <f aca="false">W55+Y55+AA55+AC55+AE55+AG55+AI55+AK55+AM55+AO55+AQ55+AS55+AU55+AW55+AY55+BA55+BC55+BE55+BG55+BI55+BK55+BM55+BO55+BQ55+BS55+BU55+BW55+BY55+CA55+CC55+CE55+CG55+CI55+CK55+CM55+CO55+CQ55+CS55+CU55+CW55</f>
        <v>0</v>
      </c>
      <c r="CZ55" s="83" t="n">
        <f aca="false">IF(AND(CY55=0,DC55=0),0,(DF55+DG55)/DC55)</f>
        <v>0</v>
      </c>
      <c r="DB55" s="85" t="n">
        <f aca="false">V55</f>
        <v>37530</v>
      </c>
      <c r="DC55" s="84" t="n">
        <f aca="false">ABS(W55)+ABS(Y55)+ABS(AA55)+ABS(AC55)+ABS(AE55)+ABS(AG55)+ABS(AI55)+ABS(AK55)+ABS(AM55)+ABS(AO55)+ABS(AQ55)+ABS(AS55)+ABS(AU55)+ABS(AW55)+ABS(AY55)+ABS(BA55)+ABS(BC55)+ABS(BE55)+ABS(BG55)+ABS(BI55)+ABS(BK55)+ABS(BM55)+ABS(BO55)+ABS(BQ55)+ABS(BS55)+ABS(BU55)+ABS(BW55)+ABS(BY55)+ABS(CA55)+ABS(CC55)+ABS(CE55)+ABS(CG55)+ABS(CI55)+ABS(CK55)+ABS(CM55)+ABS(CO55)+ABS(CQ55)+ABS(CS55)+ABS(CU55)+ABS(CW55)</f>
        <v>0</v>
      </c>
      <c r="DD55" s="86" t="n">
        <f aca="false">16</f>
        <v>16</v>
      </c>
      <c r="DE55" s="84" t="n">
        <v>1</v>
      </c>
      <c r="DF55" s="43"/>
      <c r="DG55" s="43"/>
      <c r="DH55" s="43"/>
      <c r="DI55" s="43"/>
      <c r="DK55" s="85"/>
      <c r="DR55" s="146" t="n">
        <f aca="false">+VLOOKUP(A55,'NET P&amp;L'!$AH$6:$AK$31,2)</f>
        <v>23</v>
      </c>
    </row>
    <row r="56" customFormat="false" ht="19.5" hidden="false" customHeight="false" outlineLevel="0" collapsed="false">
      <c r="A56" s="176" t="n">
        <f aca="false">'NYISO A'!A56</f>
        <v>37561</v>
      </c>
      <c r="B56" s="177" t="n">
        <f aca="false">+[3]WestHub!$L47/16/DR56</f>
        <v>0</v>
      </c>
      <c r="C56" s="178" t="n">
        <f aca="false">CY56</f>
        <v>0</v>
      </c>
      <c r="D56" s="179" t="n">
        <f aca="false">(IF(MONTH(A56)=MONTH(EOMONTH(TradeDate,1)),$AP$66,0)*VLOOKUP(A56,$DK$12:$DN$43,4))</f>
        <v>0</v>
      </c>
      <c r="E56" s="180" t="n">
        <f aca="false">B56+C56+D56</f>
        <v>0</v>
      </c>
      <c r="F56" s="181" t="n">
        <f aca="false">[3]WestHub!$C47</f>
        <v>31.25</v>
      </c>
      <c r="G56" s="182" t="n">
        <f aca="false">IF($Q$9,Q56,P56)</f>
        <v>0</v>
      </c>
      <c r="H56" s="183" t="n">
        <f aca="false">F56+G56</f>
        <v>31.25</v>
      </c>
      <c r="I56" s="184" t="n">
        <f aca="false">B56*G56*DD56*DR56</f>
        <v>0</v>
      </c>
      <c r="J56" s="185" t="n">
        <f aca="false">+(W56*(H56-X56)+Y56*(H56-Z56)+AA56*(H56-AB56))*DD56*DR56</f>
        <v>0</v>
      </c>
      <c r="K56" s="186" t="n">
        <f aca="false">I56+J56</f>
        <v>0</v>
      </c>
      <c r="L56" s="24"/>
      <c r="M56" s="330" t="n">
        <f aca="false">A56</f>
        <v>37561</v>
      </c>
      <c r="N56" s="331" t="n">
        <f aca="false">+F56</f>
        <v>31.25</v>
      </c>
      <c r="O56" s="332" t="n">
        <f aca="false">+F56</f>
        <v>31.25</v>
      </c>
      <c r="P56" s="333" t="n">
        <f aca="false">AVERAGE(N56:O56)-F56</f>
        <v>0</v>
      </c>
      <c r="Q56" s="274"/>
      <c r="R56" s="275" t="n">
        <f aca="false">H56</f>
        <v>31.25</v>
      </c>
      <c r="S56" s="24"/>
      <c r="T56" s="0"/>
      <c r="V56" s="187" t="n">
        <f aca="false">A56</f>
        <v>37561</v>
      </c>
      <c r="W56" s="276"/>
      <c r="X56" s="277"/>
      <c r="Y56" s="276"/>
      <c r="Z56" s="277"/>
      <c r="AA56" s="276"/>
      <c r="AB56" s="277"/>
      <c r="AC56" s="278"/>
      <c r="AD56" s="279"/>
      <c r="AE56" s="278"/>
      <c r="AF56" s="279"/>
      <c r="AG56" s="278"/>
      <c r="AH56" s="279"/>
      <c r="AI56" s="278"/>
      <c r="AJ56" s="279"/>
      <c r="AK56" s="278"/>
      <c r="AL56" s="279"/>
      <c r="AM56" s="278"/>
      <c r="AN56" s="279"/>
      <c r="AO56" s="278"/>
      <c r="AP56" s="279"/>
      <c r="AQ56" s="278"/>
      <c r="AR56" s="279"/>
      <c r="AS56" s="278"/>
      <c r="AT56" s="280"/>
      <c r="AU56" s="197"/>
      <c r="AV56" s="198"/>
      <c r="AW56" s="281"/>
      <c r="AX56" s="282"/>
      <c r="AY56" s="283"/>
      <c r="AZ56" s="282"/>
      <c r="BA56" s="283"/>
      <c r="BB56" s="282"/>
      <c r="BC56" s="283"/>
      <c r="BD56" s="282"/>
      <c r="BE56" s="283"/>
      <c r="BF56" s="282"/>
      <c r="BG56" s="283"/>
      <c r="BH56" s="282"/>
      <c r="BI56" s="283"/>
      <c r="BJ56" s="282"/>
      <c r="BK56" s="283"/>
      <c r="BL56" s="282"/>
      <c r="BM56" s="283"/>
      <c r="BN56" s="282"/>
      <c r="BO56" s="283"/>
      <c r="BP56" s="282"/>
      <c r="BQ56" s="283"/>
      <c r="BR56" s="282"/>
      <c r="BS56" s="283"/>
      <c r="BT56" s="282"/>
      <c r="BU56" s="283"/>
      <c r="BV56" s="282"/>
      <c r="BW56" s="283"/>
      <c r="BX56" s="282"/>
      <c r="BY56" s="283"/>
      <c r="BZ56" s="282"/>
      <c r="CA56" s="283"/>
      <c r="CB56" s="282"/>
      <c r="CC56" s="283"/>
      <c r="CD56" s="282"/>
      <c r="CE56" s="283"/>
      <c r="CF56" s="282"/>
      <c r="CG56" s="283"/>
      <c r="CH56" s="282"/>
      <c r="CI56" s="283"/>
      <c r="CJ56" s="282"/>
      <c r="CK56" s="283"/>
      <c r="CL56" s="282"/>
      <c r="CM56" s="283"/>
      <c r="CN56" s="282"/>
      <c r="CO56" s="283"/>
      <c r="CP56" s="282"/>
      <c r="CQ56" s="283"/>
      <c r="CR56" s="282"/>
      <c r="CS56" s="283"/>
      <c r="CT56" s="282"/>
      <c r="CU56" s="283"/>
      <c r="CV56" s="282"/>
      <c r="CW56" s="283"/>
      <c r="CX56" s="282"/>
      <c r="CY56" s="284" t="n">
        <f aca="false">W56+Y56+AA56+AC56+AE56+AG56+AI56+AK56+AM56+AO56+AQ56+AS56+AU56+AW56+AY56+BA56+BC56+BE56+BG56+BI56+BK56+BM56+BO56+BQ56+BS56+BU56+BW56+BY56+CA56+CC56+CE56+CG56+CI56+CK56+CM56+CO56+CQ56+CS56+CU56+CW56</f>
        <v>0</v>
      </c>
      <c r="CZ56" s="285" t="n">
        <f aca="false">IF(AND(CY56=0,DC56=0),0,(DF56+DG56)/DC56)</f>
        <v>0</v>
      </c>
      <c r="DB56" s="85" t="n">
        <f aca="false">V56</f>
        <v>37561</v>
      </c>
      <c r="DC56" s="84" t="n">
        <f aca="false">ABS(W56)+ABS(Y56)+ABS(AA56)+ABS(AC56)+ABS(AE56)+ABS(AG56)+ABS(AI56)+ABS(AK56)+ABS(AM56)+ABS(AO56)+ABS(AQ56)+ABS(AS56)+ABS(AU56)+ABS(AW56)+ABS(AY56)+ABS(BA56)+ABS(BC56)+ABS(BE56)+ABS(BG56)+ABS(BI56)+ABS(BK56)+ABS(BM56)+ABS(BO56)+ABS(BQ56)+ABS(BS56)+ABS(BU56)+ABS(BW56)+ABS(BY56)+ABS(CA56)+ABS(CC56)+ABS(CE56)+ABS(CG56)+ABS(CI56)+ABS(CK56)+ABS(CM56)+ABS(CO56)+ABS(CQ56)+ABS(CS56)+ABS(CU56)+ABS(CW56)</f>
        <v>0</v>
      </c>
      <c r="DD56" s="86" t="n">
        <f aca="false">16</f>
        <v>16</v>
      </c>
      <c r="DE56" s="84" t="n">
        <v>1</v>
      </c>
      <c r="DF56" s="43"/>
      <c r="DG56" s="43"/>
      <c r="DH56" s="43"/>
      <c r="DI56" s="43"/>
      <c r="DK56" s="85"/>
      <c r="DR56" s="300" t="n">
        <f aca="false">+VLOOKUP(A56,'NET P&amp;L'!$AH$6:$AK$31,2)</f>
        <v>20</v>
      </c>
    </row>
    <row r="57" customFormat="false" ht="15.75" hidden="false" customHeight="false" outlineLevel="0" collapsed="false">
      <c r="A57" s="24"/>
      <c r="B57" s="24"/>
      <c r="E57" s="27"/>
      <c r="L57" s="24"/>
      <c r="N57" s="24"/>
      <c r="O57" s="24"/>
      <c r="T57" s="0"/>
      <c r="DL57" s="21" t="n">
        <v>0</v>
      </c>
      <c r="DR57" s="173" t="n">
        <f aca="false">+NEPOOL!DR57</f>
        <v>21</v>
      </c>
    </row>
    <row r="58" customFormat="false" ht="16.5" hidden="false" customHeight="false" outlineLevel="0" collapsed="false">
      <c r="A58" s="24"/>
      <c r="B58" s="24"/>
      <c r="E58" s="27"/>
      <c r="L58" s="24"/>
      <c r="N58" s="24"/>
      <c r="O58" s="24"/>
      <c r="DA58" s="21" t="n">
        <f aca="false">SUM(DA12:DA57)</f>
        <v>0</v>
      </c>
      <c r="DR58" s="173" t="n">
        <f aca="false">+NEPOOL!DR58</f>
        <v>21</v>
      </c>
    </row>
    <row r="59" customFormat="false" ht="21" hidden="false" customHeight="false" outlineLevel="0" collapsed="false">
      <c r="A59" s="204"/>
      <c r="B59" s="205" t="s">
        <v>80</v>
      </c>
      <c r="C59" s="205"/>
      <c r="D59" s="205"/>
      <c r="E59" s="205"/>
      <c r="F59" s="205"/>
      <c r="G59" s="205"/>
      <c r="H59" s="205"/>
      <c r="I59" s="205"/>
      <c r="J59" s="205"/>
      <c r="K59" s="205"/>
      <c r="L59" s="206" t="s">
        <v>81</v>
      </c>
      <c r="M59" s="206"/>
      <c r="N59" s="206"/>
      <c r="O59" s="206"/>
      <c r="P59" s="206"/>
      <c r="Q59" s="206"/>
      <c r="R59" s="206"/>
      <c r="S59" s="206"/>
      <c r="T59" s="207"/>
      <c r="U59" s="208"/>
      <c r="V59" s="205" t="s">
        <v>82</v>
      </c>
      <c r="W59" s="205"/>
      <c r="X59" s="205"/>
      <c r="Y59" s="205"/>
      <c r="Z59" s="205"/>
      <c r="AA59" s="205"/>
      <c r="AB59" s="205"/>
      <c r="AC59" s="205"/>
      <c r="AD59" s="205"/>
      <c r="AE59" s="205"/>
      <c r="AF59" s="205" t="s">
        <v>83</v>
      </c>
      <c r="AG59" s="205"/>
      <c r="AH59" s="205"/>
      <c r="AI59" s="205"/>
      <c r="AJ59" s="205"/>
      <c r="AK59" s="205"/>
      <c r="AL59" s="205"/>
      <c r="AM59" s="205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  <c r="BI59" s="209"/>
      <c r="BJ59" s="209"/>
      <c r="BK59" s="209"/>
      <c r="BL59" s="209"/>
      <c r="BM59" s="209"/>
      <c r="BN59" s="209"/>
      <c r="BO59" s="209"/>
      <c r="BP59" s="209"/>
      <c r="BQ59" s="209"/>
      <c r="BR59" s="209"/>
      <c r="BS59" s="209"/>
      <c r="BT59" s="209"/>
      <c r="BU59" s="209"/>
      <c r="BV59" s="209"/>
      <c r="BW59" s="209"/>
      <c r="BX59" s="209"/>
      <c r="BY59" s="209"/>
      <c r="BZ59" s="209"/>
      <c r="CA59" s="209"/>
      <c r="CB59" s="209"/>
      <c r="CC59" s="209"/>
      <c r="CD59" s="209"/>
      <c r="CE59" s="209"/>
      <c r="CF59" s="209"/>
      <c r="CG59" s="209"/>
      <c r="CH59" s="209"/>
      <c r="CI59" s="209"/>
      <c r="CJ59" s="209"/>
      <c r="CK59" s="209"/>
      <c r="CL59" s="209"/>
      <c r="CM59" s="209"/>
      <c r="CN59" s="209"/>
      <c r="CO59" s="209"/>
      <c r="CP59" s="209"/>
      <c r="CQ59" s="209"/>
      <c r="CR59" s="209"/>
      <c r="CS59" s="209"/>
      <c r="CT59" s="209"/>
      <c r="CU59" s="209"/>
      <c r="CV59" s="209"/>
      <c r="CW59" s="209"/>
      <c r="CX59" s="209"/>
      <c r="CY59" s="209"/>
      <c r="CZ59" s="209"/>
      <c r="DA59" s="209"/>
      <c r="DB59" s="209"/>
      <c r="DC59" s="209"/>
      <c r="DD59" s="209"/>
      <c r="DE59" s="209"/>
      <c r="DF59" s="209"/>
      <c r="DG59" s="209"/>
      <c r="DH59" s="209"/>
      <c r="DI59" s="209"/>
      <c r="DJ59" s="209"/>
      <c r="DK59" s="209"/>
      <c r="DL59" s="209"/>
      <c r="DM59" s="209"/>
      <c r="DN59" s="209"/>
      <c r="DO59" s="209"/>
      <c r="DP59" s="209"/>
      <c r="DQ59" s="209"/>
      <c r="DR59" s="173" t="n">
        <f aca="false">+NEPOOL!DR59</f>
        <v>22</v>
      </c>
      <c r="DS59" s="209"/>
      <c r="DT59" s="209"/>
      <c r="DU59" s="209"/>
      <c r="DV59" s="209"/>
      <c r="DW59" s="209"/>
      <c r="DX59" s="209"/>
      <c r="DY59" s="209"/>
      <c r="DZ59" s="209"/>
      <c r="EA59" s="209"/>
      <c r="EB59" s="209"/>
      <c r="EC59" s="209"/>
      <c r="ED59" s="209"/>
      <c r="EE59" s="209"/>
      <c r="EF59" s="209"/>
      <c r="EG59" s="209"/>
      <c r="EH59" s="209"/>
      <c r="EI59" s="209"/>
      <c r="EJ59" s="209"/>
      <c r="EK59" s="209"/>
      <c r="EL59" s="209"/>
      <c r="EM59" s="209"/>
      <c r="EN59" s="209"/>
      <c r="EO59" s="209"/>
      <c r="EP59" s="209"/>
      <c r="EQ59" s="209"/>
      <c r="ER59" s="209"/>
      <c r="ES59" s="209"/>
      <c r="ET59" s="209"/>
      <c r="EU59" s="209"/>
      <c r="EV59" s="209"/>
      <c r="EW59" s="209"/>
      <c r="EX59" s="209"/>
      <c r="EY59" s="209"/>
      <c r="EZ59" s="209"/>
      <c r="FA59" s="209"/>
      <c r="FB59" s="209"/>
      <c r="FC59" s="209"/>
      <c r="FD59" s="209"/>
      <c r="FE59" s="209"/>
      <c r="FF59" s="209"/>
      <c r="FG59" s="209"/>
      <c r="FH59" s="209"/>
      <c r="FI59" s="209"/>
      <c r="FJ59" s="209"/>
      <c r="FK59" s="209"/>
      <c r="FL59" s="209"/>
      <c r="FM59" s="209"/>
      <c r="FN59" s="209"/>
      <c r="FO59" s="209"/>
      <c r="FP59" s="209"/>
      <c r="FQ59" s="209"/>
      <c r="FR59" s="209"/>
      <c r="FS59" s="209"/>
      <c r="FT59" s="209"/>
      <c r="FU59" s="209"/>
      <c r="FV59" s="209"/>
      <c r="FW59" s="209"/>
      <c r="FX59" s="209"/>
      <c r="FY59" s="209"/>
      <c r="FZ59" s="209"/>
      <c r="GA59" s="209"/>
      <c r="GB59" s="209"/>
      <c r="GC59" s="209"/>
      <c r="GD59" s="209"/>
      <c r="GE59" s="209"/>
      <c r="GF59" s="209"/>
      <c r="GG59" s="209"/>
      <c r="GH59" s="209"/>
      <c r="GI59" s="209"/>
      <c r="GJ59" s="209"/>
      <c r="GK59" s="209"/>
      <c r="GL59" s="209"/>
      <c r="GM59" s="209"/>
      <c r="GN59" s="209"/>
      <c r="GO59" s="209"/>
      <c r="GP59" s="209"/>
      <c r="GQ59" s="209"/>
      <c r="GR59" s="209"/>
      <c r="GS59" s="209"/>
      <c r="GT59" s="209"/>
      <c r="GU59" s="209"/>
      <c r="GV59" s="209"/>
      <c r="GW59" s="209"/>
      <c r="GX59" s="209"/>
      <c r="GY59" s="209"/>
      <c r="GZ59" s="209"/>
      <c r="HA59" s="209"/>
      <c r="HB59" s="209"/>
      <c r="HC59" s="209"/>
      <c r="HD59" s="209"/>
      <c r="HE59" s="209"/>
      <c r="HF59" s="209"/>
      <c r="HG59" s="209"/>
      <c r="HH59" s="209"/>
      <c r="HI59" s="209"/>
      <c r="HJ59" s="209"/>
      <c r="HK59" s="209"/>
      <c r="HL59" s="209"/>
      <c r="HM59" s="209"/>
      <c r="HN59" s="209"/>
      <c r="HO59" s="209"/>
      <c r="HP59" s="209"/>
      <c r="HQ59" s="209"/>
      <c r="HR59" s="209"/>
      <c r="HS59" s="209"/>
      <c r="HT59" s="209"/>
      <c r="HU59" s="209"/>
      <c r="HV59" s="209"/>
      <c r="HW59" s="209"/>
      <c r="HX59" s="209"/>
      <c r="HY59" s="209"/>
      <c r="HZ59" s="209"/>
      <c r="IA59" s="209"/>
      <c r="IB59" s="209"/>
      <c r="IC59" s="209"/>
      <c r="ID59" s="209"/>
      <c r="IE59" s="209"/>
      <c r="IF59" s="209"/>
      <c r="IG59" s="209"/>
      <c r="IH59" s="209"/>
      <c r="II59" s="209"/>
      <c r="IJ59" s="209"/>
      <c r="IK59" s="209"/>
      <c r="IL59" s="209"/>
      <c r="IM59" s="209"/>
      <c r="IN59" s="209"/>
      <c r="IO59" s="209"/>
      <c r="IP59" s="209"/>
      <c r="IQ59" s="209"/>
      <c r="IR59" s="209"/>
      <c r="IS59" s="209"/>
      <c r="IT59" s="209"/>
      <c r="IU59" s="209"/>
      <c r="IV59" s="209"/>
      <c r="IW59" s="209"/>
    </row>
    <row r="60" customFormat="false" ht="19.5" hidden="false" customHeight="false" outlineLevel="0" collapsed="false">
      <c r="A60" s="210"/>
      <c r="B60" s="211" t="s">
        <v>84</v>
      </c>
      <c r="C60" s="211"/>
      <c r="D60" s="211"/>
      <c r="E60" s="211"/>
      <c r="F60" s="211"/>
      <c r="G60" s="334" t="s">
        <v>85</v>
      </c>
      <c r="H60" s="334"/>
      <c r="I60" s="334"/>
      <c r="J60" s="334"/>
      <c r="K60" s="334"/>
      <c r="L60" s="213" t="s">
        <v>84</v>
      </c>
      <c r="M60" s="213"/>
      <c r="N60" s="214"/>
      <c r="O60" s="214"/>
      <c r="P60" s="215"/>
      <c r="Q60" s="216" t="s">
        <v>85</v>
      </c>
      <c r="R60" s="216"/>
      <c r="S60" s="216"/>
      <c r="T60" s="217"/>
      <c r="U60" s="218"/>
      <c r="V60" s="211" t="s">
        <v>84</v>
      </c>
      <c r="W60" s="211"/>
      <c r="X60" s="211"/>
      <c r="Y60" s="211"/>
      <c r="Z60" s="211"/>
      <c r="AA60" s="212" t="s">
        <v>85</v>
      </c>
      <c r="AB60" s="212"/>
      <c r="AC60" s="212"/>
      <c r="AD60" s="212"/>
      <c r="AE60" s="212"/>
      <c r="AF60" s="213" t="s">
        <v>84</v>
      </c>
      <c r="AG60" s="213"/>
      <c r="AH60" s="213"/>
      <c r="AI60" s="213"/>
      <c r="AJ60" s="213"/>
      <c r="AK60" s="286" t="s">
        <v>85</v>
      </c>
      <c r="AL60" s="286"/>
      <c r="AM60" s="286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6.5" hidden="false" customHeight="false" outlineLevel="0" collapsed="false">
      <c r="A61" s="220" t="s">
        <v>86</v>
      </c>
      <c r="B61" s="221" t="n">
        <v>0</v>
      </c>
      <c r="C61" s="222" t="n">
        <v>0</v>
      </c>
      <c r="D61" s="222" t="n">
        <v>0</v>
      </c>
      <c r="E61" s="222" t="n">
        <v>0</v>
      </c>
      <c r="F61" s="223" t="n">
        <v>0</v>
      </c>
      <c r="G61" s="223" t="n">
        <v>0</v>
      </c>
      <c r="H61" s="222" t="n">
        <v>0</v>
      </c>
      <c r="I61" s="222" t="n">
        <v>0</v>
      </c>
      <c r="J61" s="222" t="n">
        <v>0</v>
      </c>
      <c r="K61" s="223" t="n">
        <v>0</v>
      </c>
      <c r="L61" s="221" t="n">
        <v>0</v>
      </c>
      <c r="M61" s="222" t="n">
        <v>0</v>
      </c>
      <c r="N61" s="222" t="n">
        <v>0</v>
      </c>
      <c r="O61" s="222" t="n">
        <v>0</v>
      </c>
      <c r="P61" s="223" t="n">
        <v>0</v>
      </c>
      <c r="Q61" s="221" t="n">
        <v>0</v>
      </c>
      <c r="R61" s="222" t="n">
        <v>0</v>
      </c>
      <c r="S61" s="222" t="n">
        <v>0</v>
      </c>
      <c r="T61" s="222" t="n">
        <v>0</v>
      </c>
      <c r="U61" s="223" t="n">
        <v>0</v>
      </c>
      <c r="V61" s="221" t="n">
        <v>0</v>
      </c>
      <c r="W61" s="222" t="n">
        <v>0</v>
      </c>
      <c r="X61" s="222" t="n">
        <v>0</v>
      </c>
      <c r="Y61" s="222" t="n">
        <v>0</v>
      </c>
      <c r="Z61" s="223" t="n">
        <v>0</v>
      </c>
      <c r="AA61" s="221" t="n">
        <v>0</v>
      </c>
      <c r="AB61" s="222" t="n">
        <v>0</v>
      </c>
      <c r="AC61" s="222" t="n">
        <v>0</v>
      </c>
      <c r="AD61" s="222" t="n">
        <v>0</v>
      </c>
      <c r="AE61" s="223" t="n">
        <v>0</v>
      </c>
      <c r="AF61" s="221" t="n">
        <v>0</v>
      </c>
      <c r="AG61" s="222" t="n">
        <v>0</v>
      </c>
      <c r="AH61" s="222" t="n">
        <v>0</v>
      </c>
      <c r="AI61" s="221"/>
      <c r="AJ61" s="222"/>
      <c r="AK61" s="222" t="n">
        <v>0</v>
      </c>
      <c r="AL61" s="222" t="n">
        <v>0</v>
      </c>
      <c r="AM61" s="223" t="n">
        <v>0</v>
      </c>
      <c r="AN61" s="224" t="n">
        <v>0</v>
      </c>
      <c r="AO61" s="224" t="n">
        <v>0</v>
      </c>
      <c r="AP61" s="224"/>
      <c r="AQ61" s="224"/>
      <c r="AR61" s="224"/>
      <c r="AS61" s="224"/>
      <c r="AT61" s="224"/>
      <c r="AU61" s="224"/>
      <c r="AV61" s="224"/>
      <c r="AW61" s="224"/>
      <c r="AX61" s="224"/>
      <c r="AY61" s="224"/>
      <c r="AZ61" s="224"/>
      <c r="BA61" s="224"/>
      <c r="BB61" s="224"/>
      <c r="BC61" s="224"/>
      <c r="BD61" s="224"/>
      <c r="BE61" s="224"/>
      <c r="BF61" s="224"/>
      <c r="BG61" s="224"/>
      <c r="BH61" s="224"/>
      <c r="BI61" s="224"/>
      <c r="BJ61" s="224"/>
      <c r="BK61" s="224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  <c r="CM61" s="224"/>
      <c r="CN61" s="224"/>
      <c r="CO61" s="224"/>
      <c r="CP61" s="224"/>
      <c r="CQ61" s="224"/>
      <c r="CR61" s="224"/>
      <c r="CS61" s="224"/>
      <c r="CT61" s="224"/>
      <c r="CU61" s="224"/>
      <c r="CV61" s="224"/>
      <c r="CW61" s="224"/>
      <c r="CX61" s="224"/>
      <c r="CY61" s="224"/>
      <c r="CZ61" s="224"/>
      <c r="DA61" s="224"/>
      <c r="DB61" s="224"/>
      <c r="DC61" s="224"/>
      <c r="DD61" s="224"/>
      <c r="DE61" s="224"/>
      <c r="DF61" s="224"/>
      <c r="DG61" s="224"/>
      <c r="DH61" s="224"/>
      <c r="DI61" s="224"/>
      <c r="DJ61" s="224"/>
      <c r="DK61" s="224"/>
      <c r="DL61" s="224"/>
      <c r="DM61" s="224"/>
      <c r="DN61" s="224"/>
      <c r="DO61" s="224"/>
      <c r="DP61" s="224"/>
      <c r="DQ61" s="224"/>
      <c r="DR61" s="224"/>
      <c r="DS61" s="224"/>
      <c r="DT61" s="224"/>
      <c r="DU61" s="224"/>
      <c r="DV61" s="224"/>
      <c r="DW61" s="224"/>
      <c r="DX61" s="224"/>
      <c r="DY61" s="224"/>
      <c r="DZ61" s="224"/>
      <c r="EA61" s="224"/>
      <c r="EB61" s="224"/>
      <c r="EC61" s="224"/>
      <c r="ED61" s="224"/>
      <c r="EE61" s="224"/>
      <c r="EF61" s="224"/>
      <c r="EG61" s="224"/>
      <c r="EH61" s="224"/>
      <c r="EI61" s="224"/>
      <c r="EJ61" s="224"/>
      <c r="EK61" s="224"/>
      <c r="EL61" s="224"/>
      <c r="EM61" s="224"/>
      <c r="EN61" s="224"/>
      <c r="EO61" s="224"/>
      <c r="EP61" s="224"/>
      <c r="EQ61" s="224"/>
      <c r="ER61" s="224"/>
      <c r="ES61" s="224"/>
      <c r="ET61" s="224"/>
      <c r="EU61" s="224"/>
      <c r="EV61" s="224"/>
      <c r="EW61" s="224"/>
      <c r="EX61" s="224"/>
      <c r="EY61" s="224"/>
      <c r="EZ61" s="224"/>
      <c r="FA61" s="224"/>
      <c r="FB61" s="224"/>
      <c r="FC61" s="224"/>
      <c r="FD61" s="224"/>
      <c r="FE61" s="224"/>
      <c r="FF61" s="224"/>
      <c r="FG61" s="224"/>
      <c r="FH61" s="224"/>
      <c r="FI61" s="224"/>
      <c r="FJ61" s="224"/>
      <c r="FK61" s="224"/>
      <c r="FL61" s="224"/>
      <c r="FM61" s="224"/>
      <c r="FN61" s="224"/>
      <c r="FO61" s="224"/>
      <c r="FP61" s="224"/>
      <c r="FQ61" s="224"/>
      <c r="FR61" s="224"/>
      <c r="FS61" s="224"/>
      <c r="FT61" s="224"/>
      <c r="FU61" s="224"/>
      <c r="FV61" s="224"/>
      <c r="FW61" s="224"/>
      <c r="FX61" s="224"/>
      <c r="FY61" s="224"/>
      <c r="FZ61" s="224"/>
      <c r="GA61" s="224"/>
      <c r="GB61" s="224"/>
      <c r="GC61" s="224"/>
      <c r="GD61" s="224"/>
      <c r="GE61" s="224"/>
      <c r="GF61" s="224"/>
      <c r="GG61" s="224"/>
      <c r="GH61" s="224"/>
      <c r="GI61" s="224"/>
      <c r="GJ61" s="224"/>
      <c r="GK61" s="224"/>
      <c r="GL61" s="224"/>
      <c r="GM61" s="224"/>
      <c r="GN61" s="224"/>
      <c r="GO61" s="224"/>
      <c r="GP61" s="224"/>
      <c r="GQ61" s="224"/>
      <c r="GR61" s="224"/>
      <c r="GS61" s="224"/>
      <c r="GT61" s="224"/>
      <c r="GU61" s="224"/>
      <c r="GV61" s="224"/>
      <c r="GW61" s="224"/>
      <c r="GX61" s="224"/>
      <c r="GY61" s="224"/>
      <c r="GZ61" s="224"/>
      <c r="HA61" s="224"/>
      <c r="HB61" s="224"/>
      <c r="HC61" s="224"/>
      <c r="HD61" s="224"/>
      <c r="HE61" s="224"/>
      <c r="HF61" s="224"/>
      <c r="HG61" s="224"/>
      <c r="HH61" s="224"/>
      <c r="HI61" s="224"/>
      <c r="HJ61" s="224"/>
      <c r="HK61" s="224"/>
      <c r="HL61" s="224"/>
      <c r="HM61" s="224"/>
      <c r="HN61" s="224"/>
      <c r="HO61" s="224"/>
      <c r="HP61" s="224"/>
      <c r="HQ61" s="224"/>
      <c r="HR61" s="224"/>
      <c r="HS61" s="224"/>
      <c r="HT61" s="224"/>
      <c r="HU61" s="224"/>
      <c r="HV61" s="224"/>
      <c r="HW61" s="224"/>
      <c r="HX61" s="224"/>
      <c r="HY61" s="224"/>
      <c r="HZ61" s="224"/>
      <c r="IA61" s="224"/>
      <c r="IB61" s="224"/>
      <c r="IC61" s="224"/>
      <c r="ID61" s="224"/>
      <c r="IE61" s="224"/>
      <c r="IF61" s="224"/>
      <c r="IG61" s="224"/>
      <c r="IH61" s="224"/>
      <c r="II61" s="224"/>
      <c r="IJ61" s="224"/>
      <c r="IK61" s="224"/>
      <c r="IL61" s="224"/>
      <c r="IM61" s="224"/>
      <c r="IN61" s="224"/>
      <c r="IO61" s="224"/>
      <c r="IP61" s="224"/>
      <c r="IQ61" s="224"/>
      <c r="IR61" s="224"/>
      <c r="IS61" s="224"/>
      <c r="IT61" s="224"/>
      <c r="IU61" s="224"/>
      <c r="IV61" s="224"/>
      <c r="IW61" s="224"/>
    </row>
    <row r="62" customFormat="false" ht="15.75" hidden="false" customHeight="false" outlineLevel="0" collapsed="false">
      <c r="A62" s="225" t="s">
        <v>87</v>
      </c>
      <c r="B62" s="226" t="n">
        <v>0</v>
      </c>
      <c r="C62" s="227" t="n">
        <v>0</v>
      </c>
      <c r="D62" s="227" t="n">
        <v>0</v>
      </c>
      <c r="E62" s="227" t="n">
        <v>0</v>
      </c>
      <c r="F62" s="228" t="n">
        <v>0</v>
      </c>
      <c r="G62" s="228" t="n">
        <v>0</v>
      </c>
      <c r="H62" s="227" t="n">
        <v>0</v>
      </c>
      <c r="I62" s="227" t="n">
        <v>0</v>
      </c>
      <c r="J62" s="227" t="n">
        <v>0</v>
      </c>
      <c r="K62" s="228" t="n">
        <v>0</v>
      </c>
      <c r="L62" s="226" t="n">
        <v>0</v>
      </c>
      <c r="M62" s="227" t="n">
        <v>0</v>
      </c>
      <c r="N62" s="227" t="n">
        <v>0</v>
      </c>
      <c r="O62" s="227" t="n">
        <v>0</v>
      </c>
      <c r="P62" s="228" t="n">
        <v>0</v>
      </c>
      <c r="Q62" s="227" t="n">
        <v>0</v>
      </c>
      <c r="R62" s="227" t="n">
        <v>0</v>
      </c>
      <c r="S62" s="227" t="n">
        <v>0</v>
      </c>
      <c r="T62" s="227" t="n">
        <v>0</v>
      </c>
      <c r="U62" s="228" t="n">
        <v>0</v>
      </c>
      <c r="V62" s="226" t="n">
        <v>0</v>
      </c>
      <c r="W62" s="227" t="n">
        <v>0</v>
      </c>
      <c r="X62" s="227" t="n">
        <v>0</v>
      </c>
      <c r="Y62" s="227" t="n">
        <v>0</v>
      </c>
      <c r="Z62" s="228" t="n">
        <v>0</v>
      </c>
      <c r="AA62" s="226" t="n">
        <v>0</v>
      </c>
      <c r="AB62" s="227" t="n">
        <v>0</v>
      </c>
      <c r="AC62" s="227" t="n">
        <v>0</v>
      </c>
      <c r="AD62" s="227" t="n">
        <v>0</v>
      </c>
      <c r="AE62" s="228" t="n">
        <v>0</v>
      </c>
      <c r="AF62" s="226" t="n">
        <v>0</v>
      </c>
      <c r="AG62" s="227" t="n">
        <v>0</v>
      </c>
      <c r="AH62" s="227" t="n">
        <v>0</v>
      </c>
      <c r="AI62" s="226"/>
      <c r="AJ62" s="227"/>
      <c r="AK62" s="227" t="n">
        <v>0</v>
      </c>
      <c r="AL62" s="227" t="n">
        <v>0</v>
      </c>
      <c r="AM62" s="228" t="n">
        <v>0</v>
      </c>
      <c r="AN62" s="21" t="n">
        <v>0</v>
      </c>
      <c r="AO62" s="21" t="n">
        <v>0</v>
      </c>
    </row>
    <row r="63" customFormat="false" ht="16.5" hidden="false" customHeight="false" outlineLevel="0" collapsed="false">
      <c r="A63" s="225" t="s">
        <v>88</v>
      </c>
      <c r="B63" s="226"/>
      <c r="C63" s="227"/>
      <c r="D63" s="227"/>
      <c r="E63" s="227"/>
      <c r="F63" s="228"/>
      <c r="G63" s="228"/>
      <c r="H63" s="230"/>
      <c r="I63" s="230"/>
      <c r="J63" s="230"/>
      <c r="K63" s="231"/>
      <c r="L63" s="226"/>
      <c r="M63" s="227"/>
      <c r="N63" s="233"/>
      <c r="O63" s="233"/>
      <c r="P63" s="228"/>
      <c r="Q63" s="229"/>
      <c r="R63" s="230"/>
      <c r="S63" s="230"/>
      <c r="T63" s="230"/>
      <c r="U63" s="231"/>
      <c r="V63" s="226"/>
      <c r="W63" s="227"/>
      <c r="X63" s="227"/>
      <c r="Y63" s="227"/>
      <c r="Z63" s="228"/>
      <c r="AA63" s="229"/>
      <c r="AB63" s="230"/>
      <c r="AC63" s="230"/>
      <c r="AD63" s="230"/>
      <c r="AE63" s="231"/>
      <c r="AF63" s="226"/>
      <c r="AG63" s="227"/>
      <c r="AH63" s="227"/>
      <c r="AI63" s="229"/>
      <c r="AJ63" s="230"/>
      <c r="AK63" s="230"/>
      <c r="AL63" s="230"/>
      <c r="AM63" s="231"/>
    </row>
    <row r="64" customFormat="false" ht="16.5" hidden="false" customHeight="false" outlineLevel="0" collapsed="false">
      <c r="A64" s="36" t="s">
        <v>89</v>
      </c>
      <c r="B64" s="232"/>
      <c r="C64" s="233"/>
      <c r="D64" s="233"/>
      <c r="E64" s="233"/>
      <c r="F64" s="234"/>
      <c r="G64" s="234"/>
      <c r="H64" s="236"/>
      <c r="I64" s="236"/>
      <c r="J64" s="236"/>
      <c r="K64" s="237"/>
      <c r="L64" s="232"/>
      <c r="M64" s="233"/>
      <c r="N64" s="243"/>
      <c r="O64" s="243"/>
      <c r="P64" s="234"/>
      <c r="Q64" s="235"/>
      <c r="R64" s="236"/>
      <c r="S64" s="236"/>
      <c r="T64" s="236"/>
      <c r="U64" s="237"/>
      <c r="V64" s="232"/>
      <c r="W64" s="233"/>
      <c r="X64" s="233"/>
      <c r="Y64" s="233"/>
      <c r="Z64" s="234"/>
      <c r="AA64" s="235"/>
      <c r="AB64" s="236"/>
      <c r="AC64" s="236"/>
      <c r="AD64" s="236"/>
      <c r="AE64" s="237"/>
      <c r="AF64" s="232"/>
      <c r="AG64" s="233"/>
      <c r="AH64" s="233"/>
      <c r="AI64" s="235"/>
      <c r="AJ64" s="236"/>
      <c r="AK64" s="236"/>
      <c r="AL64" s="236"/>
      <c r="AM64" s="237"/>
    </row>
    <row r="65" customFormat="false" ht="16.5" hidden="false" customHeight="false" outlineLevel="0" collapsed="false">
      <c r="A65" s="238" t="s">
        <v>90</v>
      </c>
      <c r="B65" s="239" t="n">
        <f aca="false">B62*B63</f>
        <v>0</v>
      </c>
      <c r="C65" s="240" t="n">
        <f aca="false">C62*C63</f>
        <v>0</v>
      </c>
      <c r="D65" s="240" t="n">
        <f aca="false">D62*D63</f>
        <v>0</v>
      </c>
      <c r="E65" s="240" t="n">
        <f aca="false">E62*E63</f>
        <v>0</v>
      </c>
      <c r="F65" s="241" t="n">
        <f aca="false">F62*F63</f>
        <v>0</v>
      </c>
      <c r="G65" s="241" t="n">
        <f aca="false">G62*G63</f>
        <v>0</v>
      </c>
      <c r="H65" s="240" t="n">
        <f aca="false">H62*H63</f>
        <v>0</v>
      </c>
      <c r="I65" s="240" t="n">
        <f aca="false">I62*I63</f>
        <v>0</v>
      </c>
      <c r="J65" s="240" t="n">
        <f aca="false">J62*J63</f>
        <v>0</v>
      </c>
      <c r="K65" s="241" t="n">
        <f aca="false">K62*K63</f>
        <v>0</v>
      </c>
      <c r="L65" s="242"/>
      <c r="M65" s="243"/>
      <c r="N65" s="251"/>
      <c r="O65" s="251"/>
      <c r="P65" s="244"/>
      <c r="Q65" s="242"/>
      <c r="R65" s="243"/>
      <c r="S65" s="243"/>
      <c r="T65" s="243"/>
      <c r="U65" s="244"/>
      <c r="V65" s="239" t="n">
        <f aca="false">-V62*V63</f>
        <v>-0</v>
      </c>
      <c r="W65" s="240" t="n">
        <f aca="false">-W62*W63</f>
        <v>-0</v>
      </c>
      <c r="X65" s="240" t="n">
        <f aca="false">-X62*X63</f>
        <v>-0</v>
      </c>
      <c r="Y65" s="240" t="n">
        <f aca="false">-Y62*Y63</f>
        <v>-0</v>
      </c>
      <c r="Z65" s="241" t="n">
        <f aca="false">-Z62*Z63</f>
        <v>-0</v>
      </c>
      <c r="AA65" s="239" t="n">
        <f aca="false">-AA62*AA63</f>
        <v>-0</v>
      </c>
      <c r="AB65" s="240" t="n">
        <f aca="false">-AB62*AB63</f>
        <v>-0</v>
      </c>
      <c r="AC65" s="240" t="n">
        <f aca="false">-AC62*AC63</f>
        <v>-0</v>
      </c>
      <c r="AD65" s="240" t="n">
        <f aca="false">-AD62*AD63</f>
        <v>-0</v>
      </c>
      <c r="AE65" s="241" t="n">
        <f aca="false">-AE62*AE63</f>
        <v>-0</v>
      </c>
      <c r="AF65" s="242"/>
      <c r="AG65" s="243"/>
      <c r="AH65" s="243"/>
      <c r="AI65" s="243"/>
      <c r="AJ65" s="243"/>
      <c r="AK65" s="243"/>
      <c r="AL65" s="243"/>
      <c r="AM65" s="244"/>
      <c r="AN65" s="245"/>
      <c r="AP65" s="21" t="n">
        <f aca="false">SUM(B65:AO65)</f>
        <v>0</v>
      </c>
    </row>
    <row r="66" customFormat="false" ht="16.5" hidden="false" customHeight="false" outlineLevel="0" collapsed="false">
      <c r="A66" s="246" t="s">
        <v>91</v>
      </c>
      <c r="B66" s="247"/>
      <c r="C66" s="248"/>
      <c r="D66" s="248"/>
      <c r="E66" s="248"/>
      <c r="F66" s="249"/>
      <c r="G66" s="249"/>
      <c r="H66" s="248"/>
      <c r="I66" s="248"/>
      <c r="J66" s="248"/>
      <c r="K66" s="249"/>
      <c r="L66" s="250" t="n">
        <f aca="false">L62*L63</f>
        <v>0</v>
      </c>
      <c r="M66" s="251" t="n">
        <f aca="false">M62*M63</f>
        <v>0</v>
      </c>
      <c r="N66" s="21" t="n">
        <f aca="false">N62*N63</f>
        <v>0</v>
      </c>
      <c r="O66" s="21" t="n">
        <f aca="false">O62*O63</f>
        <v>0</v>
      </c>
      <c r="P66" s="252" t="n">
        <f aca="false">P62*P63</f>
        <v>0</v>
      </c>
      <c r="Q66" s="250" t="n">
        <f aca="false">Q63*Q62</f>
        <v>0</v>
      </c>
      <c r="R66" s="251" t="n">
        <f aca="false">R63*R62</f>
        <v>0</v>
      </c>
      <c r="S66" s="251" t="n">
        <f aca="false">S63*S62</f>
        <v>0</v>
      </c>
      <c r="T66" s="251" t="n">
        <f aca="false">T63*T62</f>
        <v>0</v>
      </c>
      <c r="U66" s="252" t="n">
        <f aca="false">U63*U62</f>
        <v>0</v>
      </c>
      <c r="V66" s="247"/>
      <c r="W66" s="248"/>
      <c r="X66" s="248"/>
      <c r="Y66" s="248"/>
      <c r="Z66" s="249"/>
      <c r="AA66" s="247"/>
      <c r="AB66" s="248"/>
      <c r="AC66" s="248"/>
      <c r="AD66" s="248"/>
      <c r="AE66" s="249"/>
      <c r="AF66" s="250" t="n">
        <f aca="false">-AF62*AF63</f>
        <v>-0</v>
      </c>
      <c r="AG66" s="251" t="n">
        <f aca="false">-AG62*AG63</f>
        <v>-0</v>
      </c>
      <c r="AH66" s="251" t="n">
        <f aca="false">-AH62*AH63</f>
        <v>-0</v>
      </c>
      <c r="AI66" s="251"/>
      <c r="AJ66" s="251"/>
      <c r="AK66" s="251" t="n">
        <f aca="false">-AK62*AK63</f>
        <v>-0</v>
      </c>
      <c r="AL66" s="251" t="n">
        <f aca="false">-AL62*AL63</f>
        <v>-0</v>
      </c>
      <c r="AM66" s="252" t="n">
        <f aca="false">-AM62*AM63</f>
        <v>-0</v>
      </c>
      <c r="AN66" s="253" t="n">
        <f aca="false">-AN62*AN63</f>
        <v>-0</v>
      </c>
      <c r="AO66" s="21" t="n">
        <f aca="false">-AO62*AO63</f>
        <v>-0</v>
      </c>
      <c r="AP66" s="21" t="n">
        <f aca="false">SUM(B66:AO66)</f>
        <v>0</v>
      </c>
    </row>
    <row r="67" customFormat="false" ht="12.75" hidden="false" customHeight="false" outlineLevel="0" collapsed="false">
      <c r="A67" s="24"/>
      <c r="B67" s="24" t="n">
        <f aca="false">(B61-$H$12)*B65*16</f>
        <v>-0</v>
      </c>
      <c r="C67" s="24" t="n">
        <f aca="false">(C61-$H$12)*C65*16</f>
        <v>-0</v>
      </c>
      <c r="D67" s="24" t="n">
        <f aca="false">(D61-$H$12)*D65*16</f>
        <v>-0</v>
      </c>
      <c r="E67" s="24" t="n">
        <f aca="false">(E61-$H$12)*E65*16</f>
        <v>-0</v>
      </c>
      <c r="F67" s="24" t="n">
        <f aca="false">(F61-$H$12)*F65*16</f>
        <v>-0</v>
      </c>
      <c r="G67" s="24" t="n">
        <f aca="false">($H$12-G61)*G65*16</f>
        <v>0</v>
      </c>
      <c r="H67" s="24" t="n">
        <f aca="false">($H$12-H61)*H65*16</f>
        <v>0</v>
      </c>
      <c r="I67" s="24" t="n">
        <f aca="false">($H$12-I61)*I65*16</f>
        <v>0</v>
      </c>
      <c r="J67" s="24" t="n">
        <f aca="false">($H$12-J61)*J65*16</f>
        <v>0</v>
      </c>
      <c r="K67" s="24" t="n">
        <f aca="false">($H$12-K61)*K65*16</f>
        <v>0</v>
      </c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 t="n">
        <f aca="false">V65*($H$12-V61)*16</f>
        <v>-0</v>
      </c>
      <c r="W67" s="24" t="n">
        <f aca="false">W65*($H$12-W61)*16</f>
        <v>-0</v>
      </c>
      <c r="X67" s="24" t="n">
        <f aca="false">X65*($H$12-X61)*16</f>
        <v>-0</v>
      </c>
      <c r="Y67" s="24" t="n">
        <f aca="false">Y65*($H$12-Y61)*16</f>
        <v>-0</v>
      </c>
      <c r="Z67" s="24" t="n">
        <f aca="false">Z65*($H$12-Z61)*16</f>
        <v>-0</v>
      </c>
      <c r="AA67" s="24" t="n">
        <f aca="false">AA65*($H$12-AA61)*16</f>
        <v>-0</v>
      </c>
      <c r="AB67" s="24" t="n">
        <f aca="false">AB65*($H$12-AB61)*16</f>
        <v>-0</v>
      </c>
      <c r="AC67" s="24" t="n">
        <f aca="false">AC65*($H$12-AC61)*16</f>
        <v>-0</v>
      </c>
      <c r="AD67" s="24" t="n">
        <f aca="false">AD65*($H$12-AD61)*16</f>
        <v>-0</v>
      </c>
      <c r="AE67" s="24" t="n">
        <f aca="false">AE65*($H$12-AE61)*16</f>
        <v>-0</v>
      </c>
      <c r="AH67" s="21"/>
      <c r="AI67" s="21"/>
      <c r="AJ67" s="21"/>
      <c r="AK67" s="21"/>
      <c r="AP67" s="21" t="n">
        <f aca="false">SUM(B67:AO67)</f>
        <v>0</v>
      </c>
    </row>
    <row r="70" customFormat="false" ht="15.75" hidden="false" customHeight="false" outlineLevel="0" collapsed="false">
      <c r="B70" s="254"/>
      <c r="C70" s="255"/>
      <c r="D70" s="255"/>
      <c r="E70" s="255"/>
      <c r="F70" s="51"/>
      <c r="G70" s="51"/>
    </row>
    <row r="71" customFormat="false" ht="15.75" hidden="false" customHeight="false" outlineLevel="0" collapsed="false">
      <c r="B71" s="131"/>
      <c r="C71" s="131"/>
      <c r="D71" s="131"/>
      <c r="E71" s="131"/>
      <c r="F71" s="131"/>
      <c r="G71" s="131"/>
    </row>
    <row r="72" customFormat="false" ht="15.75" hidden="false" customHeight="false" outlineLevel="0" collapsed="false">
      <c r="B72" s="131"/>
      <c r="C72" s="131"/>
      <c r="D72" s="131"/>
      <c r="E72" s="131"/>
      <c r="F72" s="131"/>
      <c r="G72" s="131"/>
    </row>
    <row r="73" customFormat="false" ht="12" hidden="false" customHeight="true" outlineLevel="0" collapsed="false">
      <c r="B73" s="131"/>
      <c r="C73" s="131"/>
      <c r="D73" s="131"/>
      <c r="E73" s="131"/>
      <c r="F73" s="131"/>
      <c r="G73" s="131"/>
    </row>
    <row r="75" customFormat="false" ht="15.75" hidden="false" customHeight="false" outlineLevel="0" collapsed="false">
      <c r="B75" s="131"/>
      <c r="C75" s="131"/>
      <c r="D75" s="131"/>
      <c r="E75" s="131"/>
      <c r="F75" s="131"/>
      <c r="G75" s="131"/>
    </row>
    <row r="76" customFormat="false" ht="15.75" hidden="false" customHeight="false" outlineLevel="0" collapsed="false">
      <c r="B76" s="131"/>
      <c r="C76" s="131"/>
      <c r="D76" s="131"/>
      <c r="E76" s="131"/>
      <c r="F76" s="131"/>
      <c r="G76" s="131"/>
    </row>
    <row r="77" customFormat="false" ht="15.75" hidden="false" customHeight="false" outlineLevel="0" collapsed="false">
      <c r="B77" s="131"/>
      <c r="C77" s="131"/>
      <c r="D77" s="131"/>
      <c r="E77" s="131"/>
      <c r="F77" s="131"/>
      <c r="G77" s="131"/>
    </row>
    <row r="78" customFormat="false" ht="15.75" hidden="false" customHeight="false" outlineLevel="0" collapsed="false">
      <c r="B78" s="254"/>
      <c r="C78" s="255"/>
      <c r="D78" s="255"/>
      <c r="E78" s="255"/>
      <c r="F78" s="131"/>
      <c r="G78" s="131"/>
    </row>
    <row r="79" customFormat="false" ht="15.75" hidden="false" customHeight="false" outlineLevel="0" collapsed="false">
      <c r="B79" s="131"/>
      <c r="C79" s="131"/>
      <c r="D79" s="131"/>
      <c r="E79" s="131"/>
      <c r="F79" s="131"/>
      <c r="G79" s="131"/>
    </row>
    <row r="80" customFormat="false" ht="15.75" hidden="false" customHeight="false" outlineLevel="0" collapsed="false">
      <c r="B80" s="131"/>
      <c r="C80" s="131"/>
      <c r="D80" s="131"/>
      <c r="E80" s="131"/>
      <c r="F80" s="131"/>
      <c r="G80" s="131"/>
    </row>
    <row r="81" customFormat="false" ht="15.75" hidden="false" customHeight="false" outlineLevel="0" collapsed="false">
      <c r="B81" s="131"/>
      <c r="C81" s="131"/>
      <c r="D81" s="131"/>
      <c r="E81" s="131"/>
      <c r="F81" s="131"/>
      <c r="G81" s="131"/>
    </row>
    <row r="82" customFormat="false" ht="15.75" hidden="false" customHeight="false" outlineLevel="0" collapsed="false">
      <c r="B82" s="131"/>
      <c r="C82" s="131"/>
      <c r="D82" s="131"/>
      <c r="E82" s="131"/>
      <c r="F82" s="131"/>
      <c r="G82" s="131"/>
    </row>
    <row r="83" customFormat="false" ht="15.75" hidden="false" customHeight="false" outlineLevel="0" collapsed="false">
      <c r="B83" s="131"/>
      <c r="C83" s="131"/>
      <c r="D83" s="131"/>
      <c r="E83" s="131"/>
      <c r="F83" s="131"/>
      <c r="G83" s="131"/>
    </row>
    <row r="84" customFormat="false" ht="15.75" hidden="false" customHeight="false" outlineLevel="0" collapsed="false">
      <c r="B84" s="256"/>
      <c r="C84" s="255"/>
      <c r="D84" s="255"/>
      <c r="E84" s="255"/>
      <c r="F84" s="131"/>
      <c r="G84" s="131"/>
    </row>
    <row r="85" customFormat="false" ht="15.75" hidden="false" customHeight="false" outlineLevel="0" collapsed="false">
      <c r="B85" s="257"/>
      <c r="C85" s="131"/>
      <c r="D85" s="131"/>
      <c r="E85" s="131"/>
      <c r="F85" s="131"/>
      <c r="G85" s="131"/>
    </row>
    <row r="86" customFormat="false" ht="15.75" hidden="false" customHeight="false" outlineLevel="0" collapsed="false">
      <c r="B86" s="131"/>
      <c r="C86" s="131"/>
      <c r="D86" s="131"/>
      <c r="E86" s="131"/>
      <c r="F86" s="131"/>
      <c r="G86" s="131"/>
    </row>
    <row r="87" customFormat="false" ht="15.75" hidden="false" customHeight="false" outlineLevel="0" collapsed="false">
      <c r="B87" s="131"/>
      <c r="C87" s="131"/>
      <c r="D87" s="131"/>
      <c r="E87" s="131"/>
      <c r="F87" s="131"/>
      <c r="G87" s="131"/>
    </row>
    <row r="88" customFormat="false" ht="15.75" hidden="false" customHeight="false" outlineLevel="0" collapsed="false">
      <c r="B88" s="131"/>
      <c r="C88" s="131"/>
      <c r="D88" s="131"/>
      <c r="E88" s="131"/>
      <c r="F88" s="131"/>
      <c r="G88" s="131"/>
    </row>
    <row r="89" customFormat="false" ht="15.75" hidden="false" customHeight="false" outlineLevel="0" collapsed="false">
      <c r="B89" s="131"/>
      <c r="C89" s="131"/>
      <c r="D89" s="131"/>
      <c r="E89" s="131"/>
      <c r="F89" s="131"/>
      <c r="G89" s="131"/>
    </row>
    <row r="91" customFormat="false" ht="12" hidden="false" customHeight="true" outlineLevel="0" collapsed="false">
      <c r="B91" s="131"/>
      <c r="C91" s="131"/>
      <c r="D91" s="131"/>
      <c r="E91" s="131"/>
      <c r="F91" s="131"/>
    </row>
    <row r="92" customFormat="false" ht="15.75" hidden="false" customHeight="false" outlineLevel="0" collapsed="false">
      <c r="B92" s="131"/>
      <c r="C92" s="131"/>
      <c r="D92" s="131"/>
      <c r="E92" s="131"/>
      <c r="F92" s="131"/>
    </row>
    <row r="93" customFormat="false" ht="15.75" hidden="false" customHeight="false" outlineLevel="0" collapsed="false">
      <c r="B93" s="131"/>
      <c r="C93" s="131"/>
      <c r="D93" s="131"/>
      <c r="E93" s="131"/>
      <c r="F93" s="131"/>
    </row>
    <row r="94" customFormat="false" ht="15.75" hidden="false" customHeight="false" outlineLevel="0" collapsed="false">
      <c r="B94" s="131"/>
      <c r="C94" s="131"/>
      <c r="D94" s="131"/>
      <c r="E94" s="131"/>
      <c r="F94" s="131"/>
    </row>
    <row r="95" customFormat="false" ht="15.75" hidden="false" customHeight="false" outlineLevel="0" collapsed="false">
      <c r="B95" s="131"/>
      <c r="C95" s="131"/>
      <c r="D95" s="131"/>
      <c r="E95" s="131"/>
      <c r="F95" s="131"/>
    </row>
    <row r="96" customFormat="false" ht="15.75" hidden="false" customHeight="false" outlineLevel="0" collapsed="false">
      <c r="B96" s="131"/>
      <c r="C96" s="131"/>
      <c r="D96" s="131"/>
      <c r="E96" s="131"/>
      <c r="F96" s="131"/>
    </row>
    <row r="97" customFormat="false" ht="15.75" hidden="false" customHeight="false" outlineLevel="0" collapsed="false">
      <c r="B97" s="131"/>
      <c r="C97" s="131"/>
      <c r="D97" s="131"/>
      <c r="E97" s="131"/>
      <c r="F97" s="131"/>
    </row>
    <row r="98" customFormat="false" ht="15.75" hidden="false" customHeight="false" outlineLevel="0" collapsed="false">
      <c r="B98" s="131"/>
      <c r="C98" s="131"/>
      <c r="D98" s="131"/>
      <c r="E98" s="258"/>
      <c r="F98" s="258"/>
    </row>
    <row r="99" customFormat="false" ht="15.75" hidden="false" customHeight="false" outlineLevel="0" collapsed="false">
      <c r="B99" s="131"/>
      <c r="C99" s="131"/>
      <c r="D99" s="131"/>
      <c r="E99" s="131"/>
      <c r="F99" s="131"/>
    </row>
  </sheetData>
  <mergeCells count="52">
    <mergeCell ref="W10:X10"/>
    <mergeCell ref="Y10:Z10"/>
    <mergeCell ref="AA10:AB10"/>
    <mergeCell ref="AC10:AD10"/>
    <mergeCell ref="AE10:AF10"/>
    <mergeCell ref="AG10:AH10"/>
    <mergeCell ref="AI10:AJ10"/>
    <mergeCell ref="AK10:AL10"/>
    <mergeCell ref="AM10:AN10"/>
    <mergeCell ref="AO10:AP10"/>
    <mergeCell ref="AQ10:AR10"/>
    <mergeCell ref="AS10:AT10"/>
    <mergeCell ref="AU10:AV10"/>
    <mergeCell ref="AW10:AX10"/>
    <mergeCell ref="AY10:AZ10"/>
    <mergeCell ref="BA10:BB10"/>
    <mergeCell ref="BC10:BD10"/>
    <mergeCell ref="BE10:BF10"/>
    <mergeCell ref="BG10:BH10"/>
    <mergeCell ref="BI10:BJ10"/>
    <mergeCell ref="BK10:BL10"/>
    <mergeCell ref="BM10:BN10"/>
    <mergeCell ref="BO10:BP10"/>
    <mergeCell ref="BQ10:BR10"/>
    <mergeCell ref="BS10:BT10"/>
    <mergeCell ref="BU10:BV10"/>
    <mergeCell ref="BW10:BX10"/>
    <mergeCell ref="BY10:BZ10"/>
    <mergeCell ref="CA10:CB10"/>
    <mergeCell ref="CC10:CD10"/>
    <mergeCell ref="CE10:CF10"/>
    <mergeCell ref="CG10:CH10"/>
    <mergeCell ref="CI10:CJ10"/>
    <mergeCell ref="CK10:CL10"/>
    <mergeCell ref="CM10:CN10"/>
    <mergeCell ref="CO10:CP10"/>
    <mergeCell ref="CQ10:CR10"/>
    <mergeCell ref="CS10:CT10"/>
    <mergeCell ref="CU10:CV10"/>
    <mergeCell ref="CW10:CX10"/>
    <mergeCell ref="B59:K59"/>
    <mergeCell ref="L59:S59"/>
    <mergeCell ref="V59:AE59"/>
    <mergeCell ref="AF59:AM59"/>
    <mergeCell ref="B60:F60"/>
    <mergeCell ref="G60:K60"/>
    <mergeCell ref="L60:M60"/>
    <mergeCell ref="Q60:S60"/>
    <mergeCell ref="V60:Z60"/>
    <mergeCell ref="AA60:AE60"/>
    <mergeCell ref="AF60:AJ60"/>
    <mergeCell ref="AK60:AM6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">
              <controlPr defaultSize="0" locked="1" autoFill="0" autoLine="0" autoPict="0" print="true" altText="Check Box 1">
                <anchor moveWithCells="true" sizeWithCells="false">
                  <from>
                    <xdr:col>16</xdr:col>
                    <xdr:colOff>9720</xdr:colOff>
                    <xdr:row>8</xdr:row>
                    <xdr:rowOff>38160</xdr:rowOff>
                  </from>
                  <to>
                    <xdr:col>17</xdr:col>
                    <xdr:colOff>-512280</xdr:colOff>
                    <xdr:row>9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">
              <controlPr defaultSize="0" locked="1" autoFill="0" autoLine="0" autoPict="0" print="true" altText="Check Box 2">
                <anchor moveWithCells="true" sizeWithCells="false">
                  <from>
                    <xdr:col>16</xdr:col>
                    <xdr:colOff>9720</xdr:colOff>
                    <xdr:row>8</xdr:row>
                    <xdr:rowOff>29160</xdr:rowOff>
                  </from>
                  <to>
                    <xdr:col>17</xdr:col>
                    <xdr:colOff>-472320</xdr:colOff>
                    <xdr:row>9</xdr:row>
                    <xdr:rowOff>28800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4"/>
  <sheetViews>
    <sheetView showFormulas="false" showGridLines="true" showRowColHeaders="true" showZeros="true" rightToLeft="false" tabSelected="false" showOutlineSymbols="true" defaultGridColor="true" view="normal" topLeftCell="A31" colorId="64" zoomScale="75" zoomScaleNormal="75" zoomScalePageLayoutView="100" workbookViewId="0">
      <selection pane="topLeft" activeCell="I40" activeCellId="0" sqref="I4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6" min="1" style="24" width="9.14"/>
    <col collapsed="false" customWidth="true" hidden="false" outlineLevel="0" max="7" min="7" style="24" width="8.85"/>
    <col collapsed="false" customWidth="false" hidden="false" outlineLevel="0" max="9" min="8" style="24" width="9.14"/>
    <col collapsed="false" customWidth="true" hidden="true" outlineLevel="0" max="10" min="10" style="24" width="9.06"/>
    <col collapsed="false" customWidth="false" hidden="false" outlineLevel="0" max="14" min="11" style="24" width="9.14"/>
    <col collapsed="false" customWidth="true" hidden="false" outlineLevel="0" max="15" min="15" style="24" width="11.13"/>
    <col collapsed="false" customWidth="false" hidden="false" outlineLevel="0" max="257" min="16" style="24" width="9.14"/>
  </cols>
  <sheetData>
    <row r="1" customFormat="false" ht="16.5" hidden="false" customHeight="false" outlineLevel="0" collapsed="false">
      <c r="A1" s="335" t="s">
        <v>95</v>
      </c>
      <c r="B1" s="336" t="s">
        <v>96</v>
      </c>
      <c r="C1" s="336" t="s">
        <v>97</v>
      </c>
      <c r="D1" s="336" t="s">
        <v>98</v>
      </c>
      <c r="E1" s="336" t="s">
        <v>99</v>
      </c>
      <c r="F1" s="337" t="s">
        <v>100</v>
      </c>
      <c r="G1" s="338" t="s">
        <v>101</v>
      </c>
      <c r="H1" s="339" t="s">
        <v>101</v>
      </c>
      <c r="I1" s="340" t="s">
        <v>101</v>
      </c>
      <c r="K1" s="341"/>
      <c r="L1" s="342"/>
      <c r="M1" s="342"/>
      <c r="N1" s="343" t="s">
        <v>102</v>
      </c>
      <c r="O1" s="342"/>
      <c r="P1" s="342"/>
      <c r="Q1" s="344"/>
      <c r="R1" s="256"/>
    </row>
    <row r="2" customFormat="false" ht="15.75" hidden="false" customHeight="false" outlineLevel="0" collapsed="false">
      <c r="A2" s="345"/>
      <c r="B2" s="346" t="s">
        <v>103</v>
      </c>
      <c r="C2" s="346" t="s">
        <v>103</v>
      </c>
      <c r="D2" s="346" t="s">
        <v>103</v>
      </c>
      <c r="E2" s="346" t="s">
        <v>103</v>
      </c>
      <c r="F2" s="347" t="s">
        <v>103</v>
      </c>
      <c r="G2" s="348" t="s">
        <v>104</v>
      </c>
      <c r="H2" s="349" t="s">
        <v>99</v>
      </c>
      <c r="I2" s="350" t="s">
        <v>100</v>
      </c>
      <c r="K2" s="351" t="s">
        <v>64</v>
      </c>
      <c r="L2" s="352" t="s">
        <v>105</v>
      </c>
      <c r="M2" s="352"/>
      <c r="N2" s="352"/>
      <c r="O2" s="352" t="s">
        <v>106</v>
      </c>
      <c r="P2" s="352"/>
      <c r="Q2" s="352"/>
    </row>
    <row r="3" customFormat="false" ht="13.5" hidden="false" customHeight="false" outlineLevel="0" collapsed="false">
      <c r="A3" s="353"/>
      <c r="B3" s="354" t="s">
        <v>107</v>
      </c>
      <c r="C3" s="354"/>
      <c r="D3" s="354"/>
      <c r="E3" s="354"/>
      <c r="F3" s="355"/>
      <c r="G3" s="356"/>
      <c r="H3" s="357"/>
      <c r="I3" s="358"/>
      <c r="K3" s="359"/>
      <c r="L3" s="360" t="s">
        <v>96</v>
      </c>
      <c r="M3" s="360" t="s">
        <v>97</v>
      </c>
      <c r="N3" s="361" t="s">
        <v>98</v>
      </c>
      <c r="O3" s="360" t="s">
        <v>96</v>
      </c>
      <c r="P3" s="360" t="s">
        <v>97</v>
      </c>
      <c r="Q3" s="361" t="s">
        <v>98</v>
      </c>
    </row>
    <row r="4" customFormat="false" ht="12.75" hidden="false" customHeight="false" outlineLevel="0" collapsed="false">
      <c r="A4" s="362" t="n">
        <f aca="false">+Summary!U5</f>
        <v>37135</v>
      </c>
      <c r="B4" s="363" t="n">
        <f aca="false">+Summary!B5</f>
        <v>0</v>
      </c>
      <c r="C4" s="363" t="n">
        <f aca="false">+Summary!G5</f>
        <v>0</v>
      </c>
      <c r="D4" s="363" t="n">
        <f aca="false">+Summary!L5</f>
        <v>0</v>
      </c>
      <c r="E4" s="363" t="n">
        <f aca="false">+Summary!Q5</f>
        <v>0</v>
      </c>
      <c r="F4" s="364" t="n">
        <f aca="false">+Summary!V5</f>
        <v>0</v>
      </c>
      <c r="G4" s="365" t="n">
        <f aca="false">+B4+C4+D4</f>
        <v>0</v>
      </c>
      <c r="H4" s="366" t="n">
        <f aca="false">+E4</f>
        <v>0</v>
      </c>
      <c r="I4" s="367" t="n">
        <f aca="false">+F4</f>
        <v>0</v>
      </c>
      <c r="K4" s="362" t="n">
        <f aca="false">A4</f>
        <v>37135</v>
      </c>
      <c r="L4" s="368" t="n">
        <f aca="false">'NYISO A'!F12</f>
        <v>34</v>
      </c>
      <c r="M4" s="368" t="n">
        <f aca="false">'NYISO G'!F12</f>
        <v>38</v>
      </c>
      <c r="N4" s="369" t="n">
        <f aca="false">'NYISO J'!F12</f>
        <v>42</v>
      </c>
      <c r="O4" s="370" t="n">
        <f aca="false">'NYISO A'!H12</f>
        <v>30.28</v>
      </c>
      <c r="P4" s="370" t="n">
        <f aca="false">'NYISO G'!H12</f>
        <v>35.71</v>
      </c>
      <c r="Q4" s="371" t="n">
        <f aca="false">'NYISO J'!H12</f>
        <v>36.98</v>
      </c>
    </row>
    <row r="5" customFormat="false" ht="15.75" hidden="false" customHeight="true" outlineLevel="0" collapsed="false">
      <c r="A5" s="362" t="n">
        <f aca="false">+Summary!U6</f>
        <v>37136</v>
      </c>
      <c r="B5" s="363" t="n">
        <f aca="false">+Summary!B6</f>
        <v>0</v>
      </c>
      <c r="C5" s="363" t="n">
        <f aca="false">+Summary!G6</f>
        <v>0</v>
      </c>
      <c r="D5" s="363" t="n">
        <f aca="false">+Summary!L6</f>
        <v>0</v>
      </c>
      <c r="E5" s="363" t="n">
        <f aca="false">+Summary!Q6</f>
        <v>0</v>
      </c>
      <c r="F5" s="364" t="n">
        <f aca="false">+Summary!V6</f>
        <v>0</v>
      </c>
      <c r="G5" s="365" t="n">
        <f aca="false">+B5+C5+D5</f>
        <v>0</v>
      </c>
      <c r="H5" s="366" t="n">
        <f aca="false">+E5</f>
        <v>0</v>
      </c>
      <c r="I5" s="367" t="n">
        <f aca="false">+F5</f>
        <v>0</v>
      </c>
      <c r="K5" s="362" t="n">
        <f aca="false">A5</f>
        <v>37136</v>
      </c>
      <c r="L5" s="368" t="n">
        <f aca="false">'NYISO A'!F13</f>
        <v>34</v>
      </c>
      <c r="M5" s="368" t="n">
        <f aca="false">'NYISO G'!F13</f>
        <v>38</v>
      </c>
      <c r="N5" s="369" t="n">
        <f aca="false">'NYISO J'!F13</f>
        <v>42</v>
      </c>
      <c r="O5" s="370" t="n">
        <f aca="false">'NYISO A'!H13</f>
        <v>34</v>
      </c>
      <c r="P5" s="370" t="n">
        <f aca="false">'NYISO G'!H13</f>
        <v>38</v>
      </c>
      <c r="Q5" s="371" t="n">
        <f aca="false">'NYISO J'!H13</f>
        <v>42</v>
      </c>
    </row>
    <row r="6" customFormat="false" ht="13.5" hidden="false" customHeight="true" outlineLevel="0" collapsed="false">
      <c r="A6" s="362" t="n">
        <f aca="false">+Summary!U7</f>
        <v>37137</v>
      </c>
      <c r="B6" s="363" t="n">
        <f aca="false">+Summary!B7</f>
        <v>0</v>
      </c>
      <c r="C6" s="363" t="n">
        <f aca="false">+Summary!G7</f>
        <v>0</v>
      </c>
      <c r="D6" s="363" t="n">
        <f aca="false">+Summary!L7</f>
        <v>0</v>
      </c>
      <c r="E6" s="363" t="n">
        <f aca="false">+Summary!Q7</f>
        <v>0</v>
      </c>
      <c r="F6" s="364" t="n">
        <f aca="false">+Summary!V7</f>
        <v>0</v>
      </c>
      <c r="G6" s="365" t="n">
        <f aca="false">+B6+C6+D6</f>
        <v>0</v>
      </c>
      <c r="H6" s="366" t="n">
        <f aca="false">+E6</f>
        <v>0</v>
      </c>
      <c r="I6" s="367" t="n">
        <f aca="false">+F6</f>
        <v>0</v>
      </c>
      <c r="K6" s="362" t="n">
        <f aca="false">A6</f>
        <v>37137</v>
      </c>
      <c r="L6" s="368" t="n">
        <f aca="false">'NYISO A'!F14</f>
        <v>34</v>
      </c>
      <c r="M6" s="368" t="n">
        <f aca="false">'NYISO G'!F14</f>
        <v>38</v>
      </c>
      <c r="N6" s="369" t="n">
        <f aca="false">'NYISO J'!F14</f>
        <v>42</v>
      </c>
      <c r="O6" s="370" t="n">
        <f aca="false">'NYISO A'!H14</f>
        <v>34</v>
      </c>
      <c r="P6" s="370" t="n">
        <f aca="false">'NYISO G'!H14</f>
        <v>44</v>
      </c>
      <c r="Q6" s="371" t="n">
        <f aca="false">'NYISO J'!H14</f>
        <v>45</v>
      </c>
      <c r="R6" s="372" t="n">
        <f aca="false">+P6-O6</f>
        <v>10</v>
      </c>
    </row>
    <row r="7" customFormat="false" ht="12.75" hidden="false" customHeight="false" outlineLevel="0" collapsed="false">
      <c r="A7" s="362" t="n">
        <f aca="false">+Summary!U8</f>
        <v>37138</v>
      </c>
      <c r="B7" s="363" t="n">
        <f aca="false">+Summary!B8</f>
        <v>-50</v>
      </c>
      <c r="C7" s="363" t="n">
        <f aca="false">+Summary!G8</f>
        <v>-49.8219718933106</v>
      </c>
      <c r="D7" s="363" t="n">
        <f aca="false">+Summary!L8</f>
        <v>74.7329559326172</v>
      </c>
      <c r="E7" s="363" t="n">
        <f aca="false">+Summary!Q8</f>
        <v>149.248321533203</v>
      </c>
      <c r="F7" s="364" t="n">
        <f aca="false">+Summary!V8</f>
        <v>149.248321533203</v>
      </c>
      <c r="G7" s="365" t="n">
        <f aca="false">+B7+C7+D7</f>
        <v>-25.0890159606934</v>
      </c>
      <c r="H7" s="366" t="n">
        <f aca="false">+E7</f>
        <v>149.248321533203</v>
      </c>
      <c r="I7" s="367" t="n">
        <f aca="false">+F7</f>
        <v>149.248321533203</v>
      </c>
      <c r="K7" s="362" t="n">
        <f aca="false">A7</f>
        <v>37138</v>
      </c>
      <c r="L7" s="368" t="n">
        <f aca="false">'NYISO A'!F15</f>
        <v>38.5</v>
      </c>
      <c r="M7" s="368" t="n">
        <f aca="false">'NYISO G'!F15</f>
        <v>45.5</v>
      </c>
      <c r="N7" s="369" t="n">
        <f aca="false">'NYISO J'!F15</f>
        <v>48.25</v>
      </c>
      <c r="O7" s="370" t="n">
        <f aca="false">'NYISO A'!H15</f>
        <v>38.5</v>
      </c>
      <c r="P7" s="370" t="n">
        <f aca="false">'NYISO G'!H15</f>
        <v>49.5</v>
      </c>
      <c r="Q7" s="371" t="n">
        <f aca="false">'NYISO J'!H15</f>
        <v>53</v>
      </c>
      <c r="R7" s="372" t="n">
        <f aca="false">+P7-O7</f>
        <v>11</v>
      </c>
    </row>
    <row r="8" customFormat="false" ht="12.75" hidden="false" customHeight="false" outlineLevel="0" collapsed="false">
      <c r="A8" s="362" t="n">
        <f aca="false">+Summary!U9</f>
        <v>37139</v>
      </c>
      <c r="B8" s="363" t="n">
        <f aca="false">+Summary!B9</f>
        <v>-50</v>
      </c>
      <c r="C8" s="363" t="n">
        <f aca="false">+Summary!G9</f>
        <v>-49.8219718933106</v>
      </c>
      <c r="D8" s="363" t="n">
        <f aca="false">+Summary!L9</f>
        <v>74.7329559326172</v>
      </c>
      <c r="E8" s="363" t="n">
        <f aca="false">+Summary!Q9</f>
        <v>149.248321533203</v>
      </c>
      <c r="F8" s="364" t="n">
        <f aca="false">+Summary!V9</f>
        <v>149.248321533203</v>
      </c>
      <c r="G8" s="365" t="n">
        <f aca="false">+B8+C8+D8</f>
        <v>-25.0890159606934</v>
      </c>
      <c r="H8" s="366" t="n">
        <f aca="false">+E8</f>
        <v>149.248321533203</v>
      </c>
      <c r="I8" s="367" t="n">
        <f aca="false">+F8</f>
        <v>149.248321533203</v>
      </c>
      <c r="K8" s="362" t="n">
        <f aca="false">A8</f>
        <v>37139</v>
      </c>
      <c r="L8" s="368" t="n">
        <f aca="false">'NYISO A'!F16</f>
        <v>38.5</v>
      </c>
      <c r="M8" s="368" t="n">
        <f aca="false">'NYISO G'!F16</f>
        <v>45.5</v>
      </c>
      <c r="N8" s="369" t="n">
        <f aca="false">'NYISO J'!F16</f>
        <v>48.25</v>
      </c>
      <c r="O8" s="370" t="n">
        <f aca="false">'NYISO A'!H16</f>
        <v>41</v>
      </c>
      <c r="P8" s="370" t="n">
        <f aca="false">'NYISO G'!H16</f>
        <v>49.5</v>
      </c>
      <c r="Q8" s="371" t="n">
        <f aca="false">'NYISO J'!H16</f>
        <v>53</v>
      </c>
      <c r="R8" s="372" t="n">
        <f aca="false">+P8-O8</f>
        <v>8.5</v>
      </c>
    </row>
    <row r="9" customFormat="false" ht="12.75" hidden="false" customHeight="false" outlineLevel="0" collapsed="false">
      <c r="A9" s="362" t="n">
        <f aca="false">+Summary!U10</f>
        <v>37140</v>
      </c>
      <c r="B9" s="363" t="n">
        <f aca="false">+Summary!B10</f>
        <v>-50</v>
      </c>
      <c r="C9" s="363" t="n">
        <f aca="false">+Summary!G10</f>
        <v>-49.8219718933106</v>
      </c>
      <c r="D9" s="363" t="n">
        <f aca="false">+Summary!L10</f>
        <v>74.7329559326172</v>
      </c>
      <c r="E9" s="363" t="n">
        <f aca="false">+Summary!Q10</f>
        <v>149.248321533203</v>
      </c>
      <c r="F9" s="364" t="n">
        <f aca="false">+Summary!V10</f>
        <v>149.248321533203</v>
      </c>
      <c r="G9" s="365" t="n">
        <f aca="false">+B9+C9+D9</f>
        <v>-25.0890159606934</v>
      </c>
      <c r="H9" s="366" t="n">
        <f aca="false">+E9</f>
        <v>149.248321533203</v>
      </c>
      <c r="I9" s="367" t="n">
        <f aca="false">+F9</f>
        <v>149.248321533203</v>
      </c>
      <c r="K9" s="362" t="n">
        <f aca="false">A9</f>
        <v>37140</v>
      </c>
      <c r="L9" s="368" t="n">
        <f aca="false">'NYISO A'!F17</f>
        <v>38.5</v>
      </c>
      <c r="M9" s="368" t="n">
        <f aca="false">'NYISO G'!F17</f>
        <v>45.5</v>
      </c>
      <c r="N9" s="369" t="n">
        <f aca="false">'NYISO J'!F17</f>
        <v>48.25</v>
      </c>
      <c r="O9" s="370" t="n">
        <f aca="false">'NYISO A'!H17</f>
        <v>41</v>
      </c>
      <c r="P9" s="370" t="n">
        <f aca="false">'NYISO G'!H17</f>
        <v>49.5</v>
      </c>
      <c r="Q9" s="371" t="n">
        <f aca="false">'NYISO J'!H17</f>
        <v>53</v>
      </c>
      <c r="R9" s="372" t="n">
        <f aca="false">+P9-O9</f>
        <v>8.5</v>
      </c>
    </row>
    <row r="10" customFormat="false" ht="14.25" hidden="false" customHeight="true" outlineLevel="0" collapsed="false">
      <c r="A10" s="362" t="n">
        <f aca="false">+Summary!U11</f>
        <v>37141</v>
      </c>
      <c r="B10" s="363" t="n">
        <f aca="false">+Summary!B11</f>
        <v>-50</v>
      </c>
      <c r="C10" s="363" t="n">
        <f aca="false">+Summary!G11</f>
        <v>-49.8219718933106</v>
      </c>
      <c r="D10" s="363" t="n">
        <f aca="false">+Summary!L11</f>
        <v>74.7329559326172</v>
      </c>
      <c r="E10" s="363" t="n">
        <f aca="false">+Summary!Q11</f>
        <v>149.248321533203</v>
      </c>
      <c r="F10" s="364" t="n">
        <f aca="false">+Summary!V11</f>
        <v>149.248321533203</v>
      </c>
      <c r="G10" s="365" t="n">
        <f aca="false">+B10+C10+D10</f>
        <v>-25.0890159606934</v>
      </c>
      <c r="H10" s="366" t="n">
        <f aca="false">+E10</f>
        <v>149.248321533203</v>
      </c>
      <c r="I10" s="367" t="n">
        <f aca="false">+F10</f>
        <v>149.248321533203</v>
      </c>
      <c r="K10" s="362" t="n">
        <f aca="false">A10</f>
        <v>37141</v>
      </c>
      <c r="L10" s="368" t="n">
        <f aca="false">'NYISO A'!F18</f>
        <v>38.5</v>
      </c>
      <c r="M10" s="368" t="n">
        <f aca="false">'NYISO G'!F18</f>
        <v>45.5</v>
      </c>
      <c r="N10" s="369" t="n">
        <f aca="false">'NYISO J'!F18</f>
        <v>48.25</v>
      </c>
      <c r="O10" s="370" t="n">
        <f aca="false">'NYISO A'!H18</f>
        <v>41</v>
      </c>
      <c r="P10" s="370" t="n">
        <f aca="false">'NYISO G'!H18</f>
        <v>38</v>
      </c>
      <c r="Q10" s="371" t="n">
        <f aca="false">'NYISO J'!H18</f>
        <v>48.25</v>
      </c>
      <c r="R10" s="372" t="n">
        <f aca="false">+P10-O10</f>
        <v>-3</v>
      </c>
    </row>
    <row r="11" customFormat="false" ht="12" hidden="false" customHeight="true" outlineLevel="0" collapsed="false">
      <c r="A11" s="362" t="n">
        <f aca="false">+Summary!U12</f>
        <v>37142</v>
      </c>
      <c r="B11" s="363" t="n">
        <f aca="false">+Summary!B12</f>
        <v>0</v>
      </c>
      <c r="C11" s="363" t="n">
        <f aca="false">+Summary!G12</f>
        <v>0</v>
      </c>
      <c r="D11" s="363" t="n">
        <f aca="false">+Summary!L12</f>
        <v>0</v>
      </c>
      <c r="E11" s="363" t="n">
        <f aca="false">+Summary!Q12</f>
        <v>0</v>
      </c>
      <c r="F11" s="364" t="n">
        <f aca="false">+Summary!V12</f>
        <v>0</v>
      </c>
      <c r="G11" s="365" t="n">
        <f aca="false">+B11+C11+D11</f>
        <v>0</v>
      </c>
      <c r="H11" s="366" t="n">
        <f aca="false">+E11</f>
        <v>0</v>
      </c>
      <c r="I11" s="367" t="n">
        <f aca="false">+F11</f>
        <v>0</v>
      </c>
      <c r="K11" s="362" t="n">
        <f aca="false">A11</f>
        <v>37142</v>
      </c>
      <c r="L11" s="368" t="n">
        <f aca="false">'NYISO A'!F19</f>
        <v>34</v>
      </c>
      <c r="M11" s="368" t="n">
        <f aca="false">'NYISO G'!F19</f>
        <v>38</v>
      </c>
      <c r="N11" s="369" t="n">
        <f aca="false">'NYISO J'!F19</f>
        <v>42</v>
      </c>
      <c r="O11" s="370" t="n">
        <f aca="false">'NYISO A'!H19</f>
        <v>34</v>
      </c>
      <c r="P11" s="370" t="n">
        <f aca="false">'NYISO G'!H19</f>
        <v>38</v>
      </c>
      <c r="Q11" s="371" t="n">
        <f aca="false">'NYISO J'!H19</f>
        <v>42</v>
      </c>
      <c r="R11" s="372" t="n">
        <f aca="false">+P11-O11</f>
        <v>4</v>
      </c>
    </row>
    <row r="12" customFormat="false" ht="12.75" hidden="false" customHeight="false" outlineLevel="0" collapsed="false">
      <c r="A12" s="362" t="n">
        <f aca="false">+Summary!U13</f>
        <v>37143</v>
      </c>
      <c r="B12" s="363" t="n">
        <f aca="false">+Summary!B13</f>
        <v>0</v>
      </c>
      <c r="C12" s="363" t="n">
        <f aca="false">+Summary!G13</f>
        <v>0</v>
      </c>
      <c r="D12" s="363" t="n">
        <f aca="false">+Summary!L13</f>
        <v>0</v>
      </c>
      <c r="E12" s="363" t="n">
        <f aca="false">+Summary!Q13</f>
        <v>0</v>
      </c>
      <c r="F12" s="364" t="n">
        <f aca="false">+Summary!V13</f>
        <v>0</v>
      </c>
      <c r="G12" s="365" t="n">
        <f aca="false">+B12+C12+D12</f>
        <v>0</v>
      </c>
      <c r="H12" s="366" t="n">
        <f aca="false">+E12</f>
        <v>0</v>
      </c>
      <c r="I12" s="367" t="n">
        <f aca="false">+F12</f>
        <v>0</v>
      </c>
      <c r="K12" s="362" t="n">
        <f aca="false">A12</f>
        <v>37143</v>
      </c>
      <c r="L12" s="368" t="n">
        <f aca="false">'NYISO A'!F20</f>
        <v>34</v>
      </c>
      <c r="M12" s="368" t="n">
        <f aca="false">'NYISO G'!F20</f>
        <v>38</v>
      </c>
      <c r="N12" s="369" t="n">
        <f aca="false">'NYISO J'!F20</f>
        <v>42</v>
      </c>
      <c r="O12" s="370" t="n">
        <f aca="false">'NYISO A'!H20</f>
        <v>34</v>
      </c>
      <c r="P12" s="370" t="n">
        <f aca="false">'NYISO G'!H20</f>
        <v>38</v>
      </c>
      <c r="Q12" s="371" t="n">
        <f aca="false">'NYISO J'!H20</f>
        <v>42</v>
      </c>
      <c r="R12" s="372" t="n">
        <f aca="false">+P12-O12</f>
        <v>4</v>
      </c>
    </row>
    <row r="13" customFormat="false" ht="12.75" hidden="false" customHeight="false" outlineLevel="0" collapsed="false">
      <c r="A13" s="362" t="n">
        <f aca="false">+Summary!U14</f>
        <v>37144</v>
      </c>
      <c r="B13" s="363" t="n">
        <f aca="false">+Summary!B14</f>
        <v>-249.10986328125</v>
      </c>
      <c r="C13" s="363" t="n">
        <f aca="false">+Summary!G14</f>
        <v>1.24999999500525E-013</v>
      </c>
      <c r="D13" s="363" t="n">
        <f aca="false">+Summary!L14</f>
        <v>74.7329559326172</v>
      </c>
      <c r="E13" s="363" t="n">
        <f aca="false">+Summary!Q14</f>
        <v>-198.997756958008</v>
      </c>
      <c r="F13" s="364" t="n">
        <f aca="false">+Summary!V14</f>
        <v>-3.12499998751312E-013</v>
      </c>
      <c r="G13" s="365" t="n">
        <f aca="false">+B13+C13+D13</f>
        <v>-174.376907348633</v>
      </c>
      <c r="H13" s="366" t="n">
        <f aca="false">+E13</f>
        <v>-198.997756958008</v>
      </c>
      <c r="I13" s="367" t="n">
        <f aca="false">+F13</f>
        <v>-3.12499998751312E-013</v>
      </c>
      <c r="K13" s="362" t="n">
        <f aca="false">A13</f>
        <v>37144</v>
      </c>
      <c r="L13" s="368" t="n">
        <f aca="false">'NYISO A'!F21</f>
        <v>34</v>
      </c>
      <c r="M13" s="368" t="n">
        <f aca="false">'NYISO G'!F21</f>
        <v>40.5</v>
      </c>
      <c r="N13" s="369" t="n">
        <f aca="false">'NYISO J'!F21</f>
        <v>45.75</v>
      </c>
      <c r="O13" s="370" t="n">
        <f aca="false">'NYISO A'!H21</f>
        <v>34.5</v>
      </c>
      <c r="P13" s="370" t="n">
        <f aca="false">'NYISO G'!H21</f>
        <v>40.5</v>
      </c>
      <c r="Q13" s="371" t="n">
        <f aca="false">'NYISO J'!H21</f>
        <v>45.75</v>
      </c>
      <c r="R13" s="372" t="n">
        <f aca="false">+P13-O13</f>
        <v>6</v>
      </c>
    </row>
    <row r="14" customFormat="false" ht="12.75" hidden="false" customHeight="false" outlineLevel="0" collapsed="false">
      <c r="A14" s="362" t="n">
        <f aca="false">+Summary!U15</f>
        <v>37145</v>
      </c>
      <c r="B14" s="363" t="n">
        <f aca="false">+Summary!B15</f>
        <v>-249.10986328125</v>
      </c>
      <c r="C14" s="363" t="n">
        <f aca="false">+Summary!G15</f>
        <v>1.24999999500525E-013</v>
      </c>
      <c r="D14" s="363" t="n">
        <f aca="false">+Summary!L15</f>
        <v>74.7329559326172</v>
      </c>
      <c r="E14" s="363" t="n">
        <f aca="false">+Summary!Q15</f>
        <v>-198.997756958008</v>
      </c>
      <c r="F14" s="364" t="n">
        <f aca="false">+Summary!V15</f>
        <v>-7.49999997003148E-013</v>
      </c>
      <c r="G14" s="365" t="n">
        <f aca="false">+B14+C14+D14</f>
        <v>-174.376907348633</v>
      </c>
      <c r="H14" s="366" t="n">
        <f aca="false">+E14</f>
        <v>-198.997756958008</v>
      </c>
      <c r="I14" s="367" t="n">
        <f aca="false">+F14</f>
        <v>-7.49999997003148E-013</v>
      </c>
      <c r="K14" s="362" t="n">
        <f aca="false">A14</f>
        <v>37145</v>
      </c>
      <c r="L14" s="368" t="n">
        <f aca="false">'NYISO A'!F22</f>
        <v>34</v>
      </c>
      <c r="M14" s="368" t="n">
        <f aca="false">'NYISO G'!F22</f>
        <v>40.5</v>
      </c>
      <c r="N14" s="369" t="n">
        <f aca="false">'NYISO J'!F22</f>
        <v>45.75</v>
      </c>
      <c r="O14" s="370" t="n">
        <f aca="false">'NYISO A'!H22</f>
        <v>34.5</v>
      </c>
      <c r="P14" s="370" t="n">
        <f aca="false">'NYISO G'!H22</f>
        <v>40.5</v>
      </c>
      <c r="Q14" s="371" t="n">
        <f aca="false">'NYISO J'!H22</f>
        <v>45.75</v>
      </c>
    </row>
    <row r="15" customFormat="false" ht="12.75" hidden="false" customHeight="false" outlineLevel="0" collapsed="false">
      <c r="A15" s="362" t="n">
        <f aca="false">+Summary!U16</f>
        <v>37146</v>
      </c>
      <c r="B15" s="363" t="n">
        <f aca="false">+Summary!B16</f>
        <v>-249.10986328125</v>
      </c>
      <c r="C15" s="363" t="n">
        <f aca="false">+Summary!G16</f>
        <v>1.24999999500525E-013</v>
      </c>
      <c r="D15" s="363" t="n">
        <f aca="false">+Summary!L16</f>
        <v>74.7329559326172</v>
      </c>
      <c r="E15" s="363" t="n">
        <f aca="false">+Summary!Q16</f>
        <v>-198.997756958008</v>
      </c>
      <c r="F15" s="364" t="n">
        <f aca="false">+Summary!V16</f>
        <v>3.12499998751312E-013</v>
      </c>
      <c r="G15" s="365" t="n">
        <f aca="false">+B15+C15+D15</f>
        <v>-174.376907348633</v>
      </c>
      <c r="H15" s="366" t="n">
        <f aca="false">+E15</f>
        <v>-198.997756958008</v>
      </c>
      <c r="I15" s="367" t="n">
        <f aca="false">+F15</f>
        <v>3.12499998751312E-013</v>
      </c>
      <c r="K15" s="362" t="n">
        <f aca="false">A15</f>
        <v>37146</v>
      </c>
      <c r="L15" s="368" t="n">
        <f aca="false">'NYISO A'!F23</f>
        <v>34</v>
      </c>
      <c r="M15" s="368" t="n">
        <f aca="false">'NYISO G'!F23</f>
        <v>40.5</v>
      </c>
      <c r="N15" s="369" t="n">
        <f aca="false">'NYISO J'!F23</f>
        <v>45.75</v>
      </c>
      <c r="O15" s="370" t="n">
        <f aca="false">'NYISO A'!H23</f>
        <v>34.5</v>
      </c>
      <c r="P15" s="370" t="n">
        <f aca="false">'NYISO G'!H23</f>
        <v>40.5</v>
      </c>
      <c r="Q15" s="371" t="n">
        <f aca="false">'NYISO J'!H23</f>
        <v>45.75</v>
      </c>
    </row>
    <row r="16" customFormat="false" ht="12.75" hidden="false" customHeight="false" outlineLevel="0" collapsed="false">
      <c r="A16" s="362" t="n">
        <f aca="false">+Summary!U17</f>
        <v>37147</v>
      </c>
      <c r="B16" s="363" t="n">
        <f aca="false">+Summary!B17</f>
        <v>-249.10986328125</v>
      </c>
      <c r="C16" s="363" t="n">
        <f aca="false">+Summary!G17</f>
        <v>1.24999999500525E-013</v>
      </c>
      <c r="D16" s="363" t="n">
        <f aca="false">+Summary!L17</f>
        <v>74.7329559326172</v>
      </c>
      <c r="E16" s="363" t="n">
        <f aca="false">+Summary!Q17</f>
        <v>-198.997756958008</v>
      </c>
      <c r="F16" s="364" t="n">
        <f aca="false">+Summary!V17</f>
        <v>-3.12499998751312E-013</v>
      </c>
      <c r="G16" s="365" t="n">
        <f aca="false">+B16+C16+D16</f>
        <v>-174.376907348633</v>
      </c>
      <c r="H16" s="366" t="n">
        <f aca="false">+E16</f>
        <v>-198.997756958008</v>
      </c>
      <c r="I16" s="367" t="n">
        <f aca="false">+F16</f>
        <v>-3.12499998751312E-013</v>
      </c>
      <c r="K16" s="362" t="n">
        <f aca="false">A16</f>
        <v>37147</v>
      </c>
      <c r="L16" s="368" t="n">
        <f aca="false">'NYISO A'!F24</f>
        <v>34</v>
      </c>
      <c r="M16" s="368" t="n">
        <f aca="false">'NYISO G'!F24</f>
        <v>40.5</v>
      </c>
      <c r="N16" s="369" t="n">
        <f aca="false">'NYISO J'!F24</f>
        <v>45.75</v>
      </c>
      <c r="O16" s="370" t="n">
        <f aca="false">'NYISO A'!H24</f>
        <v>34.5</v>
      </c>
      <c r="P16" s="370" t="n">
        <f aca="false">'NYISO G'!H24</f>
        <v>40.5</v>
      </c>
      <c r="Q16" s="371" t="n">
        <f aca="false">'NYISO J'!H24</f>
        <v>45.75</v>
      </c>
    </row>
    <row r="17" customFormat="false" ht="13.5" hidden="false" customHeight="true" outlineLevel="0" collapsed="false">
      <c r="A17" s="362" t="n">
        <f aca="false">+Summary!U18</f>
        <v>37148</v>
      </c>
      <c r="B17" s="363" t="n">
        <f aca="false">+Summary!B18</f>
        <v>-249.10986328125</v>
      </c>
      <c r="C17" s="363" t="n">
        <f aca="false">+Summary!G18</f>
        <v>1.24999999500525E-013</v>
      </c>
      <c r="D17" s="363" t="n">
        <f aca="false">+Summary!L18</f>
        <v>74.7329559326172</v>
      </c>
      <c r="E17" s="363" t="n">
        <f aca="false">+Summary!Q18</f>
        <v>-198.997756958008</v>
      </c>
      <c r="F17" s="364" t="n">
        <f aca="false">+Summary!V18</f>
        <v>-3.12499998751312E-013</v>
      </c>
      <c r="G17" s="365" t="n">
        <f aca="false">+B17+C17+D17</f>
        <v>-174.376907348633</v>
      </c>
      <c r="H17" s="366" t="n">
        <f aca="false">+E17</f>
        <v>-198.997756958008</v>
      </c>
      <c r="I17" s="367" t="n">
        <f aca="false">+F17</f>
        <v>-3.12499998751312E-013</v>
      </c>
      <c r="K17" s="362" t="n">
        <f aca="false">A17</f>
        <v>37148</v>
      </c>
      <c r="L17" s="368" t="n">
        <f aca="false">'NYISO A'!F25</f>
        <v>34</v>
      </c>
      <c r="M17" s="368" t="n">
        <f aca="false">'NYISO G'!F25</f>
        <v>40.5</v>
      </c>
      <c r="N17" s="369" t="n">
        <f aca="false">'NYISO J'!F25</f>
        <v>45.75</v>
      </c>
      <c r="O17" s="370" t="n">
        <f aca="false">'NYISO A'!H25</f>
        <v>34.5</v>
      </c>
      <c r="P17" s="370" t="n">
        <f aca="false">'NYISO G'!H25</f>
        <v>40.5</v>
      </c>
      <c r="Q17" s="371" t="n">
        <f aca="false">'NYISO J'!H25</f>
        <v>45.75</v>
      </c>
    </row>
    <row r="18" customFormat="false" ht="10.5" hidden="false" customHeight="true" outlineLevel="0" collapsed="false">
      <c r="A18" s="362" t="n">
        <f aca="false">+Summary!U19</f>
        <v>37149</v>
      </c>
      <c r="B18" s="363" t="n">
        <f aca="false">+Summary!B19</f>
        <v>0</v>
      </c>
      <c r="C18" s="363" t="n">
        <f aca="false">+Summary!G19</f>
        <v>0</v>
      </c>
      <c r="D18" s="363" t="n">
        <f aca="false">+Summary!L19</f>
        <v>0</v>
      </c>
      <c r="E18" s="363" t="n">
        <f aca="false">+Summary!Q19</f>
        <v>0</v>
      </c>
      <c r="F18" s="364" t="n">
        <f aca="false">+Summary!V19</f>
        <v>0</v>
      </c>
      <c r="G18" s="365" t="n">
        <f aca="false">+B18+C18+D18</f>
        <v>0</v>
      </c>
      <c r="H18" s="366" t="n">
        <f aca="false">+E18</f>
        <v>0</v>
      </c>
      <c r="I18" s="367" t="n">
        <f aca="false">+F18</f>
        <v>0</v>
      </c>
      <c r="K18" s="362" t="n">
        <f aca="false">A18</f>
        <v>37149</v>
      </c>
      <c r="L18" s="368" t="n">
        <f aca="false">'NYISO A'!F26</f>
        <v>33</v>
      </c>
      <c r="M18" s="368" t="n">
        <f aca="false">'NYISO G'!F26</f>
        <v>38</v>
      </c>
      <c r="N18" s="369" t="n">
        <f aca="false">'NYISO J'!F26</f>
        <v>42</v>
      </c>
      <c r="O18" s="370" t="n">
        <f aca="false">'NYISO A'!H26</f>
        <v>33</v>
      </c>
      <c r="P18" s="370" t="n">
        <f aca="false">'NYISO G'!H26</f>
        <v>38</v>
      </c>
      <c r="Q18" s="371" t="n">
        <f aca="false">'NYISO J'!H26</f>
        <v>42</v>
      </c>
    </row>
    <row r="19" customFormat="false" ht="12.75" hidden="false" customHeight="false" outlineLevel="0" collapsed="false">
      <c r="A19" s="362" t="n">
        <f aca="false">+Summary!U20</f>
        <v>37150</v>
      </c>
      <c r="B19" s="363" t="n">
        <f aca="false">+Summary!B20</f>
        <v>0</v>
      </c>
      <c r="C19" s="363" t="n">
        <f aca="false">+Summary!G20</f>
        <v>0</v>
      </c>
      <c r="D19" s="363" t="n">
        <f aca="false">+Summary!L20</f>
        <v>0</v>
      </c>
      <c r="E19" s="363" t="n">
        <f aca="false">+Summary!Q20</f>
        <v>0</v>
      </c>
      <c r="F19" s="364" t="n">
        <f aca="false">+Summary!V20</f>
        <v>0</v>
      </c>
      <c r="G19" s="365" t="n">
        <f aca="false">+B19+C19+D19</f>
        <v>0</v>
      </c>
      <c r="H19" s="366" t="n">
        <f aca="false">+E19</f>
        <v>0</v>
      </c>
      <c r="I19" s="367" t="n">
        <f aca="false">+F19</f>
        <v>0</v>
      </c>
      <c r="K19" s="362" t="n">
        <f aca="false">A19</f>
        <v>37150</v>
      </c>
      <c r="L19" s="368" t="n">
        <f aca="false">'NYISO A'!F27</f>
        <v>33</v>
      </c>
      <c r="M19" s="368" t="n">
        <f aca="false">'NYISO G'!F27</f>
        <v>38</v>
      </c>
      <c r="N19" s="369" t="n">
        <f aca="false">'NYISO J'!F27</f>
        <v>42</v>
      </c>
      <c r="O19" s="370" t="n">
        <f aca="false">'NYISO A'!H27</f>
        <v>33</v>
      </c>
      <c r="P19" s="370" t="n">
        <f aca="false">'NYISO G'!H27</f>
        <v>38</v>
      </c>
      <c r="Q19" s="371" t="n">
        <f aca="false">'NYISO J'!H27</f>
        <v>42</v>
      </c>
    </row>
    <row r="20" customFormat="false" ht="12.75" hidden="false" customHeight="false" outlineLevel="0" collapsed="false">
      <c r="A20" s="362" t="n">
        <f aca="false">+Summary!U21</f>
        <v>37151</v>
      </c>
      <c r="B20" s="363" t="n">
        <f aca="false">+Summary!B21</f>
        <v>-249.10986328125</v>
      </c>
      <c r="C20" s="363" t="n">
        <f aca="false">+Summary!G21</f>
        <v>1.24999999500525E-013</v>
      </c>
      <c r="D20" s="363" t="n">
        <f aca="false">+Summary!L21</f>
        <v>74.7329559326172</v>
      </c>
      <c r="E20" s="363" t="n">
        <f aca="false">+Summary!Q21</f>
        <v>-198.997756958008</v>
      </c>
      <c r="F20" s="364" t="n">
        <f aca="false">+Summary!V21</f>
        <v>-3.12499998751312E-013</v>
      </c>
      <c r="G20" s="365" t="n">
        <f aca="false">+B20+C20+D20</f>
        <v>-174.376907348633</v>
      </c>
      <c r="H20" s="366" t="n">
        <f aca="false">+E20</f>
        <v>-198.997756958008</v>
      </c>
      <c r="I20" s="367" t="n">
        <f aca="false">+F20</f>
        <v>-3.12499998751312E-013</v>
      </c>
      <c r="K20" s="362" t="n">
        <f aca="false">A20</f>
        <v>37151</v>
      </c>
      <c r="L20" s="368" t="n">
        <f aca="false">'NYISO A'!F28</f>
        <v>34</v>
      </c>
      <c r="M20" s="368" t="n">
        <f aca="false">'NYISO G'!F28</f>
        <v>40.5</v>
      </c>
      <c r="N20" s="369" t="n">
        <f aca="false">'NYISO J'!F28</f>
        <v>45.75</v>
      </c>
      <c r="O20" s="370" t="n">
        <f aca="false">'NYISO A'!H28</f>
        <v>34.5</v>
      </c>
      <c r="P20" s="370" t="n">
        <f aca="false">'NYISO G'!H28</f>
        <v>40.5</v>
      </c>
      <c r="Q20" s="371" t="n">
        <f aca="false">'NYISO J'!H28</f>
        <v>45.75</v>
      </c>
    </row>
    <row r="21" customFormat="false" ht="12.75" hidden="false" customHeight="false" outlineLevel="0" collapsed="false">
      <c r="A21" s="362" t="n">
        <f aca="false">+Summary!U22</f>
        <v>37152</v>
      </c>
      <c r="B21" s="363" t="n">
        <f aca="false">+Summary!B22</f>
        <v>-249.10986328125</v>
      </c>
      <c r="C21" s="363" t="n">
        <f aca="false">+Summary!G22</f>
        <v>0</v>
      </c>
      <c r="D21" s="363" t="n">
        <f aca="false">+Summary!L22</f>
        <v>74.7329559326172</v>
      </c>
      <c r="E21" s="363" t="n">
        <f aca="false">+Summary!Q22</f>
        <v>-198.997756958008</v>
      </c>
      <c r="F21" s="364" t="n">
        <f aca="false">+Summary!V22</f>
        <v>-3.12499998751312E-013</v>
      </c>
      <c r="G21" s="365" t="n">
        <f aca="false">+B21+C21+D21</f>
        <v>-174.376907348633</v>
      </c>
      <c r="H21" s="366" t="n">
        <f aca="false">+E21</f>
        <v>-198.997756958008</v>
      </c>
      <c r="I21" s="367" t="n">
        <f aca="false">+F21</f>
        <v>-3.12499998751312E-013</v>
      </c>
      <c r="K21" s="362" t="n">
        <f aca="false">A21</f>
        <v>37152</v>
      </c>
      <c r="L21" s="368" t="n">
        <f aca="false">'NYISO A'!F29</f>
        <v>34</v>
      </c>
      <c r="M21" s="368" t="n">
        <f aca="false">'NYISO G'!F29</f>
        <v>40.5</v>
      </c>
      <c r="N21" s="369" t="n">
        <f aca="false">'NYISO J'!F29</f>
        <v>45.75</v>
      </c>
      <c r="O21" s="370" t="n">
        <f aca="false">'NYISO A'!H29</f>
        <v>34.5</v>
      </c>
      <c r="P21" s="370" t="n">
        <f aca="false">'NYISO G'!H29</f>
        <v>40.5</v>
      </c>
      <c r="Q21" s="371" t="n">
        <f aca="false">'NYISO J'!H29</f>
        <v>45.75</v>
      </c>
    </row>
    <row r="22" customFormat="false" ht="12.75" hidden="false" customHeight="false" outlineLevel="0" collapsed="false">
      <c r="A22" s="362" t="n">
        <f aca="false">+Summary!U23</f>
        <v>37153</v>
      </c>
      <c r="B22" s="363" t="n">
        <f aca="false">+Summary!B23</f>
        <v>-249.10986328125</v>
      </c>
      <c r="C22" s="363" t="n">
        <f aca="false">+Summary!G23</f>
        <v>2.49999999001049E-013</v>
      </c>
      <c r="D22" s="363" t="n">
        <f aca="false">+Summary!L23</f>
        <v>74.7329559326172</v>
      </c>
      <c r="E22" s="363" t="n">
        <f aca="false">+Summary!Q23</f>
        <v>-198.997756958008</v>
      </c>
      <c r="F22" s="364" t="n">
        <f aca="false">+Summary!V23</f>
        <v>-7.49999997003148E-013</v>
      </c>
      <c r="G22" s="365" t="n">
        <f aca="false">+B22+C22+D22</f>
        <v>-174.376907348633</v>
      </c>
      <c r="H22" s="366" t="n">
        <f aca="false">+E22</f>
        <v>-198.997756958008</v>
      </c>
      <c r="I22" s="367" t="n">
        <f aca="false">+F22</f>
        <v>-7.49999997003148E-013</v>
      </c>
      <c r="K22" s="362" t="n">
        <f aca="false">A22</f>
        <v>37153</v>
      </c>
      <c r="L22" s="368" t="n">
        <f aca="false">'NYISO A'!F30</f>
        <v>34</v>
      </c>
      <c r="M22" s="368" t="n">
        <f aca="false">'NYISO G'!F30</f>
        <v>40.5</v>
      </c>
      <c r="N22" s="369" t="n">
        <f aca="false">'NYISO J'!F30</f>
        <v>45.75</v>
      </c>
      <c r="O22" s="370" t="n">
        <f aca="false">'NYISO A'!H30</f>
        <v>34.5</v>
      </c>
      <c r="P22" s="370" t="n">
        <f aca="false">'NYISO G'!H30</f>
        <v>40.5</v>
      </c>
      <c r="Q22" s="371" t="n">
        <f aca="false">'NYISO J'!H30</f>
        <v>45.75</v>
      </c>
    </row>
    <row r="23" customFormat="false" ht="12" hidden="false" customHeight="true" outlineLevel="0" collapsed="false">
      <c r="A23" s="362" t="n">
        <f aca="false">+Summary!U24</f>
        <v>37154</v>
      </c>
      <c r="B23" s="363" t="n">
        <f aca="false">+Summary!B24</f>
        <v>-249.10986328125</v>
      </c>
      <c r="C23" s="363" t="n">
        <f aca="false">+Summary!G24</f>
        <v>2.49999999001049E-013</v>
      </c>
      <c r="D23" s="363" t="n">
        <f aca="false">+Summary!L24</f>
        <v>74.7329559326172</v>
      </c>
      <c r="E23" s="363" t="n">
        <f aca="false">+Summary!Q24</f>
        <v>-198.997756958008</v>
      </c>
      <c r="F23" s="364" t="n">
        <f aca="false">+Summary!V24</f>
        <v>-7.49999997003148E-013</v>
      </c>
      <c r="G23" s="365" t="n">
        <f aca="false">+B23+C23+D23</f>
        <v>-174.376907348633</v>
      </c>
      <c r="H23" s="366" t="n">
        <f aca="false">+E23</f>
        <v>-198.997756958008</v>
      </c>
      <c r="I23" s="367" t="n">
        <f aca="false">+F23</f>
        <v>-7.49999997003148E-013</v>
      </c>
      <c r="K23" s="362" t="n">
        <f aca="false">A23</f>
        <v>37154</v>
      </c>
      <c r="L23" s="368" t="n">
        <f aca="false">'NYISO A'!F31</f>
        <v>34</v>
      </c>
      <c r="M23" s="368" t="n">
        <f aca="false">'NYISO G'!F31</f>
        <v>40.5</v>
      </c>
      <c r="N23" s="369" t="n">
        <f aca="false">'NYISO J'!F31</f>
        <v>45.75</v>
      </c>
      <c r="O23" s="370" t="n">
        <f aca="false">'NYISO A'!H31</f>
        <v>34.5</v>
      </c>
      <c r="P23" s="370" t="n">
        <f aca="false">'NYISO G'!H31</f>
        <v>40.5</v>
      </c>
      <c r="Q23" s="371" t="n">
        <f aca="false">'NYISO J'!H31</f>
        <v>45.75</v>
      </c>
    </row>
    <row r="24" customFormat="false" ht="12.75" hidden="false" customHeight="false" outlineLevel="0" collapsed="false">
      <c r="A24" s="362" t="n">
        <f aca="false">+Summary!U25</f>
        <v>37155</v>
      </c>
      <c r="B24" s="363" t="n">
        <f aca="false">+Summary!B25</f>
        <v>-249.10986328125</v>
      </c>
      <c r="C24" s="363" t="n">
        <f aca="false">+Summary!G25</f>
        <v>2.49999999001049E-013</v>
      </c>
      <c r="D24" s="363" t="n">
        <f aca="false">+Summary!L25</f>
        <v>74.7329559326172</v>
      </c>
      <c r="E24" s="363" t="n">
        <f aca="false">+Summary!Q25</f>
        <v>-198.997756958008</v>
      </c>
      <c r="F24" s="364" t="n">
        <f aca="false">+Summary!V25</f>
        <v>-1.24999999500525E-013</v>
      </c>
      <c r="G24" s="365" t="n">
        <f aca="false">+B24+C24+D24</f>
        <v>-174.376907348633</v>
      </c>
      <c r="H24" s="366" t="n">
        <f aca="false">+E24</f>
        <v>-198.997756958008</v>
      </c>
      <c r="I24" s="367" t="n">
        <f aca="false">+F24</f>
        <v>-1.24999999500525E-013</v>
      </c>
      <c r="K24" s="362" t="n">
        <f aca="false">A24</f>
        <v>37155</v>
      </c>
      <c r="L24" s="368" t="n">
        <f aca="false">'NYISO A'!F32</f>
        <v>34</v>
      </c>
      <c r="M24" s="368" t="n">
        <f aca="false">'NYISO G'!F32</f>
        <v>40.5</v>
      </c>
      <c r="N24" s="369" t="n">
        <f aca="false">'NYISO J'!F32</f>
        <v>45.75</v>
      </c>
      <c r="O24" s="370" t="n">
        <f aca="false">'NYISO A'!H32</f>
        <v>34.5</v>
      </c>
      <c r="P24" s="370" t="n">
        <f aca="false">'NYISO G'!H32</f>
        <v>40.5</v>
      </c>
      <c r="Q24" s="371" t="n">
        <f aca="false">'NYISO J'!H32</f>
        <v>45.75</v>
      </c>
    </row>
    <row r="25" customFormat="false" ht="12.75" hidden="false" customHeight="false" outlineLevel="0" collapsed="false">
      <c r="A25" s="362" t="n">
        <f aca="false">+Summary!U26</f>
        <v>37156</v>
      </c>
      <c r="B25" s="363" t="n">
        <f aca="false">+Summary!B26</f>
        <v>0</v>
      </c>
      <c r="C25" s="363" t="n">
        <f aca="false">+Summary!G26</f>
        <v>0</v>
      </c>
      <c r="D25" s="363" t="n">
        <f aca="false">+Summary!L26</f>
        <v>0</v>
      </c>
      <c r="E25" s="363" t="n">
        <f aca="false">+Summary!Q26</f>
        <v>0</v>
      </c>
      <c r="F25" s="364" t="n">
        <f aca="false">+Summary!V26</f>
        <v>0</v>
      </c>
      <c r="G25" s="365" t="n">
        <f aca="false">+B25+C25+D25</f>
        <v>0</v>
      </c>
      <c r="H25" s="366" t="n">
        <f aca="false">+E25</f>
        <v>0</v>
      </c>
      <c r="I25" s="367" t="n">
        <f aca="false">+F25</f>
        <v>0</v>
      </c>
      <c r="K25" s="362" t="n">
        <f aca="false">A25</f>
        <v>37156</v>
      </c>
      <c r="L25" s="368" t="n">
        <f aca="false">'NYISO A'!F33</f>
        <v>33</v>
      </c>
      <c r="M25" s="368" t="n">
        <f aca="false">'NYISO G'!F33</f>
        <v>38</v>
      </c>
      <c r="N25" s="369" t="n">
        <f aca="false">'NYISO J'!F33</f>
        <v>42</v>
      </c>
      <c r="O25" s="370" t="n">
        <f aca="false">'NYISO A'!H33</f>
        <v>33</v>
      </c>
      <c r="P25" s="370" t="n">
        <f aca="false">'NYISO G'!H33</f>
        <v>38</v>
      </c>
      <c r="Q25" s="371" t="n">
        <f aca="false">'NYISO J'!H33</f>
        <v>42</v>
      </c>
    </row>
    <row r="26" customFormat="false" ht="12.75" hidden="false" customHeight="false" outlineLevel="0" collapsed="false">
      <c r="A26" s="362" t="n">
        <f aca="false">+Summary!U27</f>
        <v>37157</v>
      </c>
      <c r="B26" s="363" t="n">
        <f aca="false">+Summary!B27</f>
        <v>0</v>
      </c>
      <c r="C26" s="363" t="n">
        <f aca="false">+Summary!G27</f>
        <v>0</v>
      </c>
      <c r="D26" s="363" t="n">
        <f aca="false">+Summary!L27</f>
        <v>0</v>
      </c>
      <c r="E26" s="363" t="n">
        <f aca="false">+Summary!Q27</f>
        <v>0</v>
      </c>
      <c r="F26" s="364" t="n">
        <f aca="false">+Summary!V27</f>
        <v>0</v>
      </c>
      <c r="G26" s="365" t="n">
        <f aca="false">+B26+C26+D26</f>
        <v>0</v>
      </c>
      <c r="H26" s="366" t="n">
        <f aca="false">+E26</f>
        <v>0</v>
      </c>
      <c r="I26" s="367" t="n">
        <f aca="false">+F26</f>
        <v>0</v>
      </c>
      <c r="K26" s="362" t="n">
        <f aca="false">A26</f>
        <v>37157</v>
      </c>
      <c r="L26" s="368" t="n">
        <f aca="false">'NYISO A'!F34</f>
        <v>33</v>
      </c>
      <c r="M26" s="368" t="n">
        <f aca="false">'NYISO G'!F34</f>
        <v>38</v>
      </c>
      <c r="N26" s="369" t="n">
        <f aca="false">'NYISO J'!F34</f>
        <v>42</v>
      </c>
      <c r="O26" s="370" t="n">
        <f aca="false">'NYISO A'!H34</f>
        <v>33</v>
      </c>
      <c r="P26" s="370" t="n">
        <f aca="false">'NYISO G'!H34</f>
        <v>38</v>
      </c>
      <c r="Q26" s="371" t="n">
        <f aca="false">'NYISO J'!H34</f>
        <v>42</v>
      </c>
    </row>
    <row r="27" customFormat="false" ht="12.75" hidden="false" customHeight="false" outlineLevel="0" collapsed="false">
      <c r="A27" s="362" t="n">
        <f aca="false">+Summary!U28</f>
        <v>37158</v>
      </c>
      <c r="B27" s="363" t="n">
        <f aca="false">+Summary!B28</f>
        <v>-249.10986328125</v>
      </c>
      <c r="C27" s="363" t="n">
        <f aca="false">+Summary!G28</f>
        <v>2.49999999001049E-013</v>
      </c>
      <c r="D27" s="363" t="n">
        <f aca="false">+Summary!L28</f>
        <v>74.7329559326172</v>
      </c>
      <c r="E27" s="363" t="n">
        <f aca="false">+Summary!Q28</f>
        <v>-198.997756958008</v>
      </c>
      <c r="F27" s="364" t="n">
        <f aca="false">+Summary!V28</f>
        <v>-1.24999999500525E-013</v>
      </c>
      <c r="G27" s="365" t="n">
        <f aca="false">+B27+C27+D27</f>
        <v>-174.376907348633</v>
      </c>
      <c r="H27" s="366" t="n">
        <f aca="false">+E27</f>
        <v>-198.997756958008</v>
      </c>
      <c r="I27" s="367" t="n">
        <f aca="false">+F27</f>
        <v>-1.24999999500525E-013</v>
      </c>
      <c r="K27" s="362" t="n">
        <f aca="false">A27</f>
        <v>37158</v>
      </c>
      <c r="L27" s="368" t="n">
        <f aca="false">'NYISO A'!F35</f>
        <v>34</v>
      </c>
      <c r="M27" s="368" t="n">
        <f aca="false">'NYISO G'!F35</f>
        <v>40.5</v>
      </c>
      <c r="N27" s="369" t="n">
        <f aca="false">'NYISO J'!F35</f>
        <v>45.75</v>
      </c>
      <c r="O27" s="370" t="n">
        <f aca="false">'NYISO A'!H35</f>
        <v>34.5</v>
      </c>
      <c r="P27" s="370" t="n">
        <f aca="false">'NYISO G'!H35</f>
        <v>40.5</v>
      </c>
      <c r="Q27" s="371" t="n">
        <f aca="false">'NYISO J'!H35</f>
        <v>45.75</v>
      </c>
    </row>
    <row r="28" customFormat="false" ht="12.75" hidden="false" customHeight="false" outlineLevel="0" collapsed="false">
      <c r="A28" s="362" t="n">
        <f aca="false">+Summary!U29</f>
        <v>37159</v>
      </c>
      <c r="B28" s="363" t="n">
        <f aca="false">+Summary!B29</f>
        <v>-249.10986328125</v>
      </c>
      <c r="C28" s="363" t="n">
        <f aca="false">+Summary!G29</f>
        <v>2.49999999001049E-013</v>
      </c>
      <c r="D28" s="363" t="n">
        <f aca="false">+Summary!L29</f>
        <v>74.7329559326172</v>
      </c>
      <c r="E28" s="363" t="n">
        <f aca="false">+Summary!Q29</f>
        <v>-198.997756958008</v>
      </c>
      <c r="F28" s="364" t="n">
        <f aca="false">+Summary!V29</f>
        <v>-1.24999999500525E-013</v>
      </c>
      <c r="G28" s="365" t="n">
        <f aca="false">+B28+C28+D28</f>
        <v>-174.376907348633</v>
      </c>
      <c r="H28" s="366" t="n">
        <f aca="false">+E28</f>
        <v>-198.997756958008</v>
      </c>
      <c r="I28" s="367" t="n">
        <f aca="false">+F28</f>
        <v>-1.24999999500525E-013</v>
      </c>
      <c r="K28" s="362" t="n">
        <f aca="false">A28</f>
        <v>37159</v>
      </c>
      <c r="L28" s="368" t="n">
        <f aca="false">'NYISO A'!F36</f>
        <v>34</v>
      </c>
      <c r="M28" s="368" t="n">
        <f aca="false">'NYISO G'!F36</f>
        <v>40.5</v>
      </c>
      <c r="N28" s="369" t="n">
        <f aca="false">'NYISO J'!F36</f>
        <v>45.75</v>
      </c>
      <c r="O28" s="370" t="n">
        <f aca="false">'NYISO A'!H36</f>
        <v>34.5</v>
      </c>
      <c r="P28" s="370" t="n">
        <f aca="false">'NYISO G'!H36</f>
        <v>40.5</v>
      </c>
      <c r="Q28" s="371" t="n">
        <f aca="false">'NYISO J'!H36</f>
        <v>45.75</v>
      </c>
    </row>
    <row r="29" customFormat="false" ht="12.75" hidden="false" customHeight="false" outlineLevel="0" collapsed="false">
      <c r="A29" s="362" t="n">
        <f aca="false">+Summary!U30</f>
        <v>37160</v>
      </c>
      <c r="B29" s="363" t="n">
        <f aca="false">+Summary!B30</f>
        <v>-249.10986328125</v>
      </c>
      <c r="C29" s="363" t="n">
        <f aca="false">+Summary!G30</f>
        <v>2.49999999001049E-013</v>
      </c>
      <c r="D29" s="363" t="n">
        <f aca="false">+Summary!L30</f>
        <v>74.7329559326172</v>
      </c>
      <c r="E29" s="363" t="n">
        <f aca="false">+Summary!Q30</f>
        <v>-198.997756958008</v>
      </c>
      <c r="F29" s="364" t="n">
        <f aca="false">+Summary!V30</f>
        <v>-1.24999999500525E-013</v>
      </c>
      <c r="G29" s="365" t="n">
        <f aca="false">+B29+C29+D29</f>
        <v>-174.376907348633</v>
      </c>
      <c r="H29" s="366" t="n">
        <f aca="false">+E29</f>
        <v>-198.997756958008</v>
      </c>
      <c r="I29" s="367" t="n">
        <f aca="false">+F29</f>
        <v>-1.24999999500525E-013</v>
      </c>
      <c r="K29" s="362" t="n">
        <f aca="false">A29</f>
        <v>37160</v>
      </c>
      <c r="L29" s="368" t="n">
        <f aca="false">'NYISO A'!F37</f>
        <v>34</v>
      </c>
      <c r="M29" s="368" t="n">
        <f aca="false">'NYISO G'!F37</f>
        <v>40.5</v>
      </c>
      <c r="N29" s="369" t="n">
        <f aca="false">'NYISO J'!F37</f>
        <v>45.75</v>
      </c>
      <c r="O29" s="370" t="n">
        <f aca="false">'NYISO A'!H37</f>
        <v>34.5</v>
      </c>
      <c r="P29" s="370" t="n">
        <f aca="false">'NYISO G'!H37</f>
        <v>40.5</v>
      </c>
      <c r="Q29" s="371" t="n">
        <f aca="false">'NYISO J'!H37</f>
        <v>45.75</v>
      </c>
    </row>
    <row r="30" customFormat="false" ht="12.75" hidden="false" customHeight="false" outlineLevel="0" collapsed="false">
      <c r="A30" s="362" t="n">
        <f aca="false">+Summary!U31</f>
        <v>37161</v>
      </c>
      <c r="B30" s="363" t="n">
        <f aca="false">+Summary!B31</f>
        <v>-249.10986328125</v>
      </c>
      <c r="C30" s="363" t="n">
        <f aca="false">+Summary!G31</f>
        <v>2.49999999001049E-013</v>
      </c>
      <c r="D30" s="363" t="n">
        <f aca="false">+Summary!L31</f>
        <v>74.7329559326172</v>
      </c>
      <c r="E30" s="363" t="n">
        <f aca="false">+Summary!Q31</f>
        <v>-198.997756958008</v>
      </c>
      <c r="F30" s="364" t="n">
        <f aca="false">+Summary!V31</f>
        <v>-1.24999999500525E-013</v>
      </c>
      <c r="G30" s="365" t="n">
        <f aca="false">+B30+C30+D30</f>
        <v>-174.376907348633</v>
      </c>
      <c r="H30" s="366" t="n">
        <f aca="false">+E30</f>
        <v>-198.997756958008</v>
      </c>
      <c r="I30" s="367" t="n">
        <f aca="false">+F30</f>
        <v>-1.24999999500525E-013</v>
      </c>
      <c r="K30" s="362" t="n">
        <f aca="false">A30</f>
        <v>37161</v>
      </c>
      <c r="L30" s="368" t="n">
        <f aca="false">'NYISO A'!F38</f>
        <v>34</v>
      </c>
      <c r="M30" s="368" t="n">
        <f aca="false">'NYISO G'!F38</f>
        <v>40.5</v>
      </c>
      <c r="N30" s="369" t="n">
        <f aca="false">'NYISO J'!F38</f>
        <v>45.75</v>
      </c>
      <c r="O30" s="370" t="n">
        <f aca="false">'NYISO A'!H38</f>
        <v>34.5</v>
      </c>
      <c r="P30" s="370" t="n">
        <f aca="false">'NYISO G'!H38</f>
        <v>40.5</v>
      </c>
      <c r="Q30" s="371" t="n">
        <f aca="false">'NYISO J'!H38</f>
        <v>45.75</v>
      </c>
    </row>
    <row r="31" customFormat="false" ht="12.75" hidden="false" customHeight="false" outlineLevel="0" collapsed="false">
      <c r="A31" s="362" t="n">
        <f aca="false">+Summary!U32</f>
        <v>37162</v>
      </c>
      <c r="B31" s="363" t="n">
        <f aca="false">+Summary!B32</f>
        <v>-249.10986328125</v>
      </c>
      <c r="C31" s="363" t="n">
        <f aca="false">+Summary!G32</f>
        <v>2.49999999001049E-013</v>
      </c>
      <c r="D31" s="363" t="n">
        <f aca="false">+Summary!L32</f>
        <v>74.7329559326172</v>
      </c>
      <c r="E31" s="363" t="n">
        <f aca="false">+Summary!Q32</f>
        <v>-198.997756958008</v>
      </c>
      <c r="F31" s="364" t="n">
        <f aca="false">+Summary!V32</f>
        <v>-1.24999999500525E-013</v>
      </c>
      <c r="G31" s="365" t="n">
        <f aca="false">+B31+C31+D31</f>
        <v>-174.376907348633</v>
      </c>
      <c r="H31" s="366" t="n">
        <f aca="false">+E31</f>
        <v>-198.997756958008</v>
      </c>
      <c r="I31" s="367" t="n">
        <f aca="false">+F31</f>
        <v>-1.24999999500525E-013</v>
      </c>
      <c r="K31" s="362" t="n">
        <f aca="false">A31</f>
        <v>37162</v>
      </c>
      <c r="L31" s="368" t="n">
        <f aca="false">'NYISO A'!F39</f>
        <v>34</v>
      </c>
      <c r="M31" s="368" t="n">
        <f aca="false">'NYISO G'!F39</f>
        <v>40.5</v>
      </c>
      <c r="N31" s="369" t="n">
        <f aca="false">'NYISO J'!F39</f>
        <v>45.75</v>
      </c>
      <c r="O31" s="370" t="n">
        <f aca="false">'NYISO A'!H39</f>
        <v>34.5</v>
      </c>
      <c r="P31" s="370" t="n">
        <f aca="false">'NYISO G'!H39</f>
        <v>40.5</v>
      </c>
      <c r="Q31" s="371" t="n">
        <f aca="false">'NYISO J'!H39</f>
        <v>45.75</v>
      </c>
    </row>
    <row r="32" customFormat="false" ht="12.75" hidden="false" customHeight="false" outlineLevel="0" collapsed="false">
      <c r="A32" s="362" t="n">
        <f aca="false">+Summary!U33</f>
        <v>37163</v>
      </c>
      <c r="B32" s="363" t="n">
        <f aca="false">+Summary!B33</f>
        <v>0</v>
      </c>
      <c r="C32" s="363" t="n">
        <f aca="false">+Summary!G33</f>
        <v>0</v>
      </c>
      <c r="D32" s="363" t="n">
        <f aca="false">+Summary!L33</f>
        <v>0</v>
      </c>
      <c r="E32" s="363" t="n">
        <f aca="false">+Summary!Q33</f>
        <v>0</v>
      </c>
      <c r="F32" s="364" t="n">
        <f aca="false">+Summary!V33</f>
        <v>0</v>
      </c>
      <c r="G32" s="365" t="n">
        <f aca="false">+B32+C32+D32</f>
        <v>0</v>
      </c>
      <c r="H32" s="366" t="n">
        <f aca="false">+E32</f>
        <v>0</v>
      </c>
      <c r="I32" s="367" t="n">
        <f aca="false">+F32</f>
        <v>0</v>
      </c>
      <c r="K32" s="362" t="n">
        <f aca="false">A32</f>
        <v>37163</v>
      </c>
      <c r="L32" s="368" t="n">
        <f aca="false">'NYISO A'!F40</f>
        <v>33</v>
      </c>
      <c r="M32" s="368" t="n">
        <f aca="false">'NYISO G'!F40</f>
        <v>38</v>
      </c>
      <c r="N32" s="369" t="n">
        <f aca="false">'NYISO J'!F40</f>
        <v>47</v>
      </c>
      <c r="O32" s="370" t="n">
        <f aca="false">'NYISO A'!H40</f>
        <v>33</v>
      </c>
      <c r="P32" s="370" t="n">
        <f aca="false">'NYISO G'!H40</f>
        <v>38</v>
      </c>
      <c r="Q32" s="371" t="n">
        <f aca="false">'NYISO J'!H40</f>
        <v>47</v>
      </c>
    </row>
    <row r="33" customFormat="false" ht="12.75" hidden="false" customHeight="false" outlineLevel="0" collapsed="false">
      <c r="A33" s="362" t="n">
        <f aca="false">+Summary!U34</f>
        <v>37164</v>
      </c>
      <c r="B33" s="363" t="n">
        <f aca="false">+Summary!B34</f>
        <v>0</v>
      </c>
      <c r="C33" s="363" t="n">
        <f aca="false">+Summary!G34</f>
        <v>0</v>
      </c>
      <c r="D33" s="363" t="n">
        <f aca="false">+Summary!L34</f>
        <v>0</v>
      </c>
      <c r="E33" s="363" t="n">
        <f aca="false">+Summary!Q34</f>
        <v>0</v>
      </c>
      <c r="F33" s="364" t="n">
        <f aca="false">+Summary!V34</f>
        <v>0</v>
      </c>
      <c r="G33" s="365" t="n">
        <f aca="false">+B33+C33+D33</f>
        <v>0</v>
      </c>
      <c r="H33" s="366" t="n">
        <f aca="false">+E33</f>
        <v>0</v>
      </c>
      <c r="I33" s="367" t="n">
        <f aca="false">+F33</f>
        <v>0</v>
      </c>
      <c r="K33" s="362" t="n">
        <f aca="false">A33</f>
        <v>37164</v>
      </c>
      <c r="L33" s="368" t="n">
        <f aca="false">'NYISO A'!F41</f>
        <v>33</v>
      </c>
      <c r="M33" s="368" t="n">
        <f aca="false">'NYISO G'!F41</f>
        <v>38</v>
      </c>
      <c r="N33" s="369" t="n">
        <f aca="false">'NYISO J'!F41</f>
        <v>47</v>
      </c>
      <c r="O33" s="370" t="n">
        <f aca="false">'NYISO A'!H41</f>
        <v>33</v>
      </c>
      <c r="P33" s="370" t="n">
        <f aca="false">'NYISO G'!H41</f>
        <v>38</v>
      </c>
      <c r="Q33" s="371" t="n">
        <f aca="false">'NYISO J'!H41</f>
        <v>47</v>
      </c>
    </row>
    <row r="34" customFormat="false" ht="12.75" hidden="false" customHeight="false" outlineLevel="0" collapsed="false">
      <c r="A34" s="362" t="n">
        <f aca="false">+Summary!U35</f>
        <v>37165</v>
      </c>
      <c r="B34" s="363" t="n">
        <f aca="false">+Summary!B35</f>
        <v>-4569.0625</v>
      </c>
      <c r="C34" s="363" t="n">
        <f aca="false">+Summary!G35</f>
        <v>-1142.265625</v>
      </c>
      <c r="D34" s="363" t="n">
        <f aca="false">+Summary!L35</f>
        <v>1142.265625</v>
      </c>
      <c r="E34" s="363" t="n">
        <f aca="false">+Summary!Q35</f>
        <v>0</v>
      </c>
      <c r="F34" s="364" t="n">
        <f aca="false">+Summary!V35</f>
        <v>-1140.86413574219</v>
      </c>
      <c r="G34" s="365" t="n">
        <f aca="false">+B34+C34+D34</f>
        <v>-4569.0625</v>
      </c>
      <c r="H34" s="366" t="n">
        <f aca="false">+E34</f>
        <v>0</v>
      </c>
      <c r="I34" s="367" t="n">
        <f aca="false">+F34</f>
        <v>-1140.86413574219</v>
      </c>
      <c r="K34" s="362" t="n">
        <f aca="false">A34</f>
        <v>37165</v>
      </c>
      <c r="L34" s="368" t="n">
        <f aca="false">'NYISO A'!F42</f>
        <v>34.25</v>
      </c>
      <c r="M34" s="368" t="n">
        <f aca="false">'NYISO G'!F42</f>
        <v>41</v>
      </c>
      <c r="N34" s="369" t="n">
        <f aca="false">'NYISO J'!F42</f>
        <v>45.75</v>
      </c>
      <c r="O34" s="370" t="n">
        <f aca="false">'NYISO A'!H42</f>
        <v>35</v>
      </c>
      <c r="P34" s="370" t="n">
        <f aca="false">'NYISO G'!H42</f>
        <v>41.5</v>
      </c>
      <c r="Q34" s="371" t="n">
        <f aca="false">'NYISO J'!H42</f>
        <v>46.5</v>
      </c>
    </row>
    <row r="35" customFormat="false" ht="13.5" hidden="false" customHeight="false" outlineLevel="0" collapsed="false">
      <c r="A35" s="373" t="n">
        <f aca="false">+Summary!U36</f>
        <v>37195</v>
      </c>
      <c r="B35" s="374" t="n">
        <f aca="false">+Summary!B36</f>
        <v>0</v>
      </c>
      <c r="C35" s="374" t="n">
        <f aca="false">+Summary!G36</f>
        <v>0</v>
      </c>
      <c r="D35" s="374" t="n">
        <f aca="false">+Summary!L36</f>
        <v>0</v>
      </c>
      <c r="E35" s="374" t="n">
        <f aca="false">+Summary!Q36</f>
        <v>0</v>
      </c>
      <c r="F35" s="375" t="n">
        <f aca="false">+Summary!V36</f>
        <v>0</v>
      </c>
      <c r="G35" s="376" t="n">
        <f aca="false">+B35+C35+D35</f>
        <v>0</v>
      </c>
      <c r="H35" s="377" t="n">
        <f aca="false">+E35</f>
        <v>0</v>
      </c>
      <c r="I35" s="378" t="n">
        <f aca="false">+F35</f>
        <v>0</v>
      </c>
      <c r="K35" s="373" t="n">
        <f aca="false">A35</f>
        <v>37195</v>
      </c>
      <c r="L35" s="379" t="n">
        <f aca="false">'NYISO A'!F43</f>
        <v>34.25</v>
      </c>
      <c r="M35" s="379" t="n">
        <f aca="false">'NYISO G'!F43</f>
        <v>41</v>
      </c>
      <c r="N35" s="380" t="n">
        <f aca="false">'NYISO J'!F43</f>
        <v>45.75</v>
      </c>
      <c r="O35" s="381" t="n">
        <f aca="false">'NYISO A'!H43</f>
        <v>35</v>
      </c>
      <c r="P35" s="381" t="n">
        <f aca="false">'NYISO G'!H43</f>
        <v>38</v>
      </c>
      <c r="Q35" s="382" t="n">
        <f aca="false">'NYISO J'!H43</f>
        <v>47</v>
      </c>
    </row>
    <row r="36" customFormat="false" ht="13.5" hidden="false" customHeight="false" outlineLevel="0" collapsed="false">
      <c r="A36" s="383"/>
      <c r="B36" s="256"/>
      <c r="C36" s="256"/>
      <c r="D36" s="256"/>
      <c r="E36" s="256"/>
      <c r="F36" s="256"/>
      <c r="H36" s="384"/>
      <c r="I36" s="384"/>
      <c r="K36" s="362"/>
      <c r="L36" s="385"/>
      <c r="M36" s="385"/>
      <c r="N36" s="386"/>
      <c r="O36" s="385"/>
      <c r="P36" s="385"/>
      <c r="Q36" s="386"/>
    </row>
    <row r="37" customFormat="false" ht="12.75" hidden="false" customHeight="false" outlineLevel="0" collapsed="false">
      <c r="A37" s="335" t="s">
        <v>108</v>
      </c>
      <c r="B37" s="336" t="s">
        <v>96</v>
      </c>
      <c r="C37" s="336" t="s">
        <v>97</v>
      </c>
      <c r="D37" s="336" t="s">
        <v>98</v>
      </c>
      <c r="E37" s="336" t="s">
        <v>99</v>
      </c>
      <c r="F37" s="337" t="s">
        <v>100</v>
      </c>
      <c r="G37" s="338"/>
      <c r="H37" s="387" t="str">
        <f aca="false">+E37</f>
        <v>Nepool</v>
      </c>
      <c r="I37" s="388" t="str">
        <f aca="false">+F37</f>
        <v>PJM</v>
      </c>
      <c r="K37" s="362" t="str">
        <f aca="false">A37</f>
        <v>Term</v>
      </c>
      <c r="L37" s="363"/>
      <c r="M37" s="363"/>
      <c r="N37" s="364"/>
      <c r="O37" s="363"/>
      <c r="P37" s="363"/>
      <c r="Q37" s="364"/>
    </row>
    <row r="38" customFormat="false" ht="12.75" hidden="false" customHeight="false" outlineLevel="0" collapsed="false">
      <c r="A38" s="345"/>
      <c r="B38" s="346" t="s">
        <v>103</v>
      </c>
      <c r="C38" s="346" t="s">
        <v>103</v>
      </c>
      <c r="D38" s="346" t="s">
        <v>103</v>
      </c>
      <c r="E38" s="346" t="s">
        <v>103</v>
      </c>
      <c r="F38" s="347" t="s">
        <v>103</v>
      </c>
      <c r="G38" s="348"/>
      <c r="H38" s="366" t="str">
        <f aca="false">+E38</f>
        <v>Position</v>
      </c>
      <c r="I38" s="367" t="str">
        <f aca="false">+F38</f>
        <v>Position</v>
      </c>
      <c r="K38" s="362"/>
      <c r="L38" s="363"/>
      <c r="M38" s="363"/>
      <c r="N38" s="364"/>
      <c r="O38" s="363"/>
      <c r="P38" s="363"/>
      <c r="Q38" s="364"/>
    </row>
    <row r="39" customFormat="false" ht="13.5" hidden="false" customHeight="false" outlineLevel="0" collapsed="false">
      <c r="A39" s="353"/>
      <c r="B39" s="354" t="s">
        <v>107</v>
      </c>
      <c r="C39" s="354"/>
      <c r="D39" s="354"/>
      <c r="E39" s="354"/>
      <c r="F39" s="355"/>
      <c r="G39" s="356"/>
      <c r="H39" s="377"/>
      <c r="I39" s="378"/>
      <c r="K39" s="362"/>
      <c r="L39" s="363"/>
      <c r="M39" s="363"/>
      <c r="N39" s="364"/>
      <c r="O39" s="363"/>
      <c r="P39" s="363"/>
      <c r="Q39" s="364"/>
    </row>
    <row r="40" customFormat="false" ht="12.75" hidden="false" customHeight="false" outlineLevel="0" collapsed="false">
      <c r="A40" s="389" t="n">
        <f aca="false">+Summary!U41</f>
        <v>37196</v>
      </c>
      <c r="B40" s="363" t="n">
        <f aca="false">+Summary!B41</f>
        <v>-198.097958519345</v>
      </c>
      <c r="C40" s="363" t="n">
        <f aca="false">+Summary!G41</f>
        <v>-49.5244896298363</v>
      </c>
      <c r="D40" s="363" t="n">
        <f aca="false">+Summary!L41</f>
        <v>49.5244896298363</v>
      </c>
      <c r="E40" s="363" t="n">
        <f aca="false">+Summary!Q41</f>
        <v>0</v>
      </c>
      <c r="F40" s="364" t="n">
        <f aca="false">+Summary!V41</f>
        <v>-49.4659249441964</v>
      </c>
      <c r="G40" s="365" t="n">
        <f aca="false">+B40+C40+D40</f>
        <v>-198.097958519345</v>
      </c>
      <c r="H40" s="366" t="n">
        <f aca="false">+E40</f>
        <v>0</v>
      </c>
      <c r="I40" s="367" t="n">
        <f aca="false">+F40</f>
        <v>-49.4659249441964</v>
      </c>
      <c r="K40" s="362" t="n">
        <f aca="false">A40</f>
        <v>37196</v>
      </c>
      <c r="L40" s="363" t="n">
        <f aca="false">'NYISO A'!F44</f>
        <v>34.25</v>
      </c>
      <c r="M40" s="363" t="n">
        <f aca="false">'NYISO G'!F44</f>
        <v>41</v>
      </c>
      <c r="N40" s="364" t="n">
        <f aca="false">'NYISO J'!F44</f>
        <v>45.75</v>
      </c>
      <c r="O40" s="363" t="n">
        <f aca="false">'NYISO A'!H44</f>
        <v>35</v>
      </c>
      <c r="P40" s="363" t="n">
        <f aca="false">'NYISO G'!H44</f>
        <v>41.5</v>
      </c>
      <c r="Q40" s="364" t="n">
        <f aca="false">'NYISO J'!H44</f>
        <v>46.5</v>
      </c>
    </row>
    <row r="41" customFormat="false" ht="12.75" hidden="false" customHeight="false" outlineLevel="0" collapsed="false">
      <c r="A41" s="389" t="n">
        <f aca="false">+Summary!U42</f>
        <v>37226</v>
      </c>
      <c r="B41" s="363" t="n">
        <f aca="false">+Summary!B42</f>
        <v>-397.520043945313</v>
      </c>
      <c r="C41" s="363" t="n">
        <f aca="false">+Summary!G42</f>
        <v>-99.3800109863281</v>
      </c>
      <c r="D41" s="363" t="n">
        <f aca="false">+Summary!L42</f>
        <v>49.3800109863281</v>
      </c>
      <c r="E41" s="363" t="n">
        <f aca="false">+Summary!Q42</f>
        <v>0</v>
      </c>
      <c r="F41" s="364" t="n">
        <f aca="false">+Summary!V42</f>
        <v>-49.3241790771484</v>
      </c>
      <c r="G41" s="365" t="n">
        <f aca="false">+B41+C41+D41</f>
        <v>-447.520043945313</v>
      </c>
      <c r="H41" s="366" t="n">
        <f aca="false">+E41</f>
        <v>0</v>
      </c>
      <c r="I41" s="367" t="n">
        <f aca="false">+F41</f>
        <v>-49.3241790771484</v>
      </c>
      <c r="K41" s="362" t="n">
        <f aca="false">A41</f>
        <v>37226</v>
      </c>
      <c r="L41" s="363" t="n">
        <f aca="false">'NYISO A'!F45</f>
        <v>34.25</v>
      </c>
      <c r="M41" s="363" t="n">
        <f aca="false">'NYISO G'!F45</f>
        <v>41</v>
      </c>
      <c r="N41" s="364" t="n">
        <f aca="false">'NYISO J'!F45</f>
        <v>45.75</v>
      </c>
      <c r="O41" s="363" t="n">
        <f aca="false">'NYISO A'!H45</f>
        <v>35</v>
      </c>
      <c r="P41" s="363" t="n">
        <f aca="false">'NYISO G'!H45</f>
        <v>41.5</v>
      </c>
      <c r="Q41" s="364" t="n">
        <f aca="false">'NYISO J'!H45</f>
        <v>46.5</v>
      </c>
    </row>
    <row r="42" customFormat="false" ht="12.75" hidden="false" customHeight="false" outlineLevel="0" collapsed="false">
      <c r="A42" s="389" t="n">
        <f aca="false">+Summary!U43</f>
        <v>37257</v>
      </c>
      <c r="B42" s="363" t="n">
        <f aca="false">+Summary!B43</f>
        <v>97.7221901633523</v>
      </c>
      <c r="C42" s="363" t="n">
        <f aca="false">+Summary!G43</f>
        <v>-1.13636363182295E-013</v>
      </c>
      <c r="D42" s="363" t="n">
        <f aca="false">+Summary!L43</f>
        <v>0</v>
      </c>
      <c r="E42" s="363" t="n">
        <f aca="false">+Summary!Q43</f>
        <v>0</v>
      </c>
      <c r="F42" s="364" t="n">
        <f aca="false">+Summary!V43</f>
        <v>-97.5420476740057</v>
      </c>
      <c r="G42" s="365" t="n">
        <f aca="false">+B42+C42+D42</f>
        <v>97.7221901633522</v>
      </c>
      <c r="H42" s="366" t="n">
        <f aca="false">+E42</f>
        <v>0</v>
      </c>
      <c r="I42" s="367" t="n">
        <f aca="false">+F42</f>
        <v>-97.5420476740057</v>
      </c>
      <c r="K42" s="362" t="n">
        <f aca="false">A42</f>
        <v>37257</v>
      </c>
      <c r="L42" s="363" t="n">
        <f aca="false">'NYISO A'!F46</f>
        <v>38.5</v>
      </c>
      <c r="M42" s="363" t="n">
        <f aca="false">'NYISO G'!F46</f>
        <v>47</v>
      </c>
      <c r="N42" s="364" t="n">
        <f aca="false">'NYISO J'!F46</f>
        <v>56</v>
      </c>
      <c r="O42" s="363" t="n">
        <f aca="false">'NYISO A'!H46</f>
        <v>38.5</v>
      </c>
      <c r="P42" s="363" t="n">
        <f aca="false">'NYISO G'!H46</f>
        <v>42.5</v>
      </c>
      <c r="Q42" s="364" t="n">
        <f aca="false">'NYISO J'!H46</f>
        <v>45.75</v>
      </c>
    </row>
    <row r="43" customFormat="false" ht="12.75" hidden="false" customHeight="false" outlineLevel="0" collapsed="false">
      <c r="A43" s="389" t="n">
        <f aca="false">+Summary!U44</f>
        <v>37288</v>
      </c>
      <c r="B43" s="363" t="n">
        <f aca="false">+Summary!B44</f>
        <v>97.3339965820313</v>
      </c>
      <c r="C43" s="363" t="n">
        <f aca="false">+Summary!G44</f>
        <v>1.24999999500525E-013</v>
      </c>
      <c r="D43" s="363" t="n">
        <f aca="false">+Summary!L44</f>
        <v>0</v>
      </c>
      <c r="E43" s="363" t="n">
        <f aca="false">+Summary!Q44</f>
        <v>0</v>
      </c>
      <c r="F43" s="364" t="n">
        <f aca="false">+Summary!V44</f>
        <v>-97.1529296875</v>
      </c>
      <c r="G43" s="365" t="n">
        <f aca="false">+B43+C43+D43</f>
        <v>97.3339965820314</v>
      </c>
      <c r="H43" s="366" t="n">
        <f aca="false">+E43</f>
        <v>0</v>
      </c>
      <c r="I43" s="367" t="n">
        <f aca="false">+F43</f>
        <v>-97.1529296875</v>
      </c>
      <c r="K43" s="362" t="n">
        <f aca="false">A43</f>
        <v>37288</v>
      </c>
      <c r="L43" s="363" t="n">
        <f aca="false">'NYISO A'!F47</f>
        <v>38.5</v>
      </c>
      <c r="M43" s="363" t="n">
        <f aca="false">'NYISO G'!F47</f>
        <v>47</v>
      </c>
      <c r="N43" s="364" t="n">
        <f aca="false">'NYISO J'!F47</f>
        <v>56</v>
      </c>
      <c r="O43" s="363" t="n">
        <f aca="false">'NYISO A'!H47</f>
        <v>38.5</v>
      </c>
      <c r="P43" s="363" t="n">
        <f aca="false">'NYISO G'!H47</f>
        <v>47.25</v>
      </c>
      <c r="Q43" s="364" t="n">
        <f aca="false">'NYISO J'!H47</f>
        <v>70</v>
      </c>
    </row>
    <row r="44" customFormat="false" ht="12.75" hidden="false" customHeight="false" outlineLevel="0" collapsed="false">
      <c r="A44" s="389" t="n">
        <f aca="false">+Summary!U45</f>
        <v>37316</v>
      </c>
      <c r="B44" s="363" t="n">
        <f aca="false">+Summary!B45</f>
        <v>98.9765276227679</v>
      </c>
      <c r="C44" s="363" t="n">
        <f aca="false">+Summary!G45</f>
        <v>5.95238092859641E-014</v>
      </c>
      <c r="D44" s="363" t="n">
        <f aca="false">+Summary!L45</f>
        <v>0</v>
      </c>
      <c r="E44" s="363" t="n">
        <f aca="false">+Summary!Q45</f>
        <v>0</v>
      </c>
      <c r="F44" s="364" t="n">
        <f aca="false">+Summary!V45</f>
        <v>0</v>
      </c>
      <c r="G44" s="365" t="n">
        <f aca="false">+B44+C44+D44</f>
        <v>98.9765276227679</v>
      </c>
      <c r="H44" s="366" t="n">
        <f aca="false">+E44</f>
        <v>0</v>
      </c>
      <c r="I44" s="367" t="n">
        <f aca="false">+F44</f>
        <v>0</v>
      </c>
      <c r="K44" s="362" t="n">
        <f aca="false">A44</f>
        <v>37316</v>
      </c>
      <c r="L44" s="363" t="n">
        <f aca="false">'NYISO A'!F48</f>
        <v>34.5</v>
      </c>
      <c r="M44" s="363" t="n">
        <f aca="false">'NYISO G'!F48</f>
        <v>41.5</v>
      </c>
      <c r="N44" s="364" t="n">
        <f aca="false">'NYISO J'!F48</f>
        <v>44</v>
      </c>
      <c r="O44" s="363" t="n">
        <f aca="false">'NYISO A'!H48</f>
        <v>34.75</v>
      </c>
      <c r="P44" s="363" t="n">
        <f aca="false">'NYISO G'!H48</f>
        <v>47.25</v>
      </c>
      <c r="Q44" s="364" t="n">
        <f aca="false">'NYISO J'!H48</f>
        <v>87.5</v>
      </c>
    </row>
    <row r="45" customFormat="false" ht="12.75" hidden="false" customHeight="false" outlineLevel="0" collapsed="false">
      <c r="A45" s="389" t="n">
        <f aca="false">+Summary!U46</f>
        <v>37347</v>
      </c>
      <c r="B45" s="363" t="n">
        <f aca="false">+Summary!B46</f>
        <v>98.8258833451705</v>
      </c>
      <c r="C45" s="363" t="n">
        <f aca="false">+Summary!G46</f>
        <v>1.13636363182295E-013</v>
      </c>
      <c r="D45" s="363" t="n">
        <f aca="false">+Summary!L46</f>
        <v>0</v>
      </c>
      <c r="E45" s="363" t="n">
        <f aca="false">+Summary!Q46</f>
        <v>0</v>
      </c>
      <c r="F45" s="364" t="n">
        <f aca="false">+Summary!V46</f>
        <v>0</v>
      </c>
      <c r="G45" s="365" t="n">
        <f aca="false">+B45+C45+D45</f>
        <v>98.8258833451706</v>
      </c>
      <c r="H45" s="366" t="n">
        <f aca="false">+E45</f>
        <v>0</v>
      </c>
      <c r="I45" s="367" t="n">
        <f aca="false">+F45</f>
        <v>0</v>
      </c>
      <c r="K45" s="362" t="n">
        <f aca="false">A45</f>
        <v>37347</v>
      </c>
      <c r="L45" s="363" t="n">
        <f aca="false">'NYISO A'!F49</f>
        <v>34.5</v>
      </c>
      <c r="M45" s="363" t="n">
        <f aca="false">'NYISO G'!F49</f>
        <v>40.5</v>
      </c>
      <c r="N45" s="364" t="n">
        <f aca="false">'NYISO J'!F49</f>
        <v>44</v>
      </c>
      <c r="O45" s="363" t="n">
        <f aca="false">'NYISO A'!H49</f>
        <v>34.75</v>
      </c>
      <c r="P45" s="363" t="n">
        <f aca="false">'NYISO G'!H49</f>
        <v>111</v>
      </c>
      <c r="Q45" s="364" t="n">
        <f aca="false">'NYISO J'!H49</f>
        <v>133.5</v>
      </c>
    </row>
    <row r="46" customFormat="false" ht="12.75" hidden="false" customHeight="false" outlineLevel="0" collapsed="false">
      <c r="A46" s="389" t="n">
        <f aca="false">+Summary!U47</f>
        <v>37377</v>
      </c>
      <c r="B46" s="363" t="n">
        <f aca="false">+Summary!B47</f>
        <v>-5.68181825767859E-013</v>
      </c>
      <c r="C46" s="363" t="n">
        <f aca="false">+Summary!G47</f>
        <v>48.6793268377131</v>
      </c>
      <c r="D46" s="363" t="n">
        <f aca="false">+Summary!L47</f>
        <v>0</v>
      </c>
      <c r="E46" s="363" t="n">
        <f aca="false">+Summary!Q47</f>
        <v>0</v>
      </c>
      <c r="F46" s="364" t="n">
        <f aca="false">+Summary!V47</f>
        <v>-97.2336758700284</v>
      </c>
      <c r="G46" s="365" t="n">
        <f aca="false">+B46+C46+D46</f>
        <v>48.6793268377125</v>
      </c>
      <c r="H46" s="366" t="n">
        <f aca="false">+E46</f>
        <v>0</v>
      </c>
      <c r="I46" s="367" t="n">
        <f aca="false">+F46</f>
        <v>-97.2336758700284</v>
      </c>
      <c r="K46" s="362" t="n">
        <f aca="false">A46</f>
        <v>37377</v>
      </c>
      <c r="L46" s="363" t="n">
        <f aca="false">'NYISO A'!F50</f>
        <v>35.25</v>
      </c>
      <c r="M46" s="363" t="n">
        <f aca="false">'NYISO G'!F50</f>
        <v>43</v>
      </c>
      <c r="N46" s="364" t="n">
        <f aca="false">'NYISO J'!F50</f>
        <v>49</v>
      </c>
      <c r="O46" s="363" t="n">
        <f aca="false">'NYISO A'!H50</f>
        <v>36</v>
      </c>
      <c r="P46" s="363" t="n">
        <f aca="false">'NYISO G'!H50</f>
        <v>43</v>
      </c>
      <c r="Q46" s="364" t="n">
        <f aca="false">'NYISO J'!H50</f>
        <v>133</v>
      </c>
    </row>
    <row r="47" customFormat="false" ht="12.75" hidden="false" customHeight="false" outlineLevel="0" collapsed="false">
      <c r="A47" s="389" t="n">
        <f aca="false">+Summary!U48</f>
        <v>37408</v>
      </c>
      <c r="B47" s="363" t="n">
        <f aca="false">+Summary!B48</f>
        <v>-145.587121582031</v>
      </c>
      <c r="C47" s="363" t="n">
        <f aca="false">+Summary!G48</f>
        <v>97.0580810546875</v>
      </c>
      <c r="D47" s="363" t="n">
        <f aca="false">+Summary!L48</f>
        <v>0</v>
      </c>
      <c r="E47" s="363" t="n">
        <f aca="false">+Summary!Q48</f>
        <v>0</v>
      </c>
      <c r="F47" s="364" t="n">
        <f aca="false">+Summary!V48</f>
        <v>-48.4691436767578</v>
      </c>
      <c r="G47" s="365" t="n">
        <f aca="false">+B47+C47+D47</f>
        <v>-48.5290405273437</v>
      </c>
      <c r="H47" s="366" t="n">
        <f aca="false">+E47</f>
        <v>0</v>
      </c>
      <c r="I47" s="367" t="n">
        <f aca="false">+F47</f>
        <v>-48.4691436767578</v>
      </c>
      <c r="K47" s="362" t="n">
        <f aca="false">A47</f>
        <v>37408</v>
      </c>
      <c r="L47" s="363" t="n">
        <f aca="false">'NYISO A'!F51</f>
        <v>42.75</v>
      </c>
      <c r="M47" s="363" t="n">
        <f aca="false">'NYISO G'!F51</f>
        <v>52</v>
      </c>
      <c r="N47" s="364" t="n">
        <f aca="false">'NYISO J'!F51</f>
        <v>58</v>
      </c>
      <c r="O47" s="363" t="n">
        <f aca="false">'NYISO A'!H51</f>
        <v>43.5</v>
      </c>
      <c r="P47" s="363" t="n">
        <f aca="false">'NYISO G'!H51</f>
        <v>51.5</v>
      </c>
      <c r="Q47" s="364" t="n">
        <f aca="false">'NYISO J'!H51</f>
        <v>58.5</v>
      </c>
    </row>
    <row r="48" customFormat="false" ht="12.75" hidden="false" customHeight="false" outlineLevel="0" collapsed="false">
      <c r="A48" s="389" t="n">
        <f aca="false">+Summary!U49</f>
        <v>37438</v>
      </c>
      <c r="B48" s="363" t="n">
        <f aca="false">+Summary!B49</f>
        <v>250</v>
      </c>
      <c r="C48" s="363" t="n">
        <f aca="false">+Summary!G49</f>
        <v>-48.3788563121449</v>
      </c>
      <c r="D48" s="363" t="n">
        <f aca="false">+Summary!L49</f>
        <v>0</v>
      </c>
      <c r="E48" s="363" t="n">
        <f aca="false">+Summary!Q49</f>
        <v>0</v>
      </c>
      <c r="F48" s="364" t="n">
        <f aca="false">+Summary!V49</f>
        <v>-241.56660600142</v>
      </c>
      <c r="G48" s="365" t="n">
        <f aca="false">+B48+C48+D48</f>
        <v>201.621143687855</v>
      </c>
      <c r="H48" s="366" t="n">
        <f aca="false">+E48</f>
        <v>0</v>
      </c>
      <c r="I48" s="367" t="n">
        <f aca="false">+F48</f>
        <v>-241.56660600142</v>
      </c>
      <c r="K48" s="362" t="n">
        <f aca="false">A48</f>
        <v>37438</v>
      </c>
      <c r="L48" s="363" t="n">
        <f aca="false">'NYISO A'!F52</f>
        <v>56.5</v>
      </c>
      <c r="M48" s="363" t="n">
        <f aca="false">'NYISO G'!F52</f>
        <v>74</v>
      </c>
      <c r="N48" s="364" t="n">
        <f aca="false">'NYISO J'!F52</f>
        <v>85.5</v>
      </c>
      <c r="O48" s="363" t="n">
        <f aca="false">'NYISO A'!H52</f>
        <v>57.25</v>
      </c>
      <c r="P48" s="363" t="n">
        <f aca="false">'NYISO G'!H52</f>
        <v>74</v>
      </c>
      <c r="Q48" s="364" t="n">
        <f aca="false">'NYISO J'!H52</f>
        <v>60.5</v>
      </c>
    </row>
    <row r="49" customFormat="false" ht="12.75" hidden="false" customHeight="false" outlineLevel="0" collapsed="false">
      <c r="A49" s="389" t="n">
        <f aca="false">+Summary!U50</f>
        <v>37469</v>
      </c>
      <c r="B49" s="363" t="n">
        <f aca="false">+Summary!B50</f>
        <v>250</v>
      </c>
      <c r="C49" s="363" t="n">
        <f aca="false">+Summary!G50</f>
        <v>-48.2112315784801</v>
      </c>
      <c r="D49" s="363" t="n">
        <f aca="false">+Summary!L50</f>
        <v>0</v>
      </c>
      <c r="E49" s="363" t="n">
        <f aca="false">+Summary!Q50</f>
        <v>0</v>
      </c>
      <c r="F49" s="364" t="n">
        <f aca="false">+Summary!V50</f>
        <v>-240.770751953125</v>
      </c>
      <c r="G49" s="365" t="n">
        <f aca="false">+B49+C49+D49</f>
        <v>201.78876842152</v>
      </c>
      <c r="H49" s="366" t="n">
        <f aca="false">+E49</f>
        <v>0</v>
      </c>
      <c r="I49" s="367" t="n">
        <f aca="false">+F49</f>
        <v>-240.770751953125</v>
      </c>
      <c r="K49" s="362" t="n">
        <f aca="false">A49</f>
        <v>37469</v>
      </c>
      <c r="L49" s="363" t="n">
        <f aca="false">'NYISO A'!F53</f>
        <v>56.5</v>
      </c>
      <c r="M49" s="363" t="n">
        <f aca="false">'NYISO G'!F53</f>
        <v>74</v>
      </c>
      <c r="N49" s="364" t="n">
        <f aca="false">'NYISO J'!F53</f>
        <v>85.5</v>
      </c>
      <c r="O49" s="363" t="n">
        <f aca="false">'NYISO A'!H53</f>
        <v>57.25</v>
      </c>
      <c r="P49" s="363" t="n">
        <f aca="false">'NYISO G'!H53</f>
        <v>74</v>
      </c>
      <c r="Q49" s="364" t="n">
        <f aca="false">'NYISO J'!H53</f>
        <v>61.5</v>
      </c>
    </row>
    <row r="50" customFormat="false" ht="12.75" hidden="false" customHeight="false" outlineLevel="0" collapsed="false">
      <c r="A50" s="389" t="n">
        <f aca="false">+Summary!U51</f>
        <v>37500</v>
      </c>
      <c r="B50" s="363" t="n">
        <f aca="false">+Summary!B51</f>
        <v>48.0646331787109</v>
      </c>
      <c r="C50" s="363" t="n">
        <f aca="false">+Summary!G51</f>
        <v>6.24999997502623E-014</v>
      </c>
      <c r="D50" s="363" t="n">
        <f aca="false">+Summary!L51</f>
        <v>0</v>
      </c>
      <c r="E50" s="363" t="n">
        <f aca="false">+Summary!Q51</f>
        <v>0</v>
      </c>
      <c r="F50" s="364" t="n">
        <f aca="false">+Summary!V51</f>
        <v>0</v>
      </c>
      <c r="G50" s="365" t="n">
        <f aca="false">+B50+C50+D50</f>
        <v>48.064633178711</v>
      </c>
      <c r="H50" s="366" t="n">
        <f aca="false">+E50</f>
        <v>0</v>
      </c>
      <c r="I50" s="367" t="n">
        <f aca="false">+F50</f>
        <v>0</v>
      </c>
      <c r="K50" s="362" t="n">
        <f aca="false">A50</f>
        <v>37500</v>
      </c>
      <c r="L50" s="363" t="n">
        <f aca="false">'NYISO A'!F54</f>
        <v>34.25</v>
      </c>
      <c r="M50" s="363" t="n">
        <f aca="false">'NYISO G'!F54</f>
        <v>40.75</v>
      </c>
      <c r="N50" s="364" t="n">
        <f aca="false">'NYISO J'!F54</f>
        <v>48.5</v>
      </c>
      <c r="O50" s="363" t="n">
        <f aca="false">'NYISO A'!H54</f>
        <v>35</v>
      </c>
      <c r="P50" s="363" t="n">
        <f aca="false">'NYISO G'!H54</f>
        <v>71</v>
      </c>
      <c r="Q50" s="364" t="n">
        <f aca="false">'NYISO J'!H54</f>
        <v>61.5</v>
      </c>
    </row>
    <row r="51" customFormat="false" ht="12.75" hidden="false" customHeight="false" outlineLevel="0" collapsed="false">
      <c r="A51" s="389" t="n">
        <f aca="false">+Summary!U52</f>
        <v>37530</v>
      </c>
      <c r="B51" s="363" t="n">
        <f aca="false">+Summary!B52</f>
        <v>-56.3096340013587</v>
      </c>
      <c r="C51" s="363" t="n">
        <f aca="false">+Summary!G52</f>
        <v>-47.8967868970788</v>
      </c>
      <c r="D51" s="363" t="n">
        <f aca="false">+Summary!L52</f>
        <v>0</v>
      </c>
      <c r="E51" s="363" t="n">
        <f aca="false">+Summary!Q52</f>
        <v>0</v>
      </c>
      <c r="F51" s="364" t="n">
        <f aca="false">+Summary!V52</f>
        <v>0</v>
      </c>
      <c r="G51" s="365" t="n">
        <f aca="false">+B51+C51+D51</f>
        <v>-104.206420898438</v>
      </c>
      <c r="H51" s="366" t="n">
        <f aca="false">+E51</f>
        <v>0</v>
      </c>
      <c r="I51" s="367" t="n">
        <f aca="false">+F51</f>
        <v>0</v>
      </c>
      <c r="K51" s="362" t="n">
        <f aca="false">A51</f>
        <v>37530</v>
      </c>
      <c r="L51" s="363" t="n">
        <f aca="false">'NYISO A'!F55</f>
        <v>33.8999977111816</v>
      </c>
      <c r="M51" s="363" t="n">
        <f aca="false">'NYISO G'!F55</f>
        <v>40.75</v>
      </c>
      <c r="N51" s="364" t="n">
        <f aca="false">'NYISO J'!F55</f>
        <v>47.5</v>
      </c>
      <c r="O51" s="363" t="n">
        <f aca="false">'NYISO A'!H55</f>
        <v>35</v>
      </c>
      <c r="P51" s="363" t="n">
        <f aca="false">'NYISO G'!H55</f>
        <v>42.25</v>
      </c>
      <c r="Q51" s="364" t="n">
        <f aca="false">'NYISO J'!H55</f>
        <v>85</v>
      </c>
    </row>
    <row r="52" customFormat="false" ht="12.75" hidden="false" customHeight="false" outlineLevel="0" collapsed="false">
      <c r="A52" s="389" t="n">
        <f aca="false">+Summary!U53</f>
        <v>37561</v>
      </c>
      <c r="B52" s="363" t="n">
        <f aca="false">+Summary!B53</f>
        <v>-56.7889038085938</v>
      </c>
      <c r="C52" s="363" t="n">
        <f aca="false">+Summary!G53</f>
        <v>-47.7370330810547</v>
      </c>
      <c r="D52" s="363" t="n">
        <f aca="false">+Summary!L53</f>
        <v>0</v>
      </c>
      <c r="E52" s="363" t="n">
        <f aca="false">+Summary!Q53</f>
        <v>0</v>
      </c>
      <c r="F52" s="364" t="n">
        <f aca="false">+Summary!V53</f>
        <v>0</v>
      </c>
      <c r="G52" s="365" t="n">
        <f aca="false">+B52+C52+D52</f>
        <v>-104.525936889648</v>
      </c>
      <c r="H52" s="366" t="n">
        <f aca="false">+E52</f>
        <v>0</v>
      </c>
      <c r="I52" s="367" t="n">
        <f aca="false">+F52</f>
        <v>0</v>
      </c>
      <c r="K52" s="362" t="n">
        <f aca="false">A52</f>
        <v>37561</v>
      </c>
      <c r="L52" s="363" t="n">
        <f aca="false">'NYISO A'!F56</f>
        <v>33.8999977111816</v>
      </c>
      <c r="M52" s="363" t="n">
        <f aca="false">'NYISO G'!F56</f>
        <v>40.75</v>
      </c>
      <c r="N52" s="364" t="n">
        <f aca="false">'NYISO J'!F56</f>
        <v>47.5</v>
      </c>
      <c r="O52" s="363" t="n">
        <f aca="false">'NYISO A'!H56</f>
        <v>35</v>
      </c>
      <c r="P52" s="363" t="n">
        <f aca="false">'NYISO G'!H56</f>
        <v>42.25</v>
      </c>
      <c r="Q52" s="364" t="n">
        <f aca="false">'NYISO J'!H56</f>
        <v>85</v>
      </c>
    </row>
    <row r="53" customFormat="false" ht="12.75" hidden="false" customHeight="false" outlineLevel="0" collapsed="false">
      <c r="A53" s="389" t="n">
        <f aca="false">+Summary!U54</f>
        <v>37591</v>
      </c>
      <c r="B53" s="363" t="n">
        <f aca="false">+Summary!B54</f>
        <v>-58</v>
      </c>
      <c r="C53" s="363" t="n">
        <f aca="false">+Summary!G54</f>
        <v>-48</v>
      </c>
      <c r="D53" s="363" t="n">
        <f aca="false">+Summary!L54</f>
        <v>0</v>
      </c>
      <c r="E53" s="363" t="n">
        <f aca="false">+Summary!Q54</f>
        <v>0</v>
      </c>
      <c r="F53" s="364" t="n">
        <f aca="false">+Summary!V54</f>
        <v>0</v>
      </c>
      <c r="G53" s="365" t="n">
        <f aca="false">+B53+C53+D53</f>
        <v>-106</v>
      </c>
      <c r="H53" s="366" t="n">
        <f aca="false">+E53</f>
        <v>0</v>
      </c>
      <c r="I53" s="367" t="n">
        <f aca="false">+F53</f>
        <v>0</v>
      </c>
      <c r="K53" s="362" t="n">
        <f aca="false">A53</f>
        <v>37591</v>
      </c>
      <c r="L53" s="363" t="n">
        <f aca="false">'NYISO A'!F57</f>
        <v>33.8999977111816</v>
      </c>
      <c r="M53" s="363" t="n">
        <f aca="false">'NYISO G'!F57</f>
        <v>40.75</v>
      </c>
      <c r="N53" s="364" t="n">
        <f aca="false">'NYISO J'!F61</f>
        <v>0</v>
      </c>
      <c r="O53" s="363" t="n">
        <f aca="false">'NYISO A'!H57</f>
        <v>35</v>
      </c>
      <c r="P53" s="363" t="n">
        <f aca="false">'NYISO G'!H57</f>
        <v>42.25</v>
      </c>
      <c r="Q53" s="364" t="n">
        <f aca="false">'NYISO J'!H61</f>
        <v>0</v>
      </c>
    </row>
    <row r="54" customFormat="false" ht="13.5" hidden="false" customHeight="false" outlineLevel="0" collapsed="false">
      <c r="A54" s="390" t="n">
        <f aca="false">+Summary!U55</f>
        <v>37622</v>
      </c>
      <c r="B54" s="374" t="n">
        <f aca="false">+Summary!B55</f>
        <v>142</v>
      </c>
      <c r="C54" s="374" t="n">
        <f aca="false">+Summary!G55</f>
        <v>0</v>
      </c>
      <c r="D54" s="374" t="n">
        <f aca="false">+Summary!L55</f>
        <v>0</v>
      </c>
      <c r="E54" s="374" t="n">
        <f aca="false">+Summary!Q55</f>
        <v>0</v>
      </c>
      <c r="F54" s="375" t="n">
        <f aca="false">+Summary!V55</f>
        <v>0</v>
      </c>
      <c r="G54" s="376" t="n">
        <f aca="false">+B54+C54+D54</f>
        <v>142</v>
      </c>
      <c r="H54" s="377" t="n">
        <f aca="false">+E54</f>
        <v>0</v>
      </c>
      <c r="I54" s="378" t="n">
        <f aca="false">+F54</f>
        <v>0</v>
      </c>
      <c r="J54" s="391"/>
      <c r="K54" s="373" t="n">
        <f aca="false">A54</f>
        <v>37622</v>
      </c>
      <c r="L54" s="374" t="n">
        <f aca="false">'NYISO A'!F58</f>
        <v>40</v>
      </c>
      <c r="M54" s="374" t="n">
        <f aca="false">'NYISO G'!F58</f>
        <v>0</v>
      </c>
      <c r="N54" s="375" t="n">
        <f aca="false">'NYISO J'!F62</f>
        <v>0</v>
      </c>
      <c r="O54" s="374" t="n">
        <f aca="false">'NYISO A'!H58</f>
        <v>39.5</v>
      </c>
      <c r="P54" s="374" t="n">
        <f aca="false">'NYISO G'!H58</f>
        <v>55.5</v>
      </c>
      <c r="Q54" s="375" t="n">
        <f aca="false">'NYISO J'!H62</f>
        <v>0</v>
      </c>
    </row>
  </sheetData>
  <mergeCells count="2">
    <mergeCell ref="L2:N2"/>
    <mergeCell ref="O2:Q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>&amp;L Confidential&amp;C&amp;D&amp;RPage &amp;P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E12" activeCellId="0" sqref="E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4" width="10.56"/>
    <col collapsed="false" customWidth="true" hidden="false" outlineLevel="0" max="2" min="2" style="24" width="14.41"/>
    <col collapsed="false" customWidth="true" hidden="false" outlineLevel="0" max="3" min="3" style="24" width="16.56"/>
    <col collapsed="false" customWidth="true" hidden="false" outlineLevel="0" max="4" min="4" style="24" width="15.28"/>
    <col collapsed="false" customWidth="true" hidden="false" outlineLevel="0" max="5" min="5" style="24" width="17.42"/>
    <col collapsed="false" customWidth="true" hidden="false" outlineLevel="0" max="6" min="6" style="24" width="14.41"/>
    <col collapsed="false" customWidth="true" hidden="false" outlineLevel="0" max="7" min="7" style="24" width="12.28"/>
    <col collapsed="false" customWidth="true" hidden="false" outlineLevel="0" max="8" min="8" style="24" width="12.14"/>
    <col collapsed="false" customWidth="true" hidden="false" outlineLevel="0" max="9" min="9" style="24" width="10.71"/>
    <col collapsed="false" customWidth="false" hidden="false" outlineLevel="0" max="10" min="10" style="24" width="9.14"/>
    <col collapsed="false" customWidth="true" hidden="false" outlineLevel="0" max="11" min="11" style="24" width="7.7"/>
    <col collapsed="false" customWidth="true" hidden="false" outlineLevel="0" max="12" min="12" style="24" width="12.28"/>
    <col collapsed="false" customWidth="true" hidden="false" outlineLevel="0" max="13" min="13" style="24" width="11.42"/>
    <col collapsed="false" customWidth="true" hidden="false" outlineLevel="0" max="14" min="14" style="24" width="10.71"/>
    <col collapsed="false" customWidth="false" hidden="false" outlineLevel="0" max="15" min="15" style="24" width="9.14"/>
    <col collapsed="false" customWidth="true" hidden="false" outlineLevel="0" max="16" min="16" style="24" width="7.42"/>
    <col collapsed="false" customWidth="true" hidden="false" outlineLevel="0" max="17" min="17" style="24" width="12.28"/>
    <col collapsed="false" customWidth="true" hidden="false" outlineLevel="0" max="18" min="18" style="24" width="14.14"/>
    <col collapsed="false" customWidth="true" hidden="false" outlineLevel="0" max="19" min="19" style="24" width="10.71"/>
    <col collapsed="false" customWidth="false" hidden="false" outlineLevel="0" max="22" min="20" style="24" width="9.14"/>
    <col collapsed="false" customWidth="true" hidden="false" outlineLevel="0" max="23" min="23" style="24" width="11.42"/>
    <col collapsed="false" customWidth="true" hidden="false" outlineLevel="0" max="24" min="24" style="24" width="10.71"/>
    <col collapsed="false" customWidth="false" hidden="false" outlineLevel="0" max="31" min="25" style="24" width="9.14"/>
    <col collapsed="false" customWidth="true" hidden="false" outlineLevel="0" max="32" min="32" style="24" width="11.42"/>
    <col collapsed="false" customWidth="false" hidden="false" outlineLevel="0" max="257" min="33" style="24" width="9.14"/>
  </cols>
  <sheetData>
    <row r="1" customFormat="false" ht="18.75" hidden="false" customHeight="false" outlineLevel="0" collapsed="false">
      <c r="A1" s="392" t="s">
        <v>101</v>
      </c>
      <c r="B1" s="393" t="n">
        <f aca="false">+D1+F1+G1</f>
        <v>-222635.890442569</v>
      </c>
      <c r="C1" s="343" t="s">
        <v>109</v>
      </c>
      <c r="D1" s="393" t="n">
        <f aca="false">+C2+D2+H2+I2+M2+N2+R2+S2+W2+X2</f>
        <v>-87113.0486127507</v>
      </c>
      <c r="E1" s="343" t="s">
        <v>110</v>
      </c>
      <c r="F1" s="393" t="n">
        <f aca="false">+SUM(C38:D38,H38:I38,R38:S38,W38:X38)</f>
        <v>-135522.841829818</v>
      </c>
      <c r="G1" s="394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4"/>
    </row>
    <row r="2" customFormat="false" ht="13.5" hidden="false" customHeight="false" outlineLevel="0" collapsed="false">
      <c r="A2" s="395" t="s">
        <v>95</v>
      </c>
      <c r="B2" s="256"/>
      <c r="C2" s="396" t="n">
        <f aca="false">+SUM(C5:C36)</f>
        <v>-90721.93359375</v>
      </c>
      <c r="D2" s="396" t="n">
        <f aca="false">+SUM(D5:D36)</f>
        <v>0</v>
      </c>
      <c r="F2" s="395" t="s">
        <v>95</v>
      </c>
      <c r="G2" s="256"/>
      <c r="H2" s="397" t="n">
        <f aca="false">+SUM(H5:H36)</f>
        <v>-12725.3069763184</v>
      </c>
      <c r="I2" s="396" t="n">
        <f aca="false">+SUM(I5:I36)</f>
        <v>0</v>
      </c>
      <c r="K2" s="395" t="s">
        <v>95</v>
      </c>
      <c r="L2" s="256"/>
      <c r="M2" s="396" t="n">
        <f aca="false">+SUM(M5:M36)</f>
        <v>30746.3014526367</v>
      </c>
      <c r="N2" s="396" t="n">
        <f aca="false">+SUM(N5:N36)</f>
        <v>0</v>
      </c>
      <c r="P2" s="398" t="s">
        <v>95</v>
      </c>
      <c r="Q2" s="256"/>
      <c r="R2" s="396" t="n">
        <f aca="false">+SUM(R5:R36)</f>
        <v>-2547.17135009774</v>
      </c>
      <c r="S2" s="396" t="n">
        <f aca="false">+SUM(S5:S36)</f>
        <v>0</v>
      </c>
      <c r="U2" s="398" t="s">
        <v>95</v>
      </c>
      <c r="V2" s="256"/>
      <c r="W2" s="396" t="n">
        <f aca="false">+SUM(W5:W36)</f>
        <v>-11864.9381452213</v>
      </c>
      <c r="X2" s="396" t="n">
        <f aca="false">+SUM(X5:X36)</f>
        <v>0</v>
      </c>
    </row>
    <row r="3" customFormat="false" ht="13.5" hidden="false" customHeight="false" outlineLevel="0" collapsed="false">
      <c r="A3" s="399" t="s">
        <v>96</v>
      </c>
      <c r="B3" s="346" t="s">
        <v>111</v>
      </c>
      <c r="C3" s="346" t="s">
        <v>112</v>
      </c>
      <c r="D3" s="347" t="s">
        <v>113</v>
      </c>
      <c r="F3" s="399" t="s">
        <v>97</v>
      </c>
      <c r="G3" s="346" t="s">
        <v>111</v>
      </c>
      <c r="H3" s="346" t="s">
        <v>112</v>
      </c>
      <c r="I3" s="347" t="s">
        <v>113</v>
      </c>
      <c r="K3" s="399" t="s">
        <v>98</v>
      </c>
      <c r="L3" s="346" t="s">
        <v>111</v>
      </c>
      <c r="M3" s="346" t="s">
        <v>112</v>
      </c>
      <c r="N3" s="347" t="s">
        <v>113</v>
      </c>
      <c r="P3" s="398" t="s">
        <v>99</v>
      </c>
      <c r="Q3" s="346" t="s">
        <v>111</v>
      </c>
      <c r="R3" s="346" t="s">
        <v>112</v>
      </c>
      <c r="S3" s="347" t="s">
        <v>113</v>
      </c>
      <c r="U3" s="398" t="s">
        <v>100</v>
      </c>
      <c r="V3" s="346" t="s">
        <v>111</v>
      </c>
      <c r="W3" s="346" t="s">
        <v>112</v>
      </c>
      <c r="X3" s="347" t="s">
        <v>113</v>
      </c>
    </row>
    <row r="4" customFormat="false" ht="12.75" hidden="false" customHeight="false" outlineLevel="0" collapsed="false">
      <c r="A4" s="353"/>
      <c r="B4" s="354" t="s">
        <v>107</v>
      </c>
      <c r="C4" s="354" t="s">
        <v>114</v>
      </c>
      <c r="D4" s="355" t="s">
        <v>114</v>
      </c>
      <c r="F4" s="353"/>
      <c r="G4" s="354" t="s">
        <v>107</v>
      </c>
      <c r="H4" s="354" t="s">
        <v>114</v>
      </c>
      <c r="I4" s="355" t="s">
        <v>114</v>
      </c>
      <c r="K4" s="353"/>
      <c r="L4" s="354" t="s">
        <v>107</v>
      </c>
      <c r="M4" s="354" t="s">
        <v>114</v>
      </c>
      <c r="N4" s="355" t="s">
        <v>114</v>
      </c>
      <c r="P4" s="353"/>
      <c r="Q4" s="354" t="s">
        <v>107</v>
      </c>
      <c r="R4" s="354" t="s">
        <v>114</v>
      </c>
      <c r="S4" s="355" t="s">
        <v>114</v>
      </c>
      <c r="U4" s="353"/>
      <c r="V4" s="354" t="s">
        <v>107</v>
      </c>
      <c r="W4" s="354" t="s">
        <v>114</v>
      </c>
      <c r="X4" s="355" t="s">
        <v>114</v>
      </c>
    </row>
    <row r="5" customFormat="false" ht="12.75" hidden="false" customHeight="false" outlineLevel="0" collapsed="false">
      <c r="A5" s="362" t="n">
        <f aca="false">+'NET P&amp;L'!A7</f>
        <v>37135</v>
      </c>
      <c r="B5" s="363" t="n">
        <f aca="false">+('NET P&amp;L'!B7+'NET P&amp;L'!G7)/16</f>
        <v>0</v>
      </c>
      <c r="C5" s="400" t="n">
        <f aca="false">+'NET P&amp;L'!L7</f>
        <v>-0</v>
      </c>
      <c r="D5" s="401" t="n">
        <f aca="false">+'NET P&amp;L'!Q7</f>
        <v>0</v>
      </c>
      <c r="F5" s="362" t="n">
        <f aca="false">+'NET P&amp;L'!A7</f>
        <v>37135</v>
      </c>
      <c r="G5" s="363" t="n">
        <f aca="false">+('NET P&amp;L'!C7+'NET P&amp;L'!H7)/16</f>
        <v>0</v>
      </c>
      <c r="H5" s="400" t="n">
        <f aca="false">+'NET P&amp;L'!M7</f>
        <v>-0</v>
      </c>
      <c r="I5" s="401" t="n">
        <f aca="false">+'NET P&amp;L'!R7</f>
        <v>0</v>
      </c>
      <c r="K5" s="362" t="n">
        <f aca="false">+'NET P&amp;L'!A7</f>
        <v>37135</v>
      </c>
      <c r="L5" s="363" t="n">
        <f aca="false">+('NET P&amp;L'!D7+'NET P&amp;L'!I7)/16</f>
        <v>0</v>
      </c>
      <c r="M5" s="400" t="n">
        <f aca="false">+'NET P&amp;L'!N7</f>
        <v>-0</v>
      </c>
      <c r="N5" s="401" t="n">
        <f aca="false">+'NET P&amp;L'!S7</f>
        <v>0</v>
      </c>
      <c r="P5" s="362" t="n">
        <f aca="false">+'NET P&amp;L'!A7</f>
        <v>37135</v>
      </c>
      <c r="Q5" s="363" t="n">
        <f aca="false">+('NET P&amp;L'!E7+'NET P&amp;L'!J7)/16</f>
        <v>0</v>
      </c>
      <c r="R5" s="400" t="n">
        <f aca="false">+'NET P&amp;L'!O7</f>
        <v>0</v>
      </c>
      <c r="S5" s="401" t="n">
        <f aca="false">+'NET P&amp;L'!T7</f>
        <v>0</v>
      </c>
      <c r="U5" s="362" t="n">
        <f aca="false">+'NET P&amp;L'!A7</f>
        <v>37135</v>
      </c>
      <c r="V5" s="363" t="n">
        <f aca="false">+('NET P&amp;L'!F7+'NET P&amp;L'!K7)/16</f>
        <v>0</v>
      </c>
      <c r="W5" s="400" t="n">
        <f aca="false">+'NET P&amp;L'!P7</f>
        <v>0</v>
      </c>
      <c r="X5" s="401" t="n">
        <f aca="false">+'NET P&amp;L'!U7</f>
        <v>0</v>
      </c>
    </row>
    <row r="6" customFormat="false" ht="12.75" hidden="false" customHeight="false" outlineLevel="0" collapsed="false">
      <c r="A6" s="362" t="n">
        <f aca="false">+'NET P&amp;L'!A8</f>
        <v>37136</v>
      </c>
      <c r="B6" s="363" t="n">
        <f aca="false">+('NET P&amp;L'!B8+'NET P&amp;L'!G8)/16</f>
        <v>0</v>
      </c>
      <c r="C6" s="400" t="n">
        <f aca="false">+'NET P&amp;L'!L8</f>
        <v>0</v>
      </c>
      <c r="D6" s="401" t="n">
        <f aca="false">+'NET P&amp;L'!Q8</f>
        <v>0</v>
      </c>
      <c r="F6" s="362" t="n">
        <f aca="false">+'NET P&amp;L'!A8</f>
        <v>37136</v>
      </c>
      <c r="G6" s="363" t="n">
        <f aca="false">+('NET P&amp;L'!C8+'NET P&amp;L'!H8)/16</f>
        <v>0</v>
      </c>
      <c r="H6" s="400" t="n">
        <f aca="false">+'NET P&amp;L'!M8</f>
        <v>0</v>
      </c>
      <c r="I6" s="401" t="n">
        <f aca="false">+'NET P&amp;L'!R8</f>
        <v>0</v>
      </c>
      <c r="K6" s="362" t="n">
        <f aca="false">+'NET P&amp;L'!A8</f>
        <v>37136</v>
      </c>
      <c r="L6" s="363" t="n">
        <f aca="false">+('NET P&amp;L'!D8+'NET P&amp;L'!I8)/16</f>
        <v>0</v>
      </c>
      <c r="M6" s="400" t="n">
        <f aca="false">+'NET P&amp;L'!N8</f>
        <v>0</v>
      </c>
      <c r="N6" s="401" t="n">
        <f aca="false">+'NET P&amp;L'!S8</f>
        <v>0</v>
      </c>
      <c r="P6" s="362" t="n">
        <f aca="false">+'NET P&amp;L'!A8</f>
        <v>37136</v>
      </c>
      <c r="Q6" s="363" t="n">
        <f aca="false">+('NET P&amp;L'!E8+'NET P&amp;L'!J8)/16</f>
        <v>0</v>
      </c>
      <c r="R6" s="400" t="n">
        <f aca="false">+'NET P&amp;L'!O8</f>
        <v>0</v>
      </c>
      <c r="S6" s="401" t="n">
        <f aca="false">+'NET P&amp;L'!T8</f>
        <v>0</v>
      </c>
      <c r="U6" s="362" t="n">
        <f aca="false">+'NET P&amp;L'!A8</f>
        <v>37136</v>
      </c>
      <c r="V6" s="363" t="n">
        <f aca="false">+('NET P&amp;L'!F8+'NET P&amp;L'!K8)/16</f>
        <v>0</v>
      </c>
      <c r="W6" s="400" t="n">
        <f aca="false">+'NET P&amp;L'!P8</f>
        <v>0</v>
      </c>
      <c r="X6" s="401" t="n">
        <f aca="false">+'NET P&amp;L'!U8</f>
        <v>0</v>
      </c>
    </row>
    <row r="7" customFormat="false" ht="12.75" hidden="false" customHeight="false" outlineLevel="0" collapsed="false">
      <c r="A7" s="362" t="n">
        <f aca="false">+'NET P&amp;L'!A9</f>
        <v>37137</v>
      </c>
      <c r="B7" s="363" t="n">
        <f aca="false">+('NET P&amp;L'!B9+'NET P&amp;L'!G9)/16</f>
        <v>0</v>
      </c>
      <c r="C7" s="400" t="n">
        <f aca="false">+'NET P&amp;L'!L9</f>
        <v>0</v>
      </c>
      <c r="D7" s="401" t="n">
        <f aca="false">+'NET P&amp;L'!Q9</f>
        <v>0</v>
      </c>
      <c r="F7" s="362" t="n">
        <f aca="false">+'NET P&amp;L'!A9</f>
        <v>37137</v>
      </c>
      <c r="G7" s="363" t="n">
        <f aca="false">+('NET P&amp;L'!C9+'NET P&amp;L'!H9)/16</f>
        <v>0</v>
      </c>
      <c r="H7" s="400" t="n">
        <f aca="false">+'NET P&amp;L'!M9</f>
        <v>0</v>
      </c>
      <c r="I7" s="401" t="n">
        <f aca="false">+'NET P&amp;L'!R9</f>
        <v>0</v>
      </c>
      <c r="K7" s="362" t="n">
        <f aca="false">+'NET P&amp;L'!A9</f>
        <v>37137</v>
      </c>
      <c r="L7" s="363" t="n">
        <f aca="false">+('NET P&amp;L'!D9+'NET P&amp;L'!I9)/16</f>
        <v>0</v>
      </c>
      <c r="M7" s="400" t="n">
        <f aca="false">+'NET P&amp;L'!N9</f>
        <v>0</v>
      </c>
      <c r="N7" s="401" t="n">
        <f aca="false">+'NET P&amp;L'!S9</f>
        <v>0</v>
      </c>
      <c r="P7" s="362" t="n">
        <f aca="false">+'NET P&amp;L'!A9</f>
        <v>37137</v>
      </c>
      <c r="Q7" s="363" t="n">
        <f aca="false">+('NET P&amp;L'!E9+'NET P&amp;L'!J9)/16</f>
        <v>0</v>
      </c>
      <c r="R7" s="400" t="n">
        <f aca="false">+'NET P&amp;L'!O9</f>
        <v>0</v>
      </c>
      <c r="S7" s="401" t="n">
        <f aca="false">+'NET P&amp;L'!T9</f>
        <v>0</v>
      </c>
      <c r="U7" s="362" t="n">
        <f aca="false">+'NET P&amp;L'!A9</f>
        <v>37137</v>
      </c>
      <c r="V7" s="363" t="n">
        <f aca="false">+('NET P&amp;L'!F9+'NET P&amp;L'!K9)/16</f>
        <v>0</v>
      </c>
      <c r="W7" s="400" t="n">
        <f aca="false">+'NET P&amp;L'!P9</f>
        <v>0</v>
      </c>
      <c r="X7" s="401" t="n">
        <f aca="false">+'NET P&amp;L'!U9</f>
        <v>0</v>
      </c>
    </row>
    <row r="8" customFormat="false" ht="12.75" hidden="false" customHeight="false" outlineLevel="0" collapsed="false">
      <c r="A8" s="362" t="n">
        <f aca="false">+'NET P&amp;L'!A10</f>
        <v>37138</v>
      </c>
      <c r="B8" s="363" t="n">
        <f aca="false">+('NET P&amp;L'!B10+'NET P&amp;L'!G10)/16</f>
        <v>-50</v>
      </c>
      <c r="C8" s="400" t="n">
        <f aca="false">+'NET P&amp;L'!L10</f>
        <v>-0</v>
      </c>
      <c r="D8" s="401" t="n">
        <f aca="false">+'NET P&amp;L'!Q10</f>
        <v>0</v>
      </c>
      <c r="F8" s="362" t="n">
        <f aca="false">+'NET P&amp;L'!A10</f>
        <v>37138</v>
      </c>
      <c r="G8" s="363" t="n">
        <f aca="false">+('NET P&amp;L'!C10+'NET P&amp;L'!H10)/16</f>
        <v>-49.8219718933106</v>
      </c>
      <c r="H8" s="400" t="n">
        <f aca="false">+'NET P&amp;L'!M10</f>
        <v>-3188.60620117188</v>
      </c>
      <c r="I8" s="401" t="n">
        <f aca="false">+'NET P&amp;L'!R10</f>
        <v>0</v>
      </c>
      <c r="K8" s="362" t="n">
        <f aca="false">+'NET P&amp;L'!A10</f>
        <v>37138</v>
      </c>
      <c r="L8" s="363" t="n">
        <f aca="false">+('NET P&amp;L'!D10+'NET P&amp;L'!I10)/16</f>
        <v>74.7329559326172</v>
      </c>
      <c r="M8" s="400" t="n">
        <f aca="false">+'NET P&amp;L'!N10</f>
        <v>5679.70465087891</v>
      </c>
      <c r="N8" s="401" t="n">
        <f aca="false">+'NET P&amp;L'!S10</f>
        <v>0</v>
      </c>
      <c r="P8" s="362" t="n">
        <f aca="false">+'NET P&amp;L'!A10</f>
        <v>37138</v>
      </c>
      <c r="Q8" s="363" t="n">
        <f aca="false">+('NET P&amp;L'!E10+'NET P&amp;L'!J10)/16</f>
        <v>149.248321533203</v>
      </c>
      <c r="R8" s="400" t="n">
        <f aca="false">+'NET P&amp;L'!O10</f>
        <v>1193.98657226563</v>
      </c>
      <c r="S8" s="401" t="n">
        <f aca="false">+'NET P&amp;L'!T10</f>
        <v>0</v>
      </c>
      <c r="U8" s="362" t="n">
        <f aca="false">+'NET P&amp;L'!A10</f>
        <v>37138</v>
      </c>
      <c r="V8" s="363" t="n">
        <f aca="false">+('NET P&amp;L'!F10+'NET P&amp;L'!K10)/16</f>
        <v>149.248321533203</v>
      </c>
      <c r="W8" s="400" t="n">
        <f aca="false">+'NET P&amp;L'!P10</f>
        <v>0.0127531524781545</v>
      </c>
      <c r="X8" s="401" t="n">
        <f aca="false">+'NET P&amp;L'!U10</f>
        <v>0</v>
      </c>
    </row>
    <row r="9" customFormat="false" ht="12.75" hidden="false" customHeight="false" outlineLevel="0" collapsed="false">
      <c r="A9" s="362" t="n">
        <f aca="false">+'NET P&amp;L'!A11</f>
        <v>37139</v>
      </c>
      <c r="B9" s="363" t="n">
        <f aca="false">+('NET P&amp;L'!B11+'NET P&amp;L'!G11)/16</f>
        <v>-50</v>
      </c>
      <c r="C9" s="400" t="n">
        <f aca="false">+'NET P&amp;L'!L11</f>
        <v>-2000</v>
      </c>
      <c r="D9" s="401" t="n">
        <f aca="false">+'NET P&amp;L'!Q11</f>
        <v>0</v>
      </c>
      <c r="F9" s="362" t="n">
        <f aca="false">+'NET P&amp;L'!A11</f>
        <v>37139</v>
      </c>
      <c r="G9" s="363" t="n">
        <f aca="false">+('NET P&amp;L'!C11+'NET P&amp;L'!H11)/16</f>
        <v>-49.8219718933106</v>
      </c>
      <c r="H9" s="400" t="n">
        <f aca="false">+'NET P&amp;L'!M11</f>
        <v>-3188.60620117188</v>
      </c>
      <c r="I9" s="401" t="n">
        <f aca="false">+'NET P&amp;L'!R11</f>
        <v>0</v>
      </c>
      <c r="K9" s="362" t="n">
        <f aca="false">+'NET P&amp;L'!A11</f>
        <v>37139</v>
      </c>
      <c r="L9" s="363" t="n">
        <f aca="false">+('NET P&amp;L'!D11+'NET P&amp;L'!I11)/16</f>
        <v>74.7329559326172</v>
      </c>
      <c r="M9" s="400" t="n">
        <f aca="false">+'NET P&amp;L'!N11</f>
        <v>5679.70465087891</v>
      </c>
      <c r="N9" s="401" t="n">
        <f aca="false">+'NET P&amp;L'!S11</f>
        <v>0</v>
      </c>
      <c r="P9" s="362" t="n">
        <f aca="false">+'NET P&amp;L'!A11</f>
        <v>37139</v>
      </c>
      <c r="Q9" s="363" t="n">
        <f aca="false">+('NET P&amp;L'!E11+'NET P&amp;L'!J11)/16</f>
        <v>149.248321533203</v>
      </c>
      <c r="R9" s="400" t="n">
        <f aca="false">+'NET P&amp;L'!O11</f>
        <v>-1193.98657226563</v>
      </c>
      <c r="S9" s="401" t="n">
        <f aca="false">+'NET P&amp;L'!T11</f>
        <v>0</v>
      </c>
      <c r="U9" s="362" t="n">
        <f aca="false">+'NET P&amp;L'!A11</f>
        <v>37139</v>
      </c>
      <c r="V9" s="363" t="n">
        <f aca="false">+('NET P&amp;L'!F11+'NET P&amp;L'!K11)/16</f>
        <v>149.248321533203</v>
      </c>
      <c r="W9" s="400" t="n">
        <f aca="false">+'NET P&amp;L'!P11</f>
        <v>0.0127531524781545</v>
      </c>
      <c r="X9" s="401" t="n">
        <f aca="false">+'NET P&amp;L'!U11</f>
        <v>0</v>
      </c>
    </row>
    <row r="10" customFormat="false" ht="12.75" hidden="false" customHeight="false" outlineLevel="0" collapsed="false">
      <c r="A10" s="362" t="n">
        <f aca="false">+'NET P&amp;L'!A12</f>
        <v>37140</v>
      </c>
      <c r="B10" s="363" t="n">
        <f aca="false">+('NET P&amp;L'!B12+'NET P&amp;L'!G12)/16</f>
        <v>-50</v>
      </c>
      <c r="C10" s="400" t="n">
        <f aca="false">+'NET P&amp;L'!L12</f>
        <v>-2000</v>
      </c>
      <c r="D10" s="401" t="n">
        <f aca="false">+'NET P&amp;L'!Q12</f>
        <v>0</v>
      </c>
      <c r="F10" s="362" t="n">
        <f aca="false">+'NET P&amp;L'!A12</f>
        <v>37140</v>
      </c>
      <c r="G10" s="363" t="n">
        <f aca="false">+('NET P&amp;L'!C12+'NET P&amp;L'!H12)/16</f>
        <v>-49.8219718933106</v>
      </c>
      <c r="H10" s="400" t="n">
        <f aca="false">+'NET P&amp;L'!M12</f>
        <v>-3188.60620117188</v>
      </c>
      <c r="I10" s="401" t="n">
        <f aca="false">+'NET P&amp;L'!R12</f>
        <v>0</v>
      </c>
      <c r="K10" s="362" t="n">
        <f aca="false">+'NET P&amp;L'!A12</f>
        <v>37140</v>
      </c>
      <c r="L10" s="363" t="n">
        <f aca="false">+('NET P&amp;L'!D12+'NET P&amp;L'!I12)/16</f>
        <v>74.7329559326172</v>
      </c>
      <c r="M10" s="400" t="n">
        <f aca="false">+'NET P&amp;L'!N12</f>
        <v>5679.70465087891</v>
      </c>
      <c r="N10" s="401" t="n">
        <f aca="false">+'NET P&amp;L'!S12</f>
        <v>0</v>
      </c>
      <c r="P10" s="362" t="n">
        <f aca="false">+'NET P&amp;L'!A12</f>
        <v>37140</v>
      </c>
      <c r="Q10" s="363" t="n">
        <f aca="false">+('NET P&amp;L'!E12+'NET P&amp;L'!J12)/16</f>
        <v>149.248321533203</v>
      </c>
      <c r="R10" s="400" t="n">
        <f aca="false">+'NET P&amp;L'!O12</f>
        <v>-1193.98657226563</v>
      </c>
      <c r="S10" s="401" t="n">
        <f aca="false">+'NET P&amp;L'!T12</f>
        <v>0</v>
      </c>
      <c r="U10" s="362" t="n">
        <f aca="false">+'NET P&amp;L'!A12</f>
        <v>37140</v>
      </c>
      <c r="V10" s="363" t="n">
        <f aca="false">+('NET P&amp;L'!F12+'NET P&amp;L'!K12)/16</f>
        <v>149.248321533203</v>
      </c>
      <c r="W10" s="400" t="n">
        <f aca="false">+'NET P&amp;L'!P12</f>
        <v>0.0127531524781545</v>
      </c>
      <c r="X10" s="401" t="n">
        <f aca="false">+'NET P&amp;L'!U12</f>
        <v>0</v>
      </c>
    </row>
    <row r="11" customFormat="false" ht="12.75" hidden="false" customHeight="false" outlineLevel="0" collapsed="false">
      <c r="A11" s="362" t="n">
        <f aca="false">+'NET P&amp;L'!A13</f>
        <v>37141</v>
      </c>
      <c r="B11" s="363" t="n">
        <f aca="false">+('NET P&amp;L'!B13+'NET P&amp;L'!G13)/16</f>
        <v>-50</v>
      </c>
      <c r="C11" s="400" t="n">
        <f aca="false">+'NET P&amp;L'!L13</f>
        <v>-2000</v>
      </c>
      <c r="D11" s="401" t="n">
        <f aca="false">+'NET P&amp;L'!Q13</f>
        <v>0</v>
      </c>
      <c r="F11" s="362" t="n">
        <f aca="false">+'NET P&amp;L'!A13</f>
        <v>37141</v>
      </c>
      <c r="G11" s="363" t="n">
        <f aca="false">+('NET P&amp;L'!C13+'NET P&amp;L'!H13)/16</f>
        <v>-49.8219718933106</v>
      </c>
      <c r="H11" s="400" t="n">
        <f aca="false">+'NET P&amp;L'!M13</f>
        <v>5978.63662719727</v>
      </c>
      <c r="I11" s="401" t="n">
        <f aca="false">+'NET P&amp;L'!R13</f>
        <v>0</v>
      </c>
      <c r="K11" s="362" t="n">
        <f aca="false">+'NET P&amp;L'!A13</f>
        <v>37141</v>
      </c>
      <c r="L11" s="363" t="n">
        <f aca="false">+('NET P&amp;L'!D13+'NET P&amp;L'!I13)/16</f>
        <v>74.7329559326172</v>
      </c>
      <c r="M11" s="400" t="n">
        <f aca="false">+'NET P&amp;L'!N13</f>
        <v>0</v>
      </c>
      <c r="N11" s="401" t="n">
        <f aca="false">+'NET P&amp;L'!S13</f>
        <v>0</v>
      </c>
      <c r="P11" s="362" t="n">
        <f aca="false">+'NET P&amp;L'!A13</f>
        <v>37141</v>
      </c>
      <c r="Q11" s="363" t="n">
        <f aca="false">+('NET P&amp;L'!E13+'NET P&amp;L'!J13)/16</f>
        <v>149.248321533203</v>
      </c>
      <c r="R11" s="400" t="n">
        <f aca="false">+'NET P&amp;L'!O13</f>
        <v>-1193.98657226563</v>
      </c>
      <c r="S11" s="401" t="n">
        <f aca="false">+'NET P&amp;L'!T13</f>
        <v>0</v>
      </c>
      <c r="U11" s="362" t="n">
        <f aca="false">+'NET P&amp;L'!A13</f>
        <v>37141</v>
      </c>
      <c r="V11" s="363" t="n">
        <f aca="false">+('NET P&amp;L'!F13+'NET P&amp;L'!K13)/16</f>
        <v>149.248321533203</v>
      </c>
      <c r="W11" s="400" t="n">
        <f aca="false">+'NET P&amp;L'!P13</f>
        <v>0.00364375785332523</v>
      </c>
      <c r="X11" s="401" t="n">
        <f aca="false">+'NET P&amp;L'!U13</f>
        <v>0</v>
      </c>
    </row>
    <row r="12" customFormat="false" ht="12.75" hidden="false" customHeight="false" outlineLevel="0" collapsed="false">
      <c r="A12" s="362" t="n">
        <f aca="false">+'NET P&amp;L'!A14</f>
        <v>37142</v>
      </c>
      <c r="B12" s="363" t="n">
        <f aca="false">+('NET P&amp;L'!B14+'NET P&amp;L'!G14)/16</f>
        <v>0</v>
      </c>
      <c r="C12" s="400" t="n">
        <f aca="false">+'NET P&amp;L'!L14</f>
        <v>0</v>
      </c>
      <c r="D12" s="401" t="n">
        <f aca="false">+'NET P&amp;L'!Q14</f>
        <v>0</v>
      </c>
      <c r="F12" s="362" t="n">
        <f aca="false">+'NET P&amp;L'!A14</f>
        <v>37142</v>
      </c>
      <c r="G12" s="363" t="n">
        <f aca="false">+('NET P&amp;L'!C14+'NET P&amp;L'!H14)/16</f>
        <v>0</v>
      </c>
      <c r="H12" s="400" t="n">
        <f aca="false">+'NET P&amp;L'!M14</f>
        <v>0</v>
      </c>
      <c r="I12" s="401" t="n">
        <f aca="false">+'NET P&amp;L'!R14</f>
        <v>0</v>
      </c>
      <c r="K12" s="362" t="n">
        <f aca="false">+'NET P&amp;L'!A14</f>
        <v>37142</v>
      </c>
      <c r="L12" s="363" t="n">
        <f aca="false">+('NET P&amp;L'!D14+'NET P&amp;L'!I14)/16</f>
        <v>0</v>
      </c>
      <c r="M12" s="400" t="n">
        <f aca="false">+'NET P&amp;L'!N14</f>
        <v>0</v>
      </c>
      <c r="N12" s="401" t="n">
        <f aca="false">+'NET P&amp;L'!S14</f>
        <v>0</v>
      </c>
      <c r="P12" s="362" t="n">
        <f aca="false">+'NET P&amp;L'!A14</f>
        <v>37142</v>
      </c>
      <c r="Q12" s="363" t="n">
        <f aca="false">+('NET P&amp;L'!E14+'NET P&amp;L'!J14)/16</f>
        <v>0</v>
      </c>
      <c r="R12" s="400" t="n">
        <f aca="false">+'NET P&amp;L'!O14</f>
        <v>0</v>
      </c>
      <c r="S12" s="401" t="n">
        <f aca="false">+'NET P&amp;L'!T14</f>
        <v>0</v>
      </c>
      <c r="U12" s="362" t="n">
        <f aca="false">+'NET P&amp;L'!A14</f>
        <v>37142</v>
      </c>
      <c r="V12" s="363" t="n">
        <f aca="false">+('NET P&amp;L'!F14+'NET P&amp;L'!K14)/16</f>
        <v>0</v>
      </c>
      <c r="W12" s="400" t="n">
        <f aca="false">+'NET P&amp;L'!P14</f>
        <v>0</v>
      </c>
      <c r="X12" s="401" t="n">
        <f aca="false">+'NET P&amp;L'!U14</f>
        <v>0</v>
      </c>
    </row>
    <row r="13" customFormat="false" ht="12.75" hidden="false" customHeight="false" outlineLevel="0" collapsed="false">
      <c r="A13" s="362" t="n">
        <f aca="false">+'NET P&amp;L'!A15</f>
        <v>37143</v>
      </c>
      <c r="B13" s="363" t="n">
        <f aca="false">+('NET P&amp;L'!B15+'NET P&amp;L'!G15)/16</f>
        <v>0</v>
      </c>
      <c r="C13" s="400" t="n">
        <f aca="false">+'NET P&amp;L'!L15</f>
        <v>0</v>
      </c>
      <c r="D13" s="401" t="n">
        <f aca="false">+'NET P&amp;L'!Q15</f>
        <v>0</v>
      </c>
      <c r="F13" s="362" t="n">
        <f aca="false">+'NET P&amp;L'!A15</f>
        <v>37143</v>
      </c>
      <c r="G13" s="363" t="n">
        <f aca="false">+('NET P&amp;L'!C15+'NET P&amp;L'!H15)/16</f>
        <v>0</v>
      </c>
      <c r="H13" s="400" t="n">
        <f aca="false">+'NET P&amp;L'!M15</f>
        <v>0</v>
      </c>
      <c r="I13" s="401" t="n">
        <f aca="false">+'NET P&amp;L'!R15</f>
        <v>0</v>
      </c>
      <c r="K13" s="362" t="n">
        <f aca="false">+'NET P&amp;L'!A15</f>
        <v>37143</v>
      </c>
      <c r="L13" s="363" t="n">
        <f aca="false">+('NET P&amp;L'!D15+'NET P&amp;L'!I15)/16</f>
        <v>0</v>
      </c>
      <c r="M13" s="400" t="n">
        <f aca="false">+'NET P&amp;L'!N15</f>
        <v>0</v>
      </c>
      <c r="N13" s="401" t="n">
        <f aca="false">+'NET P&amp;L'!S15</f>
        <v>0</v>
      </c>
      <c r="P13" s="362" t="n">
        <f aca="false">+'NET P&amp;L'!A15</f>
        <v>37143</v>
      </c>
      <c r="Q13" s="363" t="n">
        <f aca="false">+('NET P&amp;L'!E15+'NET P&amp;L'!J15)/16</f>
        <v>0</v>
      </c>
      <c r="R13" s="400" t="n">
        <f aca="false">+'NET P&amp;L'!O15</f>
        <v>0</v>
      </c>
      <c r="S13" s="401" t="n">
        <f aca="false">+'NET P&amp;L'!T15</f>
        <v>0</v>
      </c>
      <c r="U13" s="362" t="n">
        <f aca="false">+'NET P&amp;L'!A15</f>
        <v>37143</v>
      </c>
      <c r="V13" s="363" t="n">
        <f aca="false">+('NET P&amp;L'!F15+'NET P&amp;L'!K15)/16</f>
        <v>0</v>
      </c>
      <c r="W13" s="400" t="n">
        <f aca="false">+'NET P&amp;L'!P15</f>
        <v>0</v>
      </c>
      <c r="X13" s="401" t="n">
        <f aca="false">+'NET P&amp;L'!U15</f>
        <v>0</v>
      </c>
    </row>
    <row r="14" customFormat="false" ht="12.75" hidden="false" customHeight="false" outlineLevel="0" collapsed="false">
      <c r="A14" s="362" t="n">
        <f aca="false">+'NET P&amp;L'!A16</f>
        <v>37144</v>
      </c>
      <c r="B14" s="363" t="n">
        <f aca="false">+('NET P&amp;L'!B16+'NET P&amp;L'!G16)/16</f>
        <v>-249.10986328125</v>
      </c>
      <c r="C14" s="400" t="n">
        <f aca="false">+'NET P&amp;L'!L16</f>
        <v>-1992.87890625</v>
      </c>
      <c r="D14" s="401" t="n">
        <f aca="false">+'NET P&amp;L'!Q16</f>
        <v>0</v>
      </c>
      <c r="F14" s="362" t="n">
        <f aca="false">+'NET P&amp;L'!A16</f>
        <v>37144</v>
      </c>
      <c r="G14" s="363" t="n">
        <f aca="false">+('NET P&amp;L'!C16+'NET P&amp;L'!H16)/16</f>
        <v>1.24999999500525E-013</v>
      </c>
      <c r="H14" s="400" t="n">
        <f aca="false">+'NET P&amp;L'!M16</f>
        <v>0</v>
      </c>
      <c r="I14" s="401" t="n">
        <f aca="false">+'NET P&amp;L'!R16</f>
        <v>0</v>
      </c>
      <c r="K14" s="362" t="n">
        <f aca="false">+'NET P&amp;L'!A16</f>
        <v>37144</v>
      </c>
      <c r="L14" s="363" t="n">
        <f aca="false">+('NET P&amp;L'!D16+'NET P&amp;L'!I16)/16</f>
        <v>74.7329559326172</v>
      </c>
      <c r="M14" s="400" t="n">
        <f aca="false">+'NET P&amp;L'!N16</f>
        <v>0</v>
      </c>
      <c r="N14" s="401" t="n">
        <f aca="false">+'NET P&amp;L'!S16</f>
        <v>0</v>
      </c>
      <c r="P14" s="362" t="n">
        <f aca="false">+'NET P&amp;L'!A16</f>
        <v>37144</v>
      </c>
      <c r="Q14" s="363" t="n">
        <f aca="false">+('NET P&amp;L'!E16+'NET P&amp;L'!J16)/16</f>
        <v>-198.997756958008</v>
      </c>
      <c r="R14" s="400" t="n">
        <f aca="false">+'NET P&amp;L'!O16</f>
        <v>4234.6722680664</v>
      </c>
      <c r="S14" s="401" t="n">
        <f aca="false">+'NET P&amp;L'!T16</f>
        <v>0</v>
      </c>
      <c r="U14" s="362" t="n">
        <f aca="false">+'NET P&amp;L'!A16</f>
        <v>37144</v>
      </c>
      <c r="V14" s="363" t="n">
        <f aca="false">+('NET P&amp;L'!F16+'NET P&amp;L'!K16)/16</f>
        <v>-3.12499998751312E-013</v>
      </c>
      <c r="W14" s="400" t="n">
        <f aca="false">+'NET P&amp;L'!P16</f>
        <v>1.72500190045587E-011</v>
      </c>
      <c r="X14" s="401" t="n">
        <f aca="false">+'NET P&amp;L'!U16</f>
        <v>0</v>
      </c>
    </row>
    <row r="15" customFormat="false" ht="12.75" hidden="false" customHeight="false" outlineLevel="0" collapsed="false">
      <c r="A15" s="362" t="n">
        <f aca="false">+'NET P&amp;L'!A17</f>
        <v>37145</v>
      </c>
      <c r="B15" s="363" t="n">
        <f aca="false">+('NET P&amp;L'!B17+'NET P&amp;L'!G17)/16</f>
        <v>-249.10986328125</v>
      </c>
      <c r="C15" s="400" t="n">
        <f aca="false">+'NET P&amp;L'!L17</f>
        <v>-1992.87890625</v>
      </c>
      <c r="D15" s="401" t="n">
        <f aca="false">+'NET P&amp;L'!Q17</f>
        <v>0</v>
      </c>
      <c r="F15" s="362" t="n">
        <f aca="false">+'NET P&amp;L'!A17</f>
        <v>37145</v>
      </c>
      <c r="G15" s="363" t="n">
        <f aca="false">+('NET P&amp;L'!C17+'NET P&amp;L'!H17)/16</f>
        <v>1.24999999500525E-013</v>
      </c>
      <c r="H15" s="400" t="n">
        <f aca="false">+'NET P&amp;L'!M17</f>
        <v>0</v>
      </c>
      <c r="I15" s="401" t="n">
        <f aca="false">+'NET P&amp;L'!R17</f>
        <v>0</v>
      </c>
      <c r="K15" s="362" t="n">
        <f aca="false">+'NET P&amp;L'!A17</f>
        <v>37145</v>
      </c>
      <c r="L15" s="363" t="n">
        <f aca="false">+('NET P&amp;L'!D17+'NET P&amp;L'!I17)/16</f>
        <v>74.7329559326172</v>
      </c>
      <c r="M15" s="400" t="n">
        <f aca="false">+'NET P&amp;L'!N17</f>
        <v>0</v>
      </c>
      <c r="N15" s="401" t="n">
        <f aca="false">+'NET P&amp;L'!S17</f>
        <v>0</v>
      </c>
      <c r="P15" s="362" t="n">
        <f aca="false">+'NET P&amp;L'!A17</f>
        <v>37145</v>
      </c>
      <c r="Q15" s="363" t="n">
        <f aca="false">+('NET P&amp;L'!E17+'NET P&amp;L'!J17)/16</f>
        <v>-198.997756958008</v>
      </c>
      <c r="R15" s="400" t="n">
        <f aca="false">+'NET P&amp;L'!O17</f>
        <v>4234.6722680664</v>
      </c>
      <c r="S15" s="401" t="n">
        <f aca="false">+'NET P&amp;L'!T17</f>
        <v>0</v>
      </c>
      <c r="U15" s="362" t="n">
        <f aca="false">+'NET P&amp;L'!A17</f>
        <v>37145</v>
      </c>
      <c r="V15" s="363" t="n">
        <f aca="false">+('NET P&amp;L'!F17+'NET P&amp;L'!K17)/16</f>
        <v>-7.49999997003148E-013</v>
      </c>
      <c r="W15" s="400" t="n">
        <f aca="false">+'NET P&amp;L'!P17</f>
        <v>4.8600045582171E-011</v>
      </c>
      <c r="X15" s="401" t="n">
        <f aca="false">+'NET P&amp;L'!U17</f>
        <v>0</v>
      </c>
    </row>
    <row r="16" customFormat="false" ht="12.75" hidden="false" customHeight="false" outlineLevel="0" collapsed="false">
      <c r="A16" s="362" t="n">
        <f aca="false">+'NET P&amp;L'!A18</f>
        <v>37146</v>
      </c>
      <c r="B16" s="363" t="n">
        <f aca="false">+('NET P&amp;L'!B18+'NET P&amp;L'!G18)/16</f>
        <v>-249.10986328125</v>
      </c>
      <c r="C16" s="400" t="n">
        <f aca="false">+'NET P&amp;L'!L18</f>
        <v>-1992.87890625</v>
      </c>
      <c r="D16" s="401" t="n">
        <f aca="false">+'NET P&amp;L'!Q18</f>
        <v>0</v>
      </c>
      <c r="F16" s="362" t="n">
        <f aca="false">+'NET P&amp;L'!A18</f>
        <v>37146</v>
      </c>
      <c r="G16" s="363" t="n">
        <f aca="false">+('NET P&amp;L'!C18+'NET P&amp;L'!H18)/16</f>
        <v>1.24999999500525E-013</v>
      </c>
      <c r="H16" s="400" t="n">
        <f aca="false">+'NET P&amp;L'!M18</f>
        <v>0</v>
      </c>
      <c r="I16" s="401" t="n">
        <f aca="false">+'NET P&amp;L'!R18</f>
        <v>0</v>
      </c>
      <c r="K16" s="362" t="n">
        <f aca="false">+'NET P&amp;L'!A18</f>
        <v>37146</v>
      </c>
      <c r="L16" s="363" t="n">
        <f aca="false">+('NET P&amp;L'!D18+'NET P&amp;L'!I18)/16</f>
        <v>74.7329559326172</v>
      </c>
      <c r="M16" s="400" t="n">
        <f aca="false">+'NET P&amp;L'!N18</f>
        <v>0</v>
      </c>
      <c r="N16" s="401" t="n">
        <f aca="false">+'NET P&amp;L'!S18</f>
        <v>0</v>
      </c>
      <c r="P16" s="362" t="n">
        <f aca="false">+'NET P&amp;L'!A18</f>
        <v>37146</v>
      </c>
      <c r="Q16" s="363" t="n">
        <f aca="false">+('NET P&amp;L'!E18+'NET P&amp;L'!J18)/16</f>
        <v>-198.997756958008</v>
      </c>
      <c r="R16" s="400" t="n">
        <f aca="false">+'NET P&amp;L'!O18</f>
        <v>4234.6722680664</v>
      </c>
      <c r="S16" s="401" t="n">
        <f aca="false">+'NET P&amp;L'!T18</f>
        <v>0</v>
      </c>
      <c r="U16" s="362" t="n">
        <f aca="false">+'NET P&amp;L'!A18</f>
        <v>37146</v>
      </c>
      <c r="V16" s="363" t="n">
        <f aca="false">+('NET P&amp;L'!F18+'NET P&amp;L'!K18)/16</f>
        <v>3.12499998751312E-013</v>
      </c>
      <c r="W16" s="400" t="n">
        <f aca="false">+'NET P&amp;L'!P18</f>
        <v>-2.02500189925713E-011</v>
      </c>
      <c r="X16" s="401" t="n">
        <f aca="false">+'NET P&amp;L'!U18</f>
        <v>0</v>
      </c>
    </row>
    <row r="17" customFormat="false" ht="12.75" hidden="false" customHeight="false" outlineLevel="0" collapsed="false">
      <c r="A17" s="362" t="n">
        <f aca="false">+'NET P&amp;L'!A19</f>
        <v>37147</v>
      </c>
      <c r="B17" s="363" t="n">
        <f aca="false">+('NET P&amp;L'!B19+'NET P&amp;L'!G19)/16</f>
        <v>-249.10986328125</v>
      </c>
      <c r="C17" s="400" t="n">
        <f aca="false">+'NET P&amp;L'!L19</f>
        <v>-1992.87890625</v>
      </c>
      <c r="D17" s="401" t="n">
        <f aca="false">+'NET P&amp;L'!Q19</f>
        <v>0</v>
      </c>
      <c r="F17" s="362" t="n">
        <f aca="false">+'NET P&amp;L'!A19</f>
        <v>37147</v>
      </c>
      <c r="G17" s="363" t="n">
        <f aca="false">+('NET P&amp;L'!C19+'NET P&amp;L'!H19)/16</f>
        <v>1.24999999500525E-013</v>
      </c>
      <c r="H17" s="400" t="n">
        <f aca="false">+'NET P&amp;L'!M19</f>
        <v>0</v>
      </c>
      <c r="I17" s="401" t="n">
        <f aca="false">+'NET P&amp;L'!R19</f>
        <v>0</v>
      </c>
      <c r="K17" s="362" t="n">
        <f aca="false">+'NET P&amp;L'!A19</f>
        <v>37147</v>
      </c>
      <c r="L17" s="363" t="n">
        <f aca="false">+('NET P&amp;L'!D19+'NET P&amp;L'!I19)/16</f>
        <v>74.7329559326172</v>
      </c>
      <c r="M17" s="400" t="n">
        <f aca="false">+'NET P&amp;L'!N19</f>
        <v>0</v>
      </c>
      <c r="N17" s="401" t="n">
        <f aca="false">+'NET P&amp;L'!S19</f>
        <v>0</v>
      </c>
      <c r="P17" s="362" t="n">
        <f aca="false">+'NET P&amp;L'!A19</f>
        <v>37147</v>
      </c>
      <c r="Q17" s="363" t="n">
        <f aca="false">+('NET P&amp;L'!E19+'NET P&amp;L'!J19)/16</f>
        <v>-198.997756958008</v>
      </c>
      <c r="R17" s="400" t="n">
        <f aca="false">+'NET P&amp;L'!O19</f>
        <v>4234.6722680664</v>
      </c>
      <c r="S17" s="401" t="n">
        <f aca="false">+'NET P&amp;L'!T19</f>
        <v>0</v>
      </c>
      <c r="U17" s="362" t="n">
        <f aca="false">+'NET P&amp;L'!A19</f>
        <v>37147</v>
      </c>
      <c r="V17" s="363" t="n">
        <f aca="false">+('NET P&amp;L'!F19+'NET P&amp;L'!K19)/16</f>
        <v>-3.12499998751312E-013</v>
      </c>
      <c r="W17" s="400" t="n">
        <f aca="false">+'NET P&amp;L'!P19</f>
        <v>2.02500189925713E-011</v>
      </c>
      <c r="X17" s="401" t="n">
        <f aca="false">+'NET P&amp;L'!U19</f>
        <v>0</v>
      </c>
    </row>
    <row r="18" customFormat="false" ht="12.75" hidden="false" customHeight="false" outlineLevel="0" collapsed="false">
      <c r="A18" s="362" t="n">
        <f aca="false">+'NET P&amp;L'!A20</f>
        <v>37148</v>
      </c>
      <c r="B18" s="363" t="n">
        <f aca="false">+('NET P&amp;L'!B20+'NET P&amp;L'!G20)/16</f>
        <v>-249.10986328125</v>
      </c>
      <c r="C18" s="400" t="n">
        <f aca="false">+'NET P&amp;L'!L20</f>
        <v>-1992.87890625</v>
      </c>
      <c r="D18" s="401" t="n">
        <f aca="false">+'NET P&amp;L'!Q20</f>
        <v>0</v>
      </c>
      <c r="F18" s="362" t="n">
        <f aca="false">+'NET P&amp;L'!A20</f>
        <v>37148</v>
      </c>
      <c r="G18" s="363" t="n">
        <f aca="false">+('NET P&amp;L'!C20+'NET P&amp;L'!H20)/16</f>
        <v>1.24999999500525E-013</v>
      </c>
      <c r="H18" s="400" t="n">
        <f aca="false">+'NET P&amp;L'!M20</f>
        <v>0</v>
      </c>
      <c r="I18" s="401" t="n">
        <f aca="false">+'NET P&amp;L'!R20</f>
        <v>0</v>
      </c>
      <c r="K18" s="362" t="n">
        <f aca="false">+'NET P&amp;L'!A20</f>
        <v>37148</v>
      </c>
      <c r="L18" s="363" t="n">
        <f aca="false">+('NET P&amp;L'!D20+'NET P&amp;L'!I20)/16</f>
        <v>74.7329559326172</v>
      </c>
      <c r="M18" s="400" t="n">
        <f aca="false">+'NET P&amp;L'!N20</f>
        <v>0</v>
      </c>
      <c r="N18" s="401" t="n">
        <f aca="false">+'NET P&amp;L'!S20</f>
        <v>0</v>
      </c>
      <c r="P18" s="362" t="n">
        <f aca="false">+'NET P&amp;L'!A20</f>
        <v>37148</v>
      </c>
      <c r="Q18" s="363" t="n">
        <f aca="false">+('NET P&amp;L'!E20+'NET P&amp;L'!J20)/16</f>
        <v>-198.997756958008</v>
      </c>
      <c r="R18" s="400" t="n">
        <f aca="false">+'NET P&amp;L'!O20</f>
        <v>4234.6722680664</v>
      </c>
      <c r="S18" s="401" t="n">
        <f aca="false">+'NET P&amp;L'!T20</f>
        <v>0</v>
      </c>
      <c r="U18" s="362" t="n">
        <f aca="false">+'NET P&amp;L'!A20</f>
        <v>37148</v>
      </c>
      <c r="V18" s="363" t="n">
        <f aca="false">+('NET P&amp;L'!F20+'NET P&amp;L'!K20)/16</f>
        <v>-3.12499998751312E-013</v>
      </c>
      <c r="W18" s="400" t="n">
        <f aca="false">+'NET P&amp;L'!P20</f>
        <v>2.02500189925713E-011</v>
      </c>
      <c r="X18" s="401" t="n">
        <f aca="false">+'NET P&amp;L'!U20</f>
        <v>0</v>
      </c>
    </row>
    <row r="19" customFormat="false" ht="12.75" hidden="false" customHeight="false" outlineLevel="0" collapsed="false">
      <c r="A19" s="362" t="n">
        <f aca="false">+'NET P&amp;L'!A21</f>
        <v>37149</v>
      </c>
      <c r="B19" s="363" t="n">
        <f aca="false">+('NET P&amp;L'!B21+'NET P&amp;L'!G21)/16</f>
        <v>0</v>
      </c>
      <c r="C19" s="400" t="n">
        <f aca="false">+'NET P&amp;L'!L21</f>
        <v>0</v>
      </c>
      <c r="D19" s="401" t="n">
        <f aca="false">+'NET P&amp;L'!Q21</f>
        <v>0</v>
      </c>
      <c r="F19" s="362" t="n">
        <f aca="false">+'NET P&amp;L'!A21</f>
        <v>37149</v>
      </c>
      <c r="G19" s="363" t="n">
        <f aca="false">+('NET P&amp;L'!C21+'NET P&amp;L'!H21)/16</f>
        <v>0</v>
      </c>
      <c r="H19" s="400" t="n">
        <f aca="false">+'NET P&amp;L'!M21</f>
        <v>0</v>
      </c>
      <c r="I19" s="401" t="n">
        <f aca="false">+'NET P&amp;L'!R21</f>
        <v>0</v>
      </c>
      <c r="K19" s="362" t="n">
        <f aca="false">+'NET P&amp;L'!A21</f>
        <v>37149</v>
      </c>
      <c r="L19" s="363" t="n">
        <f aca="false">+('NET P&amp;L'!D21+'NET P&amp;L'!I21)/16</f>
        <v>0</v>
      </c>
      <c r="M19" s="400" t="n">
        <f aca="false">+'NET P&amp;L'!N21</f>
        <v>0</v>
      </c>
      <c r="N19" s="401" t="n">
        <f aca="false">+'NET P&amp;L'!S21</f>
        <v>0</v>
      </c>
      <c r="P19" s="362" t="n">
        <f aca="false">+'NET P&amp;L'!A21</f>
        <v>37149</v>
      </c>
      <c r="Q19" s="363" t="n">
        <f aca="false">+('NET P&amp;L'!E21+'NET P&amp;L'!J21)/16</f>
        <v>0</v>
      </c>
      <c r="R19" s="400" t="n">
        <f aca="false">+'NET P&amp;L'!O21</f>
        <v>0</v>
      </c>
      <c r="S19" s="401" t="n">
        <f aca="false">+'NET P&amp;L'!T21</f>
        <v>0</v>
      </c>
      <c r="U19" s="362" t="n">
        <f aca="false">+'NET P&amp;L'!A21</f>
        <v>37149</v>
      </c>
      <c r="V19" s="363" t="n">
        <f aca="false">+('NET P&amp;L'!F21+'NET P&amp;L'!K21)/16</f>
        <v>0</v>
      </c>
      <c r="W19" s="400" t="n">
        <f aca="false">+'NET P&amp;L'!P21</f>
        <v>0</v>
      </c>
      <c r="X19" s="401" t="n">
        <f aca="false">+'NET P&amp;L'!U21</f>
        <v>0</v>
      </c>
    </row>
    <row r="20" customFormat="false" ht="12.75" hidden="false" customHeight="false" outlineLevel="0" collapsed="false">
      <c r="A20" s="362" t="n">
        <f aca="false">+'NET P&amp;L'!A22</f>
        <v>37150</v>
      </c>
      <c r="B20" s="363" t="n">
        <f aca="false">+('NET P&amp;L'!B22+'NET P&amp;L'!G22)/16</f>
        <v>0</v>
      </c>
      <c r="C20" s="400" t="n">
        <f aca="false">+'NET P&amp;L'!L22</f>
        <v>0</v>
      </c>
      <c r="D20" s="401" t="n">
        <f aca="false">+'NET P&amp;L'!Q22</f>
        <v>0</v>
      </c>
      <c r="F20" s="362" t="n">
        <f aca="false">+'NET P&amp;L'!A22</f>
        <v>37150</v>
      </c>
      <c r="G20" s="363" t="n">
        <f aca="false">+('NET P&amp;L'!C22+'NET P&amp;L'!H22)/16</f>
        <v>0</v>
      </c>
      <c r="H20" s="400" t="n">
        <f aca="false">+'NET P&amp;L'!M22</f>
        <v>0</v>
      </c>
      <c r="I20" s="401" t="n">
        <f aca="false">+'NET P&amp;L'!R22</f>
        <v>0</v>
      </c>
      <c r="K20" s="362" t="n">
        <f aca="false">+'NET P&amp;L'!A22</f>
        <v>37150</v>
      </c>
      <c r="L20" s="363" t="n">
        <f aca="false">+('NET P&amp;L'!D22+'NET P&amp;L'!I22)/16</f>
        <v>0</v>
      </c>
      <c r="M20" s="400" t="n">
        <f aca="false">+'NET P&amp;L'!N22</f>
        <v>0</v>
      </c>
      <c r="N20" s="401" t="n">
        <f aca="false">+'NET P&amp;L'!S22</f>
        <v>0</v>
      </c>
      <c r="P20" s="362" t="n">
        <f aca="false">+'NET P&amp;L'!A22</f>
        <v>37150</v>
      </c>
      <c r="Q20" s="363" t="n">
        <f aca="false">+('NET P&amp;L'!E22+'NET P&amp;L'!J22)/16</f>
        <v>0</v>
      </c>
      <c r="R20" s="400" t="n">
        <f aca="false">+'NET P&amp;L'!O22</f>
        <v>0</v>
      </c>
      <c r="S20" s="401" t="n">
        <f aca="false">+'NET P&amp;L'!T22</f>
        <v>0</v>
      </c>
      <c r="U20" s="362" t="n">
        <f aca="false">+'NET P&amp;L'!A22</f>
        <v>37150</v>
      </c>
      <c r="V20" s="363" t="n">
        <f aca="false">+('NET P&amp;L'!F22+'NET P&amp;L'!K22)/16</f>
        <v>0</v>
      </c>
      <c r="W20" s="400" t="n">
        <f aca="false">+'NET P&amp;L'!P22</f>
        <v>0</v>
      </c>
      <c r="X20" s="401" t="n">
        <f aca="false">+'NET P&amp;L'!U22</f>
        <v>0</v>
      </c>
    </row>
    <row r="21" customFormat="false" ht="12.75" hidden="false" customHeight="false" outlineLevel="0" collapsed="false">
      <c r="A21" s="362" t="n">
        <f aca="false">+'NET P&amp;L'!A23</f>
        <v>37151</v>
      </c>
      <c r="B21" s="363" t="n">
        <f aca="false">+('NET P&amp;L'!B23+'NET P&amp;L'!G23)/16</f>
        <v>-249.10986328125</v>
      </c>
      <c r="C21" s="400" t="n">
        <f aca="false">+'NET P&amp;L'!L23</f>
        <v>-1992.87890625</v>
      </c>
      <c r="D21" s="401" t="n">
        <f aca="false">+'NET P&amp;L'!Q23</f>
        <v>0</v>
      </c>
      <c r="F21" s="362" t="n">
        <f aca="false">+'NET P&amp;L'!A23</f>
        <v>37151</v>
      </c>
      <c r="G21" s="363" t="n">
        <f aca="false">+('NET P&amp;L'!C23+'NET P&amp;L'!H23)/16</f>
        <v>1.24999999500525E-013</v>
      </c>
      <c r="H21" s="400" t="n">
        <f aca="false">+'NET P&amp;L'!M23</f>
        <v>0</v>
      </c>
      <c r="I21" s="401" t="n">
        <f aca="false">+'NET P&amp;L'!R23</f>
        <v>0</v>
      </c>
      <c r="K21" s="362" t="n">
        <f aca="false">+'NET P&amp;L'!A23</f>
        <v>37151</v>
      </c>
      <c r="L21" s="363" t="n">
        <f aca="false">+('NET P&amp;L'!D23+'NET P&amp;L'!I23)/16</f>
        <v>74.7329559326172</v>
      </c>
      <c r="M21" s="400" t="n">
        <f aca="false">+'NET P&amp;L'!N23</f>
        <v>0</v>
      </c>
      <c r="N21" s="401" t="n">
        <f aca="false">+'NET P&amp;L'!S23</f>
        <v>0</v>
      </c>
      <c r="P21" s="362" t="n">
        <f aca="false">+'NET P&amp;L'!A23</f>
        <v>37151</v>
      </c>
      <c r="Q21" s="363" t="n">
        <f aca="false">+('NET P&amp;L'!E23+'NET P&amp;L'!J23)/16</f>
        <v>-198.997756958008</v>
      </c>
      <c r="R21" s="400" t="n">
        <f aca="false">+'NET P&amp;L'!O23</f>
        <v>-541.273898925787</v>
      </c>
      <c r="S21" s="401" t="n">
        <f aca="false">+'NET P&amp;L'!T23</f>
        <v>0</v>
      </c>
      <c r="U21" s="362" t="n">
        <f aca="false">+'NET P&amp;L'!A23</f>
        <v>37151</v>
      </c>
      <c r="V21" s="363" t="n">
        <f aca="false">+('NET P&amp;L'!F23+'NET P&amp;L'!K23)/16</f>
        <v>-3.12499998751312E-013</v>
      </c>
      <c r="W21" s="400" t="n">
        <f aca="false">+'NET P&amp;L'!P23</f>
        <v>-5.49998662658271E-012</v>
      </c>
      <c r="X21" s="401" t="n">
        <f aca="false">+'NET P&amp;L'!U23</f>
        <v>0</v>
      </c>
    </row>
    <row r="22" customFormat="false" ht="12.75" hidden="false" customHeight="false" outlineLevel="0" collapsed="false">
      <c r="A22" s="362" t="n">
        <f aca="false">+'NET P&amp;L'!A24</f>
        <v>37152</v>
      </c>
      <c r="B22" s="363" t="n">
        <f aca="false">+('NET P&amp;L'!B24+'NET P&amp;L'!G24)/16</f>
        <v>-249.10986328125</v>
      </c>
      <c r="C22" s="400" t="n">
        <f aca="false">+'NET P&amp;L'!L24</f>
        <v>-1992.87890625</v>
      </c>
      <c r="D22" s="401" t="n">
        <f aca="false">+'NET P&amp;L'!Q24</f>
        <v>0</v>
      </c>
      <c r="F22" s="362" t="n">
        <f aca="false">+'NET P&amp;L'!A24</f>
        <v>37152</v>
      </c>
      <c r="G22" s="363" t="n">
        <f aca="false">+('NET P&amp;L'!C24+'NET P&amp;L'!H24)/16</f>
        <v>0</v>
      </c>
      <c r="H22" s="400" t="n">
        <f aca="false">+'NET P&amp;L'!M24</f>
        <v>0</v>
      </c>
      <c r="I22" s="401" t="n">
        <f aca="false">+'NET P&amp;L'!R24</f>
        <v>0</v>
      </c>
      <c r="K22" s="362" t="n">
        <f aca="false">+'NET P&amp;L'!A24</f>
        <v>37152</v>
      </c>
      <c r="L22" s="363" t="n">
        <f aca="false">+('NET P&amp;L'!D24+'NET P&amp;L'!I24)/16</f>
        <v>74.7329559326172</v>
      </c>
      <c r="M22" s="400" t="n">
        <f aca="false">+'NET P&amp;L'!N24</f>
        <v>0</v>
      </c>
      <c r="N22" s="401" t="n">
        <f aca="false">+'NET P&amp;L'!S24</f>
        <v>0</v>
      </c>
      <c r="P22" s="362" t="n">
        <f aca="false">+'NET P&amp;L'!A24</f>
        <v>37152</v>
      </c>
      <c r="Q22" s="363" t="n">
        <f aca="false">+('NET P&amp;L'!E24+'NET P&amp;L'!J24)/16</f>
        <v>-198.997756958008</v>
      </c>
      <c r="R22" s="400" t="n">
        <f aca="false">+'NET P&amp;L'!O24</f>
        <v>-541.273898925787</v>
      </c>
      <c r="S22" s="401" t="n">
        <f aca="false">+'NET P&amp;L'!T24</f>
        <v>0</v>
      </c>
      <c r="U22" s="362" t="n">
        <f aca="false">+'NET P&amp;L'!A24</f>
        <v>37152</v>
      </c>
      <c r="V22" s="363" t="n">
        <f aca="false">+('NET P&amp;L'!F24+'NET P&amp;L'!K24)/16</f>
        <v>-3.12499998751312E-013</v>
      </c>
      <c r="W22" s="400" t="n">
        <f aca="false">+'NET P&amp;L'!P24</f>
        <v>-2.49998663857011E-012</v>
      </c>
      <c r="X22" s="401" t="n">
        <f aca="false">+'NET P&amp;L'!U24</f>
        <v>0</v>
      </c>
    </row>
    <row r="23" customFormat="false" ht="12.75" hidden="false" customHeight="false" outlineLevel="0" collapsed="false">
      <c r="A23" s="362" t="n">
        <f aca="false">+'NET P&amp;L'!A25</f>
        <v>37153</v>
      </c>
      <c r="B23" s="363" t="n">
        <f aca="false">+('NET P&amp;L'!B25+'NET P&amp;L'!G25)/16</f>
        <v>-249.10986328125</v>
      </c>
      <c r="C23" s="400" t="n">
        <f aca="false">+'NET P&amp;L'!L25</f>
        <v>-1992.87890625</v>
      </c>
      <c r="D23" s="401" t="n">
        <f aca="false">+'NET P&amp;L'!Q25</f>
        <v>0</v>
      </c>
      <c r="F23" s="362" t="n">
        <f aca="false">+'NET P&amp;L'!A25</f>
        <v>37153</v>
      </c>
      <c r="G23" s="363" t="n">
        <f aca="false">+('NET P&amp;L'!C25+'NET P&amp;L'!H25)/16</f>
        <v>2.49999999001049E-013</v>
      </c>
      <c r="H23" s="400" t="n">
        <f aca="false">+'NET P&amp;L'!M25</f>
        <v>0</v>
      </c>
      <c r="I23" s="401" t="n">
        <f aca="false">+'NET P&amp;L'!R25</f>
        <v>0</v>
      </c>
      <c r="K23" s="362" t="n">
        <f aca="false">+'NET P&amp;L'!A25</f>
        <v>37153</v>
      </c>
      <c r="L23" s="363" t="n">
        <f aca="false">+('NET P&amp;L'!D25+'NET P&amp;L'!I25)/16</f>
        <v>74.7329559326172</v>
      </c>
      <c r="M23" s="400" t="n">
        <f aca="false">+'NET P&amp;L'!N25</f>
        <v>0</v>
      </c>
      <c r="N23" s="401" t="n">
        <f aca="false">+'NET P&amp;L'!S25</f>
        <v>0</v>
      </c>
      <c r="P23" s="362" t="n">
        <f aca="false">+'NET P&amp;L'!A25</f>
        <v>37153</v>
      </c>
      <c r="Q23" s="363" t="n">
        <f aca="false">+('NET P&amp;L'!E25+'NET P&amp;L'!J25)/16</f>
        <v>-198.997756958008</v>
      </c>
      <c r="R23" s="400" t="n">
        <f aca="false">+'NET P&amp;L'!O25</f>
        <v>-541.273898925787</v>
      </c>
      <c r="S23" s="401" t="n">
        <f aca="false">+'NET P&amp;L'!T25</f>
        <v>0</v>
      </c>
      <c r="U23" s="362" t="n">
        <f aca="false">+'NET P&amp;L'!A25</f>
        <v>37153</v>
      </c>
      <c r="V23" s="363" t="n">
        <f aca="false">+('NET P&amp;L'!F25+'NET P&amp;L'!K25)/16</f>
        <v>-7.49999997003148E-013</v>
      </c>
      <c r="W23" s="400" t="n">
        <f aca="false">+'NET P&amp;L'!P25</f>
        <v>-5.99996793256827E-012</v>
      </c>
      <c r="X23" s="401" t="n">
        <f aca="false">+'NET P&amp;L'!U25</f>
        <v>0</v>
      </c>
    </row>
    <row r="24" customFormat="false" ht="12.75" hidden="false" customHeight="false" outlineLevel="0" collapsed="false">
      <c r="A24" s="362" t="n">
        <f aca="false">+'NET P&amp;L'!A26</f>
        <v>37154</v>
      </c>
      <c r="B24" s="363" t="n">
        <f aca="false">+('NET P&amp;L'!B26+'NET P&amp;L'!G26)/16</f>
        <v>-249.10986328125</v>
      </c>
      <c r="C24" s="400" t="n">
        <f aca="false">+'NET P&amp;L'!L26</f>
        <v>-1992.87890625</v>
      </c>
      <c r="D24" s="401" t="n">
        <f aca="false">+'NET P&amp;L'!Q26</f>
        <v>0</v>
      </c>
      <c r="F24" s="362" t="n">
        <f aca="false">+'NET P&amp;L'!A26</f>
        <v>37154</v>
      </c>
      <c r="G24" s="363" t="n">
        <f aca="false">+('NET P&amp;L'!C26+'NET P&amp;L'!H26)/16</f>
        <v>2.49999999001049E-013</v>
      </c>
      <c r="H24" s="400" t="n">
        <f aca="false">+'NET P&amp;L'!M26</f>
        <v>0</v>
      </c>
      <c r="I24" s="401" t="n">
        <f aca="false">+'NET P&amp;L'!R26</f>
        <v>0</v>
      </c>
      <c r="K24" s="362" t="n">
        <f aca="false">+'NET P&amp;L'!A26</f>
        <v>37154</v>
      </c>
      <c r="L24" s="363" t="n">
        <f aca="false">+('NET P&amp;L'!D26+'NET P&amp;L'!I26)/16</f>
        <v>74.7329559326172</v>
      </c>
      <c r="M24" s="400" t="n">
        <f aca="false">+'NET P&amp;L'!N26</f>
        <v>0</v>
      </c>
      <c r="N24" s="401" t="n">
        <f aca="false">+'NET P&amp;L'!S26</f>
        <v>0</v>
      </c>
      <c r="P24" s="362" t="n">
        <f aca="false">+'NET P&amp;L'!A26</f>
        <v>37154</v>
      </c>
      <c r="Q24" s="363" t="n">
        <f aca="false">+('NET P&amp;L'!E26+'NET P&amp;L'!J26)/16</f>
        <v>-198.997756958008</v>
      </c>
      <c r="R24" s="400" t="n">
        <f aca="false">+'NET P&amp;L'!O26</f>
        <v>-541.273898925787</v>
      </c>
      <c r="S24" s="401" t="n">
        <f aca="false">+'NET P&amp;L'!T26</f>
        <v>0</v>
      </c>
      <c r="U24" s="362" t="n">
        <f aca="false">+'NET P&amp;L'!A26</f>
        <v>37154</v>
      </c>
      <c r="V24" s="363" t="n">
        <f aca="false">+('NET P&amp;L'!F26+'NET P&amp;L'!K26)/16</f>
        <v>-7.49999997003148E-013</v>
      </c>
      <c r="W24" s="400" t="n">
        <f aca="false">+'NET P&amp;L'!P26</f>
        <v>-5.99996793256827E-012</v>
      </c>
      <c r="X24" s="401" t="n">
        <f aca="false">+'NET P&amp;L'!U26</f>
        <v>0</v>
      </c>
    </row>
    <row r="25" customFormat="false" ht="12.75" hidden="false" customHeight="false" outlineLevel="0" collapsed="false">
      <c r="A25" s="362" t="n">
        <f aca="false">+'NET P&amp;L'!A27</f>
        <v>37155</v>
      </c>
      <c r="B25" s="363" t="n">
        <f aca="false">+('NET P&amp;L'!B27+'NET P&amp;L'!G27)/16</f>
        <v>-249.10986328125</v>
      </c>
      <c r="C25" s="400" t="n">
        <f aca="false">+'NET P&amp;L'!L27</f>
        <v>-1992.87890625</v>
      </c>
      <c r="D25" s="401" t="n">
        <f aca="false">+'NET P&amp;L'!Q27</f>
        <v>0</v>
      </c>
      <c r="F25" s="362" t="n">
        <f aca="false">+'NET P&amp;L'!A27</f>
        <v>37155</v>
      </c>
      <c r="G25" s="363" t="n">
        <f aca="false">+('NET P&amp;L'!C27+'NET P&amp;L'!H27)/16</f>
        <v>2.49999999001049E-013</v>
      </c>
      <c r="H25" s="400" t="n">
        <f aca="false">+'NET P&amp;L'!M27</f>
        <v>0</v>
      </c>
      <c r="I25" s="401" t="n">
        <f aca="false">+'NET P&amp;L'!R27</f>
        <v>0</v>
      </c>
      <c r="K25" s="362" t="n">
        <f aca="false">+'NET P&amp;L'!A27</f>
        <v>37155</v>
      </c>
      <c r="L25" s="363" t="n">
        <f aca="false">+('NET P&amp;L'!D27+'NET P&amp;L'!I27)/16</f>
        <v>74.7329559326172</v>
      </c>
      <c r="M25" s="400" t="n">
        <f aca="false">+'NET P&amp;L'!N27</f>
        <v>0</v>
      </c>
      <c r="N25" s="401" t="n">
        <f aca="false">+'NET P&amp;L'!S27</f>
        <v>0</v>
      </c>
      <c r="P25" s="362" t="n">
        <f aca="false">+'NET P&amp;L'!A27</f>
        <v>37155</v>
      </c>
      <c r="Q25" s="363" t="n">
        <f aca="false">+('NET P&amp;L'!E27+'NET P&amp;L'!J27)/16</f>
        <v>-198.997756958008</v>
      </c>
      <c r="R25" s="400" t="n">
        <f aca="false">+'NET P&amp;L'!O27</f>
        <v>-541.273898925787</v>
      </c>
      <c r="S25" s="401" t="n">
        <f aca="false">+'NET P&amp;L'!T27</f>
        <v>0</v>
      </c>
      <c r="U25" s="362" t="n">
        <f aca="false">+'NET P&amp;L'!A27</f>
        <v>37155</v>
      </c>
      <c r="V25" s="363" t="n">
        <f aca="false">+('NET P&amp;L'!F27+'NET P&amp;L'!K27)/16</f>
        <v>-1.24999999500525E-013</v>
      </c>
      <c r="W25" s="400" t="n">
        <f aca="false">+'NET P&amp;L'!P27</f>
        <v>-9.99994655428045E-013</v>
      </c>
      <c r="X25" s="401" t="n">
        <f aca="false">+'NET P&amp;L'!U27</f>
        <v>0</v>
      </c>
    </row>
    <row r="26" customFormat="false" ht="12.75" hidden="false" customHeight="false" outlineLevel="0" collapsed="false">
      <c r="A26" s="362" t="n">
        <f aca="false">+'NET P&amp;L'!A28</f>
        <v>37156</v>
      </c>
      <c r="B26" s="363" t="n">
        <f aca="false">+('NET P&amp;L'!B28+'NET P&amp;L'!G28)/16</f>
        <v>0</v>
      </c>
      <c r="C26" s="400" t="n">
        <f aca="false">+'NET P&amp;L'!L28</f>
        <v>0</v>
      </c>
      <c r="D26" s="401" t="n">
        <f aca="false">+'NET P&amp;L'!Q28</f>
        <v>0</v>
      </c>
      <c r="F26" s="362" t="n">
        <f aca="false">+'NET P&amp;L'!A28</f>
        <v>37156</v>
      </c>
      <c r="G26" s="363" t="n">
        <f aca="false">+('NET P&amp;L'!C28+'NET P&amp;L'!H28)/16</f>
        <v>0</v>
      </c>
      <c r="H26" s="400" t="n">
        <f aca="false">+'NET P&amp;L'!M28</f>
        <v>0</v>
      </c>
      <c r="I26" s="401" t="n">
        <f aca="false">+'NET P&amp;L'!R28</f>
        <v>0</v>
      </c>
      <c r="K26" s="362" t="n">
        <f aca="false">+'NET P&amp;L'!A28</f>
        <v>37156</v>
      </c>
      <c r="L26" s="363" t="n">
        <f aca="false">+('NET P&amp;L'!D28+'NET P&amp;L'!I28)/16</f>
        <v>0</v>
      </c>
      <c r="M26" s="400" t="n">
        <f aca="false">+'NET P&amp;L'!N28</f>
        <v>0</v>
      </c>
      <c r="N26" s="401" t="n">
        <f aca="false">+'NET P&amp;L'!S28</f>
        <v>0</v>
      </c>
      <c r="P26" s="362" t="n">
        <f aca="false">+'NET P&amp;L'!A28</f>
        <v>37156</v>
      </c>
      <c r="Q26" s="363" t="n">
        <f aca="false">+('NET P&amp;L'!E28+'NET P&amp;L'!J28)/16</f>
        <v>0</v>
      </c>
      <c r="R26" s="400" t="n">
        <f aca="false">+'NET P&amp;L'!O28</f>
        <v>0</v>
      </c>
      <c r="S26" s="401" t="n">
        <f aca="false">+'NET P&amp;L'!T28</f>
        <v>0</v>
      </c>
      <c r="U26" s="362" t="n">
        <f aca="false">+'NET P&amp;L'!A28</f>
        <v>37156</v>
      </c>
      <c r="V26" s="363" t="n">
        <f aca="false">+('NET P&amp;L'!F28+'NET P&amp;L'!K28)/16</f>
        <v>0</v>
      </c>
      <c r="W26" s="400" t="n">
        <f aca="false">+'NET P&amp;L'!P28</f>
        <v>0</v>
      </c>
      <c r="X26" s="401" t="n">
        <f aca="false">+'NET P&amp;L'!U28</f>
        <v>0</v>
      </c>
    </row>
    <row r="27" customFormat="false" ht="12.75" hidden="false" customHeight="false" outlineLevel="0" collapsed="false">
      <c r="A27" s="362" t="n">
        <f aca="false">+'NET P&amp;L'!A29</f>
        <v>37157</v>
      </c>
      <c r="B27" s="363" t="n">
        <f aca="false">+('NET P&amp;L'!B29+'NET P&amp;L'!G29)/16</f>
        <v>0</v>
      </c>
      <c r="C27" s="400" t="n">
        <f aca="false">+'NET P&amp;L'!L29</f>
        <v>0</v>
      </c>
      <c r="D27" s="401" t="n">
        <f aca="false">+'NET P&amp;L'!Q29</f>
        <v>0</v>
      </c>
      <c r="F27" s="362" t="n">
        <f aca="false">+'NET P&amp;L'!A29</f>
        <v>37157</v>
      </c>
      <c r="G27" s="363" t="n">
        <f aca="false">+('NET P&amp;L'!C29+'NET P&amp;L'!H29)/16</f>
        <v>0</v>
      </c>
      <c r="H27" s="400" t="n">
        <f aca="false">+'NET P&amp;L'!M29</f>
        <v>0</v>
      </c>
      <c r="I27" s="401" t="n">
        <f aca="false">+'NET P&amp;L'!R29</f>
        <v>0</v>
      </c>
      <c r="K27" s="362" t="n">
        <f aca="false">+'NET P&amp;L'!A29</f>
        <v>37157</v>
      </c>
      <c r="L27" s="363" t="n">
        <f aca="false">+('NET P&amp;L'!D29+'NET P&amp;L'!I29)/16</f>
        <v>0</v>
      </c>
      <c r="M27" s="400" t="n">
        <f aca="false">+'NET P&amp;L'!N29</f>
        <v>0</v>
      </c>
      <c r="N27" s="401" t="n">
        <f aca="false">+'NET P&amp;L'!S29</f>
        <v>0</v>
      </c>
      <c r="P27" s="362" t="n">
        <f aca="false">+'NET P&amp;L'!A29</f>
        <v>37157</v>
      </c>
      <c r="Q27" s="363" t="n">
        <f aca="false">+('NET P&amp;L'!E29+'NET P&amp;L'!J29)/16</f>
        <v>0</v>
      </c>
      <c r="R27" s="400" t="n">
        <f aca="false">+'NET P&amp;L'!O29</f>
        <v>0</v>
      </c>
      <c r="S27" s="401" t="n">
        <f aca="false">+'NET P&amp;L'!T29</f>
        <v>0</v>
      </c>
      <c r="U27" s="362" t="n">
        <f aca="false">+'NET P&amp;L'!A29</f>
        <v>37157</v>
      </c>
      <c r="V27" s="363" t="n">
        <f aca="false">+('NET P&amp;L'!F29+'NET P&amp;L'!K29)/16</f>
        <v>0</v>
      </c>
      <c r="W27" s="400" t="n">
        <f aca="false">+'NET P&amp;L'!P29</f>
        <v>0</v>
      </c>
      <c r="X27" s="401" t="n">
        <f aca="false">+'NET P&amp;L'!U29</f>
        <v>0</v>
      </c>
    </row>
    <row r="28" customFormat="false" ht="12.75" hidden="false" customHeight="false" outlineLevel="0" collapsed="false">
      <c r="A28" s="362" t="n">
        <f aca="false">+'NET P&amp;L'!A30</f>
        <v>37158</v>
      </c>
      <c r="B28" s="363" t="n">
        <f aca="false">+('NET P&amp;L'!B30+'NET P&amp;L'!G30)/16</f>
        <v>-249.10986328125</v>
      </c>
      <c r="C28" s="400" t="n">
        <f aca="false">+'NET P&amp;L'!L30</f>
        <v>-1992.87890625</v>
      </c>
      <c r="D28" s="401" t="n">
        <f aca="false">+'NET P&amp;L'!Q30</f>
        <v>0</v>
      </c>
      <c r="F28" s="362" t="n">
        <f aca="false">+'NET P&amp;L'!A30</f>
        <v>37158</v>
      </c>
      <c r="G28" s="363" t="n">
        <f aca="false">+('NET P&amp;L'!C30+'NET P&amp;L'!H30)/16</f>
        <v>2.49999999001049E-013</v>
      </c>
      <c r="H28" s="400" t="n">
        <f aca="false">+'NET P&amp;L'!M30</f>
        <v>0</v>
      </c>
      <c r="I28" s="401" t="n">
        <f aca="false">+'NET P&amp;L'!R30</f>
        <v>0</v>
      </c>
      <c r="K28" s="362" t="n">
        <f aca="false">+'NET P&amp;L'!A30</f>
        <v>37158</v>
      </c>
      <c r="L28" s="363" t="n">
        <f aca="false">+('NET P&amp;L'!D30+'NET P&amp;L'!I30)/16</f>
        <v>74.7329559326172</v>
      </c>
      <c r="M28" s="400" t="n">
        <f aca="false">+'NET P&amp;L'!N30</f>
        <v>0</v>
      </c>
      <c r="N28" s="401" t="n">
        <f aca="false">+'NET P&amp;L'!S30</f>
        <v>0</v>
      </c>
      <c r="P28" s="362" t="n">
        <f aca="false">+'NET P&amp;L'!A30</f>
        <v>37158</v>
      </c>
      <c r="Q28" s="363" t="n">
        <f aca="false">+('NET P&amp;L'!E30+'NET P&amp;L'!J30)/16</f>
        <v>-198.997756958008</v>
      </c>
      <c r="R28" s="400" t="n">
        <f aca="false">+'NET P&amp;L'!O30</f>
        <v>-3725.23801025391</v>
      </c>
      <c r="S28" s="401" t="n">
        <f aca="false">+'NET P&amp;L'!T30</f>
        <v>0</v>
      </c>
      <c r="U28" s="362" t="n">
        <f aca="false">+'NET P&amp;L'!A30</f>
        <v>37158</v>
      </c>
      <c r="V28" s="363" t="n">
        <f aca="false">+('NET P&amp;L'!F30+'NET P&amp;L'!K30)/16</f>
        <v>-1.24999999500525E-013</v>
      </c>
      <c r="W28" s="400" t="n">
        <f aca="false">+'NET P&amp;L'!P30</f>
        <v>-1.9999938884928E-012</v>
      </c>
      <c r="X28" s="401" t="n">
        <f aca="false">+'NET P&amp;L'!U30</f>
        <v>0</v>
      </c>
    </row>
    <row r="29" customFormat="false" ht="12.75" hidden="false" customHeight="false" outlineLevel="0" collapsed="false">
      <c r="A29" s="362" t="n">
        <f aca="false">+'NET P&amp;L'!A31</f>
        <v>37159</v>
      </c>
      <c r="B29" s="363" t="n">
        <f aca="false">+('NET P&amp;L'!B31+'NET P&amp;L'!G31)/16</f>
        <v>-249.10986328125</v>
      </c>
      <c r="C29" s="400" t="n">
        <f aca="false">+'NET P&amp;L'!L31</f>
        <v>-1992.87890625</v>
      </c>
      <c r="D29" s="401" t="n">
        <f aca="false">+'NET P&amp;L'!Q31</f>
        <v>0</v>
      </c>
      <c r="F29" s="362" t="n">
        <f aca="false">+'NET P&amp;L'!A31</f>
        <v>37159</v>
      </c>
      <c r="G29" s="363" t="n">
        <f aca="false">+('NET P&amp;L'!C31+'NET P&amp;L'!H31)/16</f>
        <v>2.49999999001049E-013</v>
      </c>
      <c r="H29" s="400" t="n">
        <f aca="false">+'NET P&amp;L'!M31</f>
        <v>0</v>
      </c>
      <c r="I29" s="401" t="n">
        <f aca="false">+'NET P&amp;L'!R31</f>
        <v>0</v>
      </c>
      <c r="K29" s="362" t="n">
        <f aca="false">+'NET P&amp;L'!A31</f>
        <v>37159</v>
      </c>
      <c r="L29" s="363" t="n">
        <f aca="false">+('NET P&amp;L'!D31+'NET P&amp;L'!I31)/16</f>
        <v>74.7329559326172</v>
      </c>
      <c r="M29" s="400" t="n">
        <f aca="false">+'NET P&amp;L'!N31</f>
        <v>0</v>
      </c>
      <c r="N29" s="401" t="n">
        <f aca="false">+'NET P&amp;L'!S31</f>
        <v>0</v>
      </c>
      <c r="P29" s="362" t="n">
        <f aca="false">+'NET P&amp;L'!A31</f>
        <v>37159</v>
      </c>
      <c r="Q29" s="363" t="n">
        <f aca="false">+('NET P&amp;L'!E31+'NET P&amp;L'!J31)/16</f>
        <v>-198.997756958008</v>
      </c>
      <c r="R29" s="400" t="n">
        <f aca="false">+'NET P&amp;L'!O31</f>
        <v>-3725.23801025391</v>
      </c>
      <c r="S29" s="401" t="n">
        <f aca="false">+'NET P&amp;L'!T31</f>
        <v>0</v>
      </c>
      <c r="U29" s="362" t="n">
        <f aca="false">+'NET P&amp;L'!A31</f>
        <v>37159</v>
      </c>
      <c r="V29" s="363" t="n">
        <f aca="false">+('NET P&amp;L'!F31+'NET P&amp;L'!K31)/16</f>
        <v>-1.24999999500525E-013</v>
      </c>
      <c r="W29" s="400" t="n">
        <f aca="false">+'NET P&amp;L'!P31</f>
        <v>-7.99993893287756E-013</v>
      </c>
      <c r="X29" s="401" t="n">
        <f aca="false">+'NET P&amp;L'!U31</f>
        <v>0</v>
      </c>
    </row>
    <row r="30" customFormat="false" ht="12.75" hidden="false" customHeight="false" outlineLevel="0" collapsed="false">
      <c r="A30" s="362" t="n">
        <f aca="false">+'NET P&amp;L'!A32</f>
        <v>37160</v>
      </c>
      <c r="B30" s="363" t="n">
        <f aca="false">+('NET P&amp;L'!B32+'NET P&amp;L'!G32)/16</f>
        <v>-249.10986328125</v>
      </c>
      <c r="C30" s="400" t="n">
        <f aca="false">+'NET P&amp;L'!L32</f>
        <v>-1992.87890625</v>
      </c>
      <c r="D30" s="401" t="n">
        <f aca="false">+'NET P&amp;L'!Q32</f>
        <v>0</v>
      </c>
      <c r="F30" s="362" t="n">
        <f aca="false">+'NET P&amp;L'!A32</f>
        <v>37160</v>
      </c>
      <c r="G30" s="363" t="n">
        <f aca="false">+('NET P&amp;L'!C32+'NET P&amp;L'!H32)/16</f>
        <v>2.49999999001049E-013</v>
      </c>
      <c r="H30" s="400" t="n">
        <f aca="false">+'NET P&amp;L'!M32</f>
        <v>0</v>
      </c>
      <c r="I30" s="401" t="n">
        <f aca="false">+'NET P&amp;L'!R32</f>
        <v>0</v>
      </c>
      <c r="K30" s="362" t="n">
        <f aca="false">+'NET P&amp;L'!A32</f>
        <v>37160</v>
      </c>
      <c r="L30" s="363" t="n">
        <f aca="false">+('NET P&amp;L'!D32+'NET P&amp;L'!I32)/16</f>
        <v>74.7329559326172</v>
      </c>
      <c r="M30" s="400" t="n">
        <f aca="false">+'NET P&amp;L'!N32</f>
        <v>0</v>
      </c>
      <c r="N30" s="401" t="n">
        <f aca="false">+'NET P&amp;L'!S32</f>
        <v>0</v>
      </c>
      <c r="P30" s="362" t="n">
        <f aca="false">+'NET P&amp;L'!A32</f>
        <v>37160</v>
      </c>
      <c r="Q30" s="363" t="n">
        <f aca="false">+('NET P&amp;L'!E32+'NET P&amp;L'!J32)/16</f>
        <v>-198.997756958008</v>
      </c>
      <c r="R30" s="400" t="n">
        <f aca="false">+'NET P&amp;L'!O32</f>
        <v>-3725.23801025391</v>
      </c>
      <c r="S30" s="401" t="n">
        <f aca="false">+'NET P&amp;L'!T32</f>
        <v>0</v>
      </c>
      <c r="U30" s="362" t="n">
        <f aca="false">+'NET P&amp;L'!A32</f>
        <v>37160</v>
      </c>
      <c r="V30" s="363" t="n">
        <f aca="false">+('NET P&amp;L'!F32+'NET P&amp;L'!K32)/16</f>
        <v>-1.24999999500525E-013</v>
      </c>
      <c r="W30" s="400" t="n">
        <f aca="false">+'NET P&amp;L'!P32</f>
        <v>-7.99993893287756E-013</v>
      </c>
      <c r="X30" s="401" t="n">
        <f aca="false">+'NET P&amp;L'!U32</f>
        <v>0</v>
      </c>
    </row>
    <row r="31" customFormat="false" ht="12.75" hidden="false" customHeight="false" outlineLevel="0" collapsed="false">
      <c r="A31" s="362" t="n">
        <f aca="false">+'NET P&amp;L'!A33</f>
        <v>37161</v>
      </c>
      <c r="B31" s="363" t="n">
        <f aca="false">+('NET P&amp;L'!B33+'NET P&amp;L'!G33)/16</f>
        <v>-249.10986328125</v>
      </c>
      <c r="C31" s="400" t="n">
        <f aca="false">+'NET P&amp;L'!L33</f>
        <v>-1992.87890625</v>
      </c>
      <c r="D31" s="401" t="n">
        <f aca="false">+'NET P&amp;L'!Q33</f>
        <v>0</v>
      </c>
      <c r="F31" s="362" t="n">
        <f aca="false">+'NET P&amp;L'!A33</f>
        <v>37161</v>
      </c>
      <c r="G31" s="363" t="n">
        <f aca="false">+('NET P&amp;L'!C33+'NET P&amp;L'!H33)/16</f>
        <v>2.49999999001049E-013</v>
      </c>
      <c r="H31" s="400" t="n">
        <f aca="false">+'NET P&amp;L'!M33</f>
        <v>0</v>
      </c>
      <c r="I31" s="401" t="n">
        <f aca="false">+'NET P&amp;L'!R33</f>
        <v>0</v>
      </c>
      <c r="K31" s="362" t="n">
        <f aca="false">+'NET P&amp;L'!A33</f>
        <v>37161</v>
      </c>
      <c r="L31" s="363" t="n">
        <f aca="false">+('NET P&amp;L'!D33+'NET P&amp;L'!I33)/16</f>
        <v>74.7329559326172</v>
      </c>
      <c r="M31" s="400" t="n">
        <f aca="false">+'NET P&amp;L'!N33</f>
        <v>0</v>
      </c>
      <c r="N31" s="401" t="n">
        <f aca="false">+'NET P&amp;L'!S33</f>
        <v>0</v>
      </c>
      <c r="P31" s="362" t="n">
        <f aca="false">+'NET P&amp;L'!A33</f>
        <v>37161</v>
      </c>
      <c r="Q31" s="363" t="n">
        <f aca="false">+('NET P&amp;L'!E33+'NET P&amp;L'!J33)/16</f>
        <v>-198.997756958008</v>
      </c>
      <c r="R31" s="400" t="n">
        <f aca="false">+'NET P&amp;L'!O33</f>
        <v>-3725.23801025391</v>
      </c>
      <c r="S31" s="401" t="n">
        <f aca="false">+'NET P&amp;L'!T33</f>
        <v>0</v>
      </c>
      <c r="U31" s="362" t="n">
        <f aca="false">+'NET P&amp;L'!A33</f>
        <v>37161</v>
      </c>
      <c r="V31" s="363" t="n">
        <f aca="false">+('NET P&amp;L'!F33+'NET P&amp;L'!K33)/16</f>
        <v>-1.24999999500525E-013</v>
      </c>
      <c r="W31" s="400" t="n">
        <f aca="false">+'NET P&amp;L'!P33</f>
        <v>-7.99993893287756E-013</v>
      </c>
      <c r="X31" s="401" t="n">
        <f aca="false">+'NET P&amp;L'!U33</f>
        <v>0</v>
      </c>
    </row>
    <row r="32" customFormat="false" ht="12.75" hidden="false" customHeight="false" outlineLevel="0" collapsed="false">
      <c r="A32" s="362" t="n">
        <f aca="false">+'NET P&amp;L'!A34</f>
        <v>37162</v>
      </c>
      <c r="B32" s="363" t="n">
        <f aca="false">+('NET P&amp;L'!B34+'NET P&amp;L'!G34)/16</f>
        <v>-249.10986328125</v>
      </c>
      <c r="C32" s="400" t="n">
        <f aca="false">+'NET P&amp;L'!L34</f>
        <v>-1992.87890625</v>
      </c>
      <c r="D32" s="401" t="n">
        <f aca="false">+'NET P&amp;L'!Q34</f>
        <v>0</v>
      </c>
      <c r="F32" s="362" t="n">
        <f aca="false">+'NET P&amp;L'!A34</f>
        <v>37162</v>
      </c>
      <c r="G32" s="363" t="n">
        <f aca="false">+('NET P&amp;L'!C34+'NET P&amp;L'!H34)/16</f>
        <v>2.49999999001049E-013</v>
      </c>
      <c r="H32" s="400" t="n">
        <f aca="false">+'NET P&amp;L'!M34</f>
        <v>0</v>
      </c>
      <c r="I32" s="401" t="n">
        <f aca="false">+'NET P&amp;L'!R34</f>
        <v>0</v>
      </c>
      <c r="K32" s="362" t="n">
        <f aca="false">+'NET P&amp;L'!A34</f>
        <v>37162</v>
      </c>
      <c r="L32" s="363" t="n">
        <f aca="false">+('NET P&amp;L'!D34+'NET P&amp;L'!I34)/16</f>
        <v>74.7329559326172</v>
      </c>
      <c r="M32" s="400" t="n">
        <f aca="false">+'NET P&amp;L'!N34</f>
        <v>0</v>
      </c>
      <c r="N32" s="401" t="n">
        <f aca="false">+'NET P&amp;L'!S34</f>
        <v>0</v>
      </c>
      <c r="P32" s="362" t="n">
        <f aca="false">+'NET P&amp;L'!A34</f>
        <v>37162</v>
      </c>
      <c r="Q32" s="363" t="n">
        <f aca="false">+('NET P&amp;L'!E34+'NET P&amp;L'!J34)/16</f>
        <v>-198.997756958008</v>
      </c>
      <c r="R32" s="400" t="n">
        <f aca="false">+'NET P&amp;L'!O34</f>
        <v>-3725.23801025391</v>
      </c>
      <c r="S32" s="401" t="n">
        <f aca="false">+'NET P&amp;L'!T34</f>
        <v>0</v>
      </c>
      <c r="U32" s="362" t="n">
        <f aca="false">+'NET P&amp;L'!A34</f>
        <v>37162</v>
      </c>
      <c r="V32" s="363" t="n">
        <f aca="false">+('NET P&amp;L'!F34+'NET P&amp;L'!K34)/16</f>
        <v>-1.24999999500525E-013</v>
      </c>
      <c r="W32" s="400" t="n">
        <f aca="false">+'NET P&amp;L'!P34</f>
        <v>-7.99993893287756E-013</v>
      </c>
      <c r="X32" s="401" t="n">
        <f aca="false">+'NET P&amp;L'!U34</f>
        <v>0</v>
      </c>
    </row>
    <row r="33" customFormat="false" ht="12.75" hidden="false" customHeight="false" outlineLevel="0" collapsed="false">
      <c r="A33" s="362" t="n">
        <f aca="false">+'NET P&amp;L'!A35</f>
        <v>37163</v>
      </c>
      <c r="B33" s="363" t="n">
        <f aca="false">+('NET P&amp;L'!B35+'NET P&amp;L'!G35)/16</f>
        <v>0</v>
      </c>
      <c r="C33" s="400" t="n">
        <f aca="false">+'NET P&amp;L'!L35</f>
        <v>0</v>
      </c>
      <c r="D33" s="401" t="n">
        <f aca="false">+'NET P&amp;L'!Q35</f>
        <v>0</v>
      </c>
      <c r="F33" s="362" t="n">
        <f aca="false">+'NET P&amp;L'!A35</f>
        <v>37163</v>
      </c>
      <c r="G33" s="363" t="n">
        <f aca="false">+('NET P&amp;L'!C35+'NET P&amp;L'!H35)/16</f>
        <v>0</v>
      </c>
      <c r="H33" s="400" t="n">
        <f aca="false">+'NET P&amp;L'!M35</f>
        <v>0</v>
      </c>
      <c r="I33" s="401" t="n">
        <f aca="false">+'NET P&amp;L'!R35</f>
        <v>0</v>
      </c>
      <c r="K33" s="362" t="n">
        <f aca="false">+'NET P&amp;L'!A35</f>
        <v>37163</v>
      </c>
      <c r="L33" s="363" t="n">
        <f aca="false">+('NET P&amp;L'!D35+'NET P&amp;L'!I35)/16</f>
        <v>0</v>
      </c>
      <c r="M33" s="400" t="n">
        <f aca="false">+'NET P&amp;L'!N35</f>
        <v>0</v>
      </c>
      <c r="N33" s="401" t="n">
        <f aca="false">+'NET P&amp;L'!S35</f>
        <v>0</v>
      </c>
      <c r="P33" s="362" t="n">
        <f aca="false">+'NET P&amp;L'!A35</f>
        <v>37163</v>
      </c>
      <c r="Q33" s="363" t="n">
        <f aca="false">+('NET P&amp;L'!E35+'NET P&amp;L'!J35)/16</f>
        <v>0</v>
      </c>
      <c r="R33" s="400" t="n">
        <f aca="false">+'NET P&amp;L'!O35</f>
        <v>0</v>
      </c>
      <c r="S33" s="401" t="n">
        <f aca="false">+'NET P&amp;L'!T35</f>
        <v>0</v>
      </c>
      <c r="U33" s="362" t="n">
        <f aca="false">+'NET P&amp;L'!A35</f>
        <v>37163</v>
      </c>
      <c r="V33" s="363" t="n">
        <f aca="false">+('NET P&amp;L'!F35+'NET P&amp;L'!K35)/16</f>
        <v>0</v>
      </c>
      <c r="W33" s="400" t="n">
        <f aca="false">+'NET P&amp;L'!P35</f>
        <v>0</v>
      </c>
      <c r="X33" s="401" t="n">
        <f aca="false">+'NET P&amp;L'!U35</f>
        <v>0</v>
      </c>
    </row>
    <row r="34" customFormat="false" ht="12.75" hidden="false" customHeight="false" outlineLevel="0" collapsed="false">
      <c r="A34" s="362" t="n">
        <f aca="false">+'NET P&amp;L'!A36</f>
        <v>37164</v>
      </c>
      <c r="B34" s="363" t="n">
        <f aca="false">+('NET P&amp;L'!B36+'NET P&amp;L'!G36)/16</f>
        <v>0</v>
      </c>
      <c r="C34" s="400" t="n">
        <f aca="false">+'NET P&amp;L'!L36</f>
        <v>0</v>
      </c>
      <c r="D34" s="401" t="n">
        <f aca="false">+'NET P&amp;L'!Q36</f>
        <v>0</v>
      </c>
      <c r="F34" s="362" t="n">
        <f aca="false">+'NET P&amp;L'!A36</f>
        <v>37164</v>
      </c>
      <c r="G34" s="363" t="n">
        <f aca="false">+('NET P&amp;L'!C36+'NET P&amp;L'!H36)/16</f>
        <v>0</v>
      </c>
      <c r="H34" s="400" t="n">
        <f aca="false">+'NET P&amp;L'!M36</f>
        <v>0</v>
      </c>
      <c r="I34" s="401" t="n">
        <f aca="false">+'NET P&amp;L'!R36</f>
        <v>0</v>
      </c>
      <c r="K34" s="362" t="n">
        <f aca="false">+'NET P&amp;L'!A36</f>
        <v>37164</v>
      </c>
      <c r="L34" s="363" t="n">
        <f aca="false">+('NET P&amp;L'!D36+'NET P&amp;L'!I36)/16</f>
        <v>0</v>
      </c>
      <c r="M34" s="400" t="n">
        <f aca="false">+'NET P&amp;L'!N36</f>
        <v>0</v>
      </c>
      <c r="N34" s="401" t="n">
        <f aca="false">+'NET P&amp;L'!S36</f>
        <v>0</v>
      </c>
      <c r="P34" s="362" t="n">
        <f aca="false">+'NET P&amp;L'!A36</f>
        <v>37164</v>
      </c>
      <c r="Q34" s="363" t="n">
        <f aca="false">+('NET P&amp;L'!E36+'NET P&amp;L'!J36)/16</f>
        <v>0</v>
      </c>
      <c r="R34" s="400" t="n">
        <f aca="false">+'NET P&amp;L'!O36</f>
        <v>0</v>
      </c>
      <c r="S34" s="401" t="n">
        <f aca="false">+'NET P&amp;L'!T36</f>
        <v>0</v>
      </c>
      <c r="U34" s="362" t="n">
        <f aca="false">+'NET P&amp;L'!A36</f>
        <v>37164</v>
      </c>
      <c r="V34" s="363" t="n">
        <f aca="false">+('NET P&amp;L'!F36+'NET P&amp;L'!K36)/16</f>
        <v>0</v>
      </c>
      <c r="W34" s="400" t="n">
        <f aca="false">+'NET P&amp;L'!P36</f>
        <v>0</v>
      </c>
      <c r="X34" s="401" t="n">
        <f aca="false">+'NET P&amp;L'!U36</f>
        <v>0</v>
      </c>
    </row>
    <row r="35" customFormat="false" ht="12" hidden="false" customHeight="true" outlineLevel="0" collapsed="false">
      <c r="A35" s="362" t="n">
        <f aca="false">+'NET P&amp;L'!A37</f>
        <v>37165</v>
      </c>
      <c r="B35" s="363" t="n">
        <f aca="false">+('NET P&amp;L'!B37+'NET P&amp;L'!G37)/16</f>
        <v>-4569.0625</v>
      </c>
      <c r="C35" s="400" t="n">
        <f aca="false">+'NET P&amp;L'!L37</f>
        <v>-54828.75</v>
      </c>
      <c r="D35" s="401" t="n">
        <f aca="false">+'NET P&amp;L'!Q37</f>
        <v>0</v>
      </c>
      <c r="F35" s="362" t="n">
        <f aca="false">+'NET P&amp;L'!A37</f>
        <v>37165</v>
      </c>
      <c r="G35" s="363" t="n">
        <f aca="false">+('NET P&amp;L'!C37+'NET P&amp;L'!H37)/16</f>
        <v>-1142.265625</v>
      </c>
      <c r="H35" s="400" t="n">
        <f aca="false">+'NET P&amp;L'!M37</f>
        <v>-9138.125</v>
      </c>
      <c r="I35" s="401" t="n">
        <f aca="false">+'NET P&amp;L'!R37</f>
        <v>0</v>
      </c>
      <c r="K35" s="362" t="n">
        <f aca="false">+'NET P&amp;L'!A37</f>
        <v>37165</v>
      </c>
      <c r="L35" s="363" t="n">
        <f aca="false">+('NET P&amp;L'!D37+'NET P&amp;L'!I37)/16</f>
        <v>1142.265625</v>
      </c>
      <c r="M35" s="400" t="n">
        <f aca="false">+'NET P&amp;L'!N37</f>
        <v>13707.1875</v>
      </c>
      <c r="N35" s="401" t="n">
        <f aca="false">+'NET P&amp;L'!S37</f>
        <v>0</v>
      </c>
      <c r="P35" s="362" t="n">
        <f aca="false">+'NET P&amp;L'!A37</f>
        <v>37165</v>
      </c>
      <c r="Q35" s="363" t="n">
        <f aca="false">+('NET P&amp;L'!E37+'NET P&amp;L'!J37)/16</f>
        <v>0</v>
      </c>
      <c r="R35" s="400" t="n">
        <f aca="false">+'NET P&amp;L'!O37</f>
        <v>0</v>
      </c>
      <c r="S35" s="401" t="n">
        <f aca="false">+'NET P&amp;L'!T37</f>
        <v>0</v>
      </c>
      <c r="U35" s="362" t="n">
        <f aca="false">+'NET P&amp;L'!A37</f>
        <v>37165</v>
      </c>
      <c r="V35" s="363" t="n">
        <f aca="false">+('NET P&amp;L'!F37+'NET P&amp;L'!K37)/16</f>
        <v>-1140.86413574219</v>
      </c>
      <c r="W35" s="400" t="n">
        <f aca="false">+'NET P&amp;L'!P37</f>
        <v>-11864.9800484367</v>
      </c>
      <c r="X35" s="401" t="n">
        <f aca="false">+'NET P&amp;L'!U37</f>
        <v>0</v>
      </c>
    </row>
    <row r="36" customFormat="false" ht="13.5" hidden="false" customHeight="false" outlineLevel="0" collapsed="false">
      <c r="A36" s="373" t="n">
        <f aca="false">+'NET P&amp;L'!A38</f>
        <v>37195</v>
      </c>
      <c r="B36" s="374" t="n">
        <f aca="false">+('NET P&amp;L'!B38+'NET P&amp;L'!G38)/16</f>
        <v>0</v>
      </c>
      <c r="C36" s="402" t="n">
        <f aca="false">+'NET P&amp;L'!L38</f>
        <v>0</v>
      </c>
      <c r="D36" s="403" t="n">
        <f aca="false">+'NET P&amp;L'!Q38</f>
        <v>0</v>
      </c>
      <c r="F36" s="373" t="n">
        <f aca="false">+'NET P&amp;L'!A38</f>
        <v>37195</v>
      </c>
      <c r="G36" s="374" t="n">
        <f aca="false">+('NET P&amp;L'!C38+'NET P&amp;L'!H38)/16</f>
        <v>0</v>
      </c>
      <c r="H36" s="402" t="n">
        <f aca="false">+'NET P&amp;L'!M38</f>
        <v>-0</v>
      </c>
      <c r="I36" s="403" t="n">
        <f aca="false">+'NET P&amp;L'!R38</f>
        <v>0</v>
      </c>
      <c r="K36" s="373" t="n">
        <f aca="false">+'NET P&amp;L'!A38</f>
        <v>37195</v>
      </c>
      <c r="L36" s="374" t="n">
        <f aca="false">+('NET P&amp;L'!D38+'NET P&amp;L'!I38)/16</f>
        <v>0</v>
      </c>
      <c r="M36" s="402" t="n">
        <f aca="false">+'NET P&amp;L'!N38</f>
        <v>0</v>
      </c>
      <c r="N36" s="403" t="n">
        <f aca="false">+'NET P&amp;L'!S38</f>
        <v>0</v>
      </c>
      <c r="P36" s="373" t="n">
        <f aca="false">+'NET P&amp;L'!A38</f>
        <v>37195</v>
      </c>
      <c r="Q36" s="374" t="n">
        <f aca="false">+('NET P&amp;L'!E38+'NET P&amp;L'!J38)/16</f>
        <v>0</v>
      </c>
      <c r="R36" s="402" t="n">
        <f aca="false">+'NET P&amp;L'!O38</f>
        <v>0</v>
      </c>
      <c r="S36" s="403" t="n">
        <f aca="false">+'NET P&amp;L'!T38</f>
        <v>0</v>
      </c>
      <c r="U36" s="373" t="n">
        <f aca="false">+'NET P&amp;L'!A38</f>
        <v>37195</v>
      </c>
      <c r="V36" s="374" t="n">
        <f aca="false">+('NET P&amp;L'!F38+'NET P&amp;L'!K38)/16</f>
        <v>0</v>
      </c>
      <c r="W36" s="402" t="n">
        <f aca="false">+'NET P&amp;L'!P38</f>
        <v>0</v>
      </c>
      <c r="X36" s="403" t="n">
        <f aca="false">+'NET P&amp;L'!U38</f>
        <v>0</v>
      </c>
    </row>
    <row r="37" customFormat="false" ht="13.5" hidden="false" customHeight="false" outlineLevel="0" collapsed="false"/>
    <row r="38" customFormat="false" ht="13.5" hidden="false" customHeight="false" outlineLevel="0" collapsed="false">
      <c r="A38" s="395" t="s">
        <v>108</v>
      </c>
      <c r="B38" s="404"/>
      <c r="C38" s="397" t="n">
        <f aca="false">+SUM(C41:C55)</f>
        <v>156883.513883069</v>
      </c>
      <c r="D38" s="397" t="n">
        <f aca="false">+SUM(D41:D55)</f>
        <v>-28240.0000000001</v>
      </c>
      <c r="F38" s="395" t="s">
        <v>108</v>
      </c>
      <c r="G38" s="404"/>
      <c r="H38" s="397" t="n">
        <f aca="false">+SUM(H41:H55)</f>
        <v>-105295.011230465</v>
      </c>
      <c r="I38" s="397" t="n">
        <f aca="false">+SUM(I41:I55)</f>
        <v>-9600.00000000002</v>
      </c>
      <c r="K38" s="395" t="s">
        <v>108</v>
      </c>
      <c r="L38" s="404"/>
      <c r="M38" s="397" t="n">
        <f aca="false">+SUM(M41:M55)</f>
        <v>24331.3740234375</v>
      </c>
      <c r="N38" s="397" t="n">
        <f aca="false">+SUM(N41:N55)</f>
        <v>0</v>
      </c>
      <c r="P38" s="405" t="s">
        <v>108</v>
      </c>
      <c r="Q38" s="404"/>
      <c r="R38" s="397" t="n">
        <f aca="false">+SUM(R41:R53)</f>
        <v>0</v>
      </c>
      <c r="S38" s="397" t="n">
        <f aca="false">+SUM(S41:S53)</f>
        <v>0</v>
      </c>
      <c r="U38" s="405" t="s">
        <v>108</v>
      </c>
      <c r="V38" s="404"/>
      <c r="W38" s="397" t="n">
        <f aca="false">+SUM(W41:W53)</f>
        <v>-191271.344482422</v>
      </c>
      <c r="X38" s="397" t="n">
        <f aca="false">+SUM(X41:X53)</f>
        <v>42000</v>
      </c>
    </row>
    <row r="39" customFormat="false" ht="13.5" hidden="false" customHeight="false" outlineLevel="0" collapsed="false">
      <c r="A39" s="399" t="s">
        <v>96</v>
      </c>
      <c r="B39" s="346" t="s">
        <v>111</v>
      </c>
      <c r="C39" s="346" t="s">
        <v>112</v>
      </c>
      <c r="D39" s="347" t="s">
        <v>113</v>
      </c>
      <c r="F39" s="399" t="s">
        <v>97</v>
      </c>
      <c r="G39" s="346" t="s">
        <v>111</v>
      </c>
      <c r="H39" s="346" t="s">
        <v>112</v>
      </c>
      <c r="I39" s="347" t="s">
        <v>113</v>
      </c>
      <c r="K39" s="399" t="s">
        <v>98</v>
      </c>
      <c r="L39" s="346" t="s">
        <v>111</v>
      </c>
      <c r="M39" s="346" t="s">
        <v>112</v>
      </c>
      <c r="N39" s="347" t="s">
        <v>113</v>
      </c>
      <c r="P39" s="398" t="s">
        <v>99</v>
      </c>
      <c r="Q39" s="346" t="s">
        <v>111</v>
      </c>
      <c r="R39" s="346" t="s">
        <v>112</v>
      </c>
      <c r="S39" s="347" t="s">
        <v>113</v>
      </c>
      <c r="U39" s="398" t="s">
        <v>100</v>
      </c>
      <c r="V39" s="346" t="s">
        <v>111</v>
      </c>
      <c r="W39" s="346" t="s">
        <v>112</v>
      </c>
      <c r="X39" s="347" t="s">
        <v>113</v>
      </c>
    </row>
    <row r="40" customFormat="false" ht="12.75" hidden="false" customHeight="false" outlineLevel="0" collapsed="false">
      <c r="A40" s="353"/>
      <c r="B40" s="354" t="s">
        <v>107</v>
      </c>
      <c r="C40" s="354" t="s">
        <v>114</v>
      </c>
      <c r="D40" s="355" t="s">
        <v>114</v>
      </c>
      <c r="F40" s="353"/>
      <c r="G40" s="354" t="s">
        <v>107</v>
      </c>
      <c r="H40" s="354" t="s">
        <v>114</v>
      </c>
      <c r="I40" s="355" t="s">
        <v>114</v>
      </c>
      <c r="K40" s="353"/>
      <c r="L40" s="354" t="s">
        <v>107</v>
      </c>
      <c r="M40" s="354" t="s">
        <v>114</v>
      </c>
      <c r="N40" s="355" t="s">
        <v>114</v>
      </c>
      <c r="P40" s="353"/>
      <c r="Q40" s="354" t="s">
        <v>107</v>
      </c>
      <c r="R40" s="354" t="s">
        <v>114</v>
      </c>
      <c r="S40" s="355" t="s">
        <v>114</v>
      </c>
      <c r="U40" s="353"/>
      <c r="V40" s="354" t="s">
        <v>107</v>
      </c>
      <c r="W40" s="354" t="s">
        <v>114</v>
      </c>
      <c r="X40" s="355" t="s">
        <v>114</v>
      </c>
    </row>
    <row r="41" customFormat="false" ht="12.75" hidden="false" customHeight="false" outlineLevel="0" collapsed="false">
      <c r="A41" s="389" t="n">
        <f aca="false">+'NET P&amp;L'!A39</f>
        <v>37196</v>
      </c>
      <c r="B41" s="363" t="n">
        <f aca="false">+('NET P&amp;L'!B39+'NET P&amp;L'!G39)/16/'NYISO A'!DR44</f>
        <v>-198.097958519345</v>
      </c>
      <c r="C41" s="400" t="n">
        <f aca="false">+'NET P&amp;L'!L39</f>
        <v>-49920.685546875</v>
      </c>
      <c r="D41" s="401" t="n">
        <f aca="false">+'NET P&amp;L'!Q39</f>
        <v>0</v>
      </c>
      <c r="F41" s="389" t="n">
        <f aca="false">+'NET P&amp;L'!A39</f>
        <v>37196</v>
      </c>
      <c r="G41" s="363" t="n">
        <f aca="false">+('NET P&amp;L'!C39+'NET P&amp;L'!H39)/16/'NYISO G'!DR44</f>
        <v>-49.5244896298363</v>
      </c>
      <c r="H41" s="400" t="n">
        <f aca="false">+'NET P&amp;L'!M39</f>
        <v>-8320.1142578125</v>
      </c>
      <c r="I41" s="401" t="n">
        <f aca="false">+'NET P&amp;L'!R39</f>
        <v>0</v>
      </c>
      <c r="K41" s="389" t="n">
        <f aca="false">+'NET P&amp;L'!A39</f>
        <v>37196</v>
      </c>
      <c r="L41" s="363" t="n">
        <f aca="false">+('NET P&amp;L'!D39+'NET P&amp;L'!I39)/16/'NYISO J'!DR44</f>
        <v>49.5244896298363</v>
      </c>
      <c r="M41" s="400" t="n">
        <f aca="false">+'NET P&amp;L'!N39</f>
        <v>12480.1713867188</v>
      </c>
      <c r="N41" s="401" t="n">
        <f aca="false">+'NET P&amp;L'!S39</f>
        <v>0</v>
      </c>
      <c r="P41" s="389" t="n">
        <f aca="false">+'NET P&amp;L'!A39</f>
        <v>37196</v>
      </c>
      <c r="Q41" s="363" t="n">
        <f aca="false">+('NET P&amp;L'!J39+'NET P&amp;L'!E39)/16/NEPOOL!DR44</f>
        <v>0</v>
      </c>
      <c r="R41" s="400" t="n">
        <f aca="false">+'NET P&amp;L'!O39</f>
        <v>0</v>
      </c>
      <c r="S41" s="401" t="n">
        <f aca="false">+'NET P&amp;L'!T39</f>
        <v>0</v>
      </c>
      <c r="U41" s="389" t="n">
        <f aca="false">+'NET P&amp;L'!A39</f>
        <v>37196</v>
      </c>
      <c r="V41" s="363" t="n">
        <f aca="false">+('NET P&amp;L'!F39+'NET P&amp;L'!K39)/16/PJM!DR44</f>
        <v>-49.4659249441964</v>
      </c>
      <c r="W41" s="400" t="n">
        <f aca="false">+'NET P&amp;L'!P39</f>
        <v>-24930.826171875</v>
      </c>
      <c r="X41" s="401" t="n">
        <f aca="false">+'NET P&amp;L'!U39</f>
        <v>0</v>
      </c>
    </row>
    <row r="42" customFormat="false" ht="12.75" hidden="false" customHeight="false" outlineLevel="0" collapsed="false">
      <c r="A42" s="389" t="n">
        <f aca="false">+'NET P&amp;L'!A40</f>
        <v>37226</v>
      </c>
      <c r="B42" s="363" t="n">
        <f aca="false">+('NET P&amp;L'!B40+'NET P&amp;L'!G40)/16/'NYISO A'!DR45</f>
        <v>-397.520043945313</v>
      </c>
      <c r="C42" s="400" t="n">
        <f aca="false">+'NET P&amp;L'!L40</f>
        <v>-47404.810546875</v>
      </c>
      <c r="D42" s="401" t="n">
        <f aca="false">+'NET P&amp;L'!Q40</f>
        <v>8799.99999999996</v>
      </c>
      <c r="F42" s="389" t="n">
        <f aca="false">+'NET P&amp;L'!A40</f>
        <v>37226</v>
      </c>
      <c r="G42" s="363" t="n">
        <f aca="false">+('NET P&amp;L'!C40+'NET P&amp;L'!H40)/16/'NYISO G'!DR45</f>
        <v>-99.3800109863281</v>
      </c>
      <c r="H42" s="400" t="n">
        <f aca="false">+'NET P&amp;L'!M40</f>
        <v>-7900.8017578125</v>
      </c>
      <c r="I42" s="401" t="n">
        <f aca="false">+'NET P&amp;L'!R40</f>
        <v>-9600.00000000002</v>
      </c>
      <c r="K42" s="389" t="n">
        <f aca="false">+'NET P&amp;L'!A40</f>
        <v>37226</v>
      </c>
      <c r="L42" s="363" t="n">
        <f aca="false">+('NET P&amp;L'!D40+'NET P&amp;L'!I40)/16/'NYISO J'!DR45</f>
        <v>49.3800109863281</v>
      </c>
      <c r="M42" s="400" t="n">
        <f aca="false">+'NET P&amp;L'!N40</f>
        <v>11851.2026367188</v>
      </c>
      <c r="N42" s="401" t="n">
        <f aca="false">+'NET P&amp;L'!S40</f>
        <v>0</v>
      </c>
      <c r="P42" s="389" t="n">
        <f aca="false">+'NET P&amp;L'!A40</f>
        <v>37226</v>
      </c>
      <c r="Q42" s="363" t="n">
        <f aca="false">+('NET P&amp;L'!J40+'NET P&amp;L'!E40)/16/NEPOOL!DR45</f>
        <v>0</v>
      </c>
      <c r="R42" s="400" t="n">
        <f aca="false">+'NET P&amp;L'!O40</f>
        <v>0</v>
      </c>
      <c r="S42" s="401" t="n">
        <f aca="false">+'NET P&amp;L'!T40</f>
        <v>0</v>
      </c>
      <c r="U42" s="389" t="n">
        <f aca="false">+'NET P&amp;L'!A40</f>
        <v>37226</v>
      </c>
      <c r="V42" s="363" t="n">
        <f aca="false">+('NET P&amp;L'!F40+'NET P&amp;L'!K40)/16/PJM!DR45</f>
        <v>-49.3241790771484</v>
      </c>
      <c r="W42" s="400" t="n">
        <f aca="false">+'NET P&amp;L'!P40</f>
        <v>27621.5402832031</v>
      </c>
      <c r="X42" s="401" t="n">
        <f aca="false">+'NET P&amp;L'!U40</f>
        <v>0</v>
      </c>
    </row>
    <row r="43" customFormat="false" ht="12.75" hidden="false" customHeight="false" outlineLevel="0" collapsed="false">
      <c r="A43" s="389" t="n">
        <f aca="false">+'NET P&amp;L'!A41</f>
        <v>37257</v>
      </c>
      <c r="B43" s="363" t="n">
        <f aca="false">+('NET P&amp;L'!B41+'NET P&amp;L'!G41)/16/'NYISO A'!DR46</f>
        <v>97.7221901633523</v>
      </c>
      <c r="C43" s="400" t="n">
        <f aca="false">+'NET P&amp;L'!L41</f>
        <v>0</v>
      </c>
      <c r="D43" s="401" t="n">
        <f aca="false">+'NET P&amp;L'!Q41</f>
        <v>-7039.99999999997</v>
      </c>
      <c r="F43" s="389" t="n">
        <f aca="false">+'NET P&amp;L'!A41</f>
        <v>37257</v>
      </c>
      <c r="G43" s="363" t="n">
        <f aca="false">+('NET P&amp;L'!C41+'NET P&amp;L'!H41)/16/'NYISO G'!DR46</f>
        <v>-1.13636363182295E-013</v>
      </c>
      <c r="H43" s="400" t="n">
        <f aca="false">+'NET P&amp;L'!M41</f>
        <v>1.79999999280756E-010</v>
      </c>
      <c r="I43" s="401" t="n">
        <f aca="false">+'NET P&amp;L'!R41</f>
        <v>0</v>
      </c>
      <c r="K43" s="389" t="n">
        <f aca="false">+'NET P&amp;L'!A41</f>
        <v>37257</v>
      </c>
      <c r="L43" s="363" t="n">
        <f aca="false">+('NET P&amp;L'!D41+'NET P&amp;L'!I41)/16/'NYISO J'!DR46</f>
        <v>0</v>
      </c>
      <c r="M43" s="400" t="n">
        <f aca="false">+'NET P&amp;L'!N41</f>
        <v>-0</v>
      </c>
      <c r="N43" s="401" t="n">
        <f aca="false">+'NET P&amp;L'!S41</f>
        <v>0</v>
      </c>
      <c r="P43" s="389" t="n">
        <f aca="false">+'NET P&amp;L'!A41</f>
        <v>37257</v>
      </c>
      <c r="Q43" s="363" t="n">
        <f aca="false">+('NET P&amp;L'!J41+'NET P&amp;L'!E41)/16/NEPOOL!DR46</f>
        <v>0</v>
      </c>
      <c r="R43" s="400" t="n">
        <f aca="false">+'NET P&amp;L'!O41</f>
        <v>0</v>
      </c>
      <c r="S43" s="401" t="n">
        <f aca="false">+'NET P&amp;L'!T41</f>
        <v>0</v>
      </c>
      <c r="U43" s="389" t="n">
        <f aca="false">+'NET P&amp;L'!A41</f>
        <v>37257</v>
      </c>
      <c r="V43" s="363" t="n">
        <f aca="false">+('NET P&amp;L'!F41+'NET P&amp;L'!K41)/16/PJM!DR46</f>
        <v>-97.5420476740057</v>
      </c>
      <c r="W43" s="400" t="n">
        <f aca="false">+'NET P&amp;L'!P41</f>
        <v>-25967.400390625</v>
      </c>
      <c r="X43" s="401" t="n">
        <f aca="false">+'NET P&amp;L'!U41</f>
        <v>22000</v>
      </c>
    </row>
    <row r="44" customFormat="false" ht="12.75" hidden="false" customHeight="false" outlineLevel="0" collapsed="false">
      <c r="A44" s="389" t="n">
        <f aca="false">+'NET P&amp;L'!A42</f>
        <v>37288</v>
      </c>
      <c r="B44" s="363" t="n">
        <f aca="false">+('NET P&amp;L'!B42+'NET P&amp;L'!G42)/16/'NYISO A'!DR47</f>
        <v>97.3339965820313</v>
      </c>
      <c r="C44" s="400" t="n">
        <f aca="false">+'NET P&amp;L'!L42</f>
        <v>0</v>
      </c>
      <c r="D44" s="401" t="n">
        <f aca="false">+'NET P&amp;L'!Q42</f>
        <v>-6399.99999999998</v>
      </c>
      <c r="F44" s="389" t="n">
        <f aca="false">+'NET P&amp;L'!A42</f>
        <v>37288</v>
      </c>
      <c r="G44" s="363" t="n">
        <f aca="false">+('NET P&amp;L'!C42+'NET P&amp;L'!H42)/16/'NYISO G'!DR47</f>
        <v>1.24999999500525E-013</v>
      </c>
      <c r="H44" s="400" t="n">
        <f aca="false">+'NET P&amp;L'!M42</f>
        <v>9.99999996004197E-012</v>
      </c>
      <c r="I44" s="401" t="n">
        <f aca="false">+'NET P&amp;L'!R42</f>
        <v>0</v>
      </c>
      <c r="K44" s="389" t="n">
        <f aca="false">+'NET P&amp;L'!A42</f>
        <v>37288</v>
      </c>
      <c r="L44" s="363" t="n">
        <f aca="false">+('NET P&amp;L'!D42+'NET P&amp;L'!I42)/16/'NYISO J'!DR47</f>
        <v>0</v>
      </c>
      <c r="M44" s="400" t="n">
        <f aca="false">+'NET P&amp;L'!N42</f>
        <v>0</v>
      </c>
      <c r="N44" s="401" t="n">
        <f aca="false">+'NET P&amp;L'!S42</f>
        <v>0</v>
      </c>
      <c r="P44" s="389" t="n">
        <f aca="false">+'NET P&amp;L'!A42</f>
        <v>37288</v>
      </c>
      <c r="Q44" s="363" t="n">
        <f aca="false">+('NET P&amp;L'!J42+'NET P&amp;L'!E42)/16/NEPOOL!DR47</f>
        <v>0</v>
      </c>
      <c r="R44" s="400" t="n">
        <f aca="false">+'NET P&amp;L'!O42</f>
        <v>0</v>
      </c>
      <c r="S44" s="401" t="n">
        <f aca="false">+'NET P&amp;L'!T42</f>
        <v>0</v>
      </c>
      <c r="U44" s="389" t="n">
        <f aca="false">+'NET P&amp;L'!A42</f>
        <v>37288</v>
      </c>
      <c r="V44" s="363" t="n">
        <f aca="false">+('NET P&amp;L'!F42+'NET P&amp;L'!K42)/16/PJM!DR47</f>
        <v>-97.1529296875</v>
      </c>
      <c r="W44" s="400" t="n">
        <f aca="false">+'NET P&amp;L'!P42</f>
        <v>-23544.46875</v>
      </c>
      <c r="X44" s="401" t="n">
        <f aca="false">+'NET P&amp;L'!U42</f>
        <v>20000</v>
      </c>
    </row>
    <row r="45" customFormat="false" ht="12.75" hidden="false" customHeight="false" outlineLevel="0" collapsed="false">
      <c r="A45" s="389" t="n">
        <f aca="false">+'NET P&amp;L'!A43</f>
        <v>37316</v>
      </c>
      <c r="B45" s="363" t="n">
        <f aca="false">+('NET P&amp;L'!B43+'NET P&amp;L'!G43)/16/'NYISO A'!DR48</f>
        <v>98.9765276227679</v>
      </c>
      <c r="C45" s="400" t="n">
        <f aca="false">+'NET P&amp;L'!L43</f>
        <v>4114.0283203125</v>
      </c>
      <c r="D45" s="401" t="n">
        <f aca="false">+'NET P&amp;L'!Q43</f>
        <v>18480</v>
      </c>
      <c r="F45" s="389" t="n">
        <f aca="false">+'NET P&amp;L'!A43</f>
        <v>37316</v>
      </c>
      <c r="G45" s="363" t="n">
        <f aca="false">+('NET P&amp;L'!C43+'NET P&amp;L'!H43)/16/'NYISO G'!DR48</f>
        <v>5.95238092859641E-014</v>
      </c>
      <c r="H45" s="400" t="n">
        <f aca="false">+'NET P&amp;L'!M43</f>
        <v>1.14999999540483E-010</v>
      </c>
      <c r="I45" s="401" t="n">
        <f aca="false">+'NET P&amp;L'!R43</f>
        <v>0</v>
      </c>
      <c r="K45" s="389" t="n">
        <f aca="false">+'NET P&amp;L'!A43</f>
        <v>37316</v>
      </c>
      <c r="L45" s="363" t="n">
        <f aca="false">+('NET P&amp;L'!D43+'NET P&amp;L'!I43)/16/'NYISO J'!DR48</f>
        <v>0</v>
      </c>
      <c r="M45" s="400" t="n">
        <f aca="false">+'NET P&amp;L'!N43</f>
        <v>0</v>
      </c>
      <c r="N45" s="401" t="n">
        <f aca="false">+'NET P&amp;L'!S43</f>
        <v>0</v>
      </c>
      <c r="P45" s="389" t="n">
        <f aca="false">+'NET P&amp;L'!A43</f>
        <v>37316</v>
      </c>
      <c r="Q45" s="363" t="n">
        <f aca="false">+('NET P&amp;L'!J43+'NET P&amp;L'!E43)/16/NEPOOL!DR48</f>
        <v>0</v>
      </c>
      <c r="R45" s="400" t="n">
        <f aca="false">+'NET P&amp;L'!O43</f>
        <v>0</v>
      </c>
      <c r="S45" s="401" t="n">
        <f aca="false">+'NET P&amp;L'!T43</f>
        <v>0</v>
      </c>
      <c r="U45" s="389" t="n">
        <f aca="false">+'NET P&amp;L'!A43</f>
        <v>37316</v>
      </c>
      <c r="V45" s="363" t="n">
        <f aca="false">+('NET P&amp;L'!F43+'NET P&amp;L'!K43)/16/PJM!DR48</f>
        <v>0</v>
      </c>
      <c r="W45" s="400" t="n">
        <f aca="false">+'NET P&amp;L'!P43</f>
        <v>0</v>
      </c>
      <c r="X45" s="401" t="n">
        <f aca="false">+'NET P&amp;L'!U43</f>
        <v>0</v>
      </c>
    </row>
    <row r="46" customFormat="false" ht="12.75" hidden="false" customHeight="false" outlineLevel="0" collapsed="false">
      <c r="A46" s="389" t="n">
        <f aca="false">+'NET P&amp;L'!A44</f>
        <v>37347</v>
      </c>
      <c r="B46" s="363" t="n">
        <f aca="false">+('NET P&amp;L'!B44+'NET P&amp;L'!G44)/16/'NYISO A'!DR49</f>
        <v>98.8258833451705</v>
      </c>
      <c r="C46" s="400" t="n">
        <f aca="false">+'NET P&amp;L'!L44</f>
        <v>4296.677734375</v>
      </c>
      <c r="D46" s="401" t="n">
        <f aca="false">+'NET P&amp;L'!Q44</f>
        <v>19360</v>
      </c>
      <c r="F46" s="389" t="n">
        <f aca="false">+'NET P&amp;L'!A44</f>
        <v>37347</v>
      </c>
      <c r="G46" s="363" t="n">
        <f aca="false">+('NET P&amp;L'!C44+'NET P&amp;L'!H44)/16/'NYISO G'!DR49</f>
        <v>1.13636363182295E-013</v>
      </c>
      <c r="H46" s="400" t="n">
        <f aca="false">+'NET P&amp;L'!M44</f>
        <v>2.81999998873184E-009</v>
      </c>
      <c r="I46" s="401" t="n">
        <f aca="false">+'NET P&amp;L'!R44</f>
        <v>0</v>
      </c>
      <c r="K46" s="389" t="n">
        <f aca="false">+'NET P&amp;L'!A44</f>
        <v>37347</v>
      </c>
      <c r="L46" s="363" t="n">
        <f aca="false">+('NET P&amp;L'!D44+'NET P&amp;L'!I44)/16/'NYISO J'!DR49</f>
        <v>0</v>
      </c>
      <c r="M46" s="400" t="n">
        <f aca="false">+'NET P&amp;L'!N44</f>
        <v>0</v>
      </c>
      <c r="N46" s="401" t="n">
        <f aca="false">+'NET P&amp;L'!S44</f>
        <v>0</v>
      </c>
      <c r="P46" s="389" t="n">
        <f aca="false">+'NET P&amp;L'!A44</f>
        <v>37347</v>
      </c>
      <c r="Q46" s="363" t="n">
        <f aca="false">+('NET P&amp;L'!J44+'NET P&amp;L'!E44)/16/NEPOOL!DR49</f>
        <v>0</v>
      </c>
      <c r="R46" s="400" t="n">
        <f aca="false">+'NET P&amp;L'!O44</f>
        <v>0</v>
      </c>
      <c r="S46" s="401" t="n">
        <f aca="false">+'NET P&amp;L'!T44</f>
        <v>0</v>
      </c>
      <c r="U46" s="389" t="n">
        <f aca="false">+'NET P&amp;L'!A44</f>
        <v>37347</v>
      </c>
      <c r="V46" s="363" t="n">
        <f aca="false">+('NET P&amp;L'!F44+'NET P&amp;L'!K44)/16/PJM!DR49</f>
        <v>0</v>
      </c>
      <c r="W46" s="400" t="n">
        <f aca="false">+'NET P&amp;L'!P44</f>
        <v>0</v>
      </c>
      <c r="X46" s="401" t="n">
        <f aca="false">+'NET P&amp;L'!U44</f>
        <v>0</v>
      </c>
    </row>
    <row r="47" customFormat="false" ht="12.75" hidden="false" customHeight="false" outlineLevel="0" collapsed="false">
      <c r="A47" s="389" t="n">
        <f aca="false">+'NET P&amp;L'!A45</f>
        <v>37377</v>
      </c>
      <c r="B47" s="363" t="n">
        <f aca="false">+('NET P&amp;L'!B45+'NET P&amp;L'!G45)/16/'NYISO A'!DR50</f>
        <v>-5.68181825767859E-013</v>
      </c>
      <c r="C47" s="400" t="n">
        <f aca="false">+'NET P&amp;L'!L45</f>
        <v>-1.50000002002715E-010</v>
      </c>
      <c r="D47" s="401" t="n">
        <f aca="false">+'NET P&amp;L'!Q45</f>
        <v>0</v>
      </c>
      <c r="F47" s="389" t="n">
        <f aca="false">+'NET P&amp;L'!A45</f>
        <v>37377</v>
      </c>
      <c r="G47" s="363" t="n">
        <f aca="false">+('NET P&amp;L'!C45+'NET P&amp;L'!H45)/16/'NYISO G'!DR50</f>
        <v>48.6793268377131</v>
      </c>
      <c r="H47" s="400" t="n">
        <f aca="false">+'NET P&amp;L'!M45</f>
        <v>0</v>
      </c>
      <c r="I47" s="401" t="n">
        <f aca="false">+'NET P&amp;L'!R45</f>
        <v>0</v>
      </c>
      <c r="K47" s="389" t="n">
        <f aca="false">+'NET P&amp;L'!A45</f>
        <v>37377</v>
      </c>
      <c r="L47" s="363" t="n">
        <f aca="false">+('NET P&amp;L'!D45+'NET P&amp;L'!I45)/16/'NYISO J'!DR50</f>
        <v>0</v>
      </c>
      <c r="M47" s="400" t="n">
        <f aca="false">+'NET P&amp;L'!N45</f>
        <v>0</v>
      </c>
      <c r="N47" s="401" t="n">
        <f aca="false">+'NET P&amp;L'!S45</f>
        <v>0</v>
      </c>
      <c r="P47" s="389" t="n">
        <f aca="false">+'NET P&amp;L'!A45</f>
        <v>37377</v>
      </c>
      <c r="Q47" s="363" t="n">
        <f aca="false">+('NET P&amp;L'!J45+'NET P&amp;L'!E45)/16/NEPOOL!DR50</f>
        <v>0</v>
      </c>
      <c r="R47" s="400" t="n">
        <f aca="false">+'NET P&amp;L'!O45</f>
        <v>0</v>
      </c>
      <c r="S47" s="401" t="n">
        <f aca="false">+'NET P&amp;L'!T45</f>
        <v>0</v>
      </c>
      <c r="U47" s="389" t="n">
        <f aca="false">+'NET P&amp;L'!A45</f>
        <v>37377</v>
      </c>
      <c r="V47" s="363" t="n">
        <f aca="false">+('NET P&amp;L'!F45+'NET P&amp;L'!K45)/16/PJM!DR50</f>
        <v>-97.2336758700284</v>
      </c>
      <c r="W47" s="400" t="n">
        <f aca="false">+'NET P&amp;L'!P45</f>
        <v>-17113.126953125</v>
      </c>
      <c r="X47" s="401" t="n">
        <f aca="false">+'NET P&amp;L'!U45</f>
        <v>0</v>
      </c>
    </row>
    <row r="48" customFormat="false" ht="12.75" hidden="false" customHeight="false" outlineLevel="0" collapsed="false">
      <c r="A48" s="389" t="n">
        <f aca="false">+'NET P&amp;L'!A46</f>
        <v>37408</v>
      </c>
      <c r="B48" s="363" t="n">
        <f aca="false">+('NET P&amp;L'!B46+'NET P&amp;L'!G46)/16/'NYISO A'!DR51</f>
        <v>-145.587121582031</v>
      </c>
      <c r="C48" s="400" t="n">
        <f aca="false">+'NET P&amp;L'!L46</f>
        <v>-34940.9091796875</v>
      </c>
      <c r="D48" s="401" t="n">
        <f aca="false">+'NET P&amp;L'!Q46</f>
        <v>0</v>
      </c>
      <c r="F48" s="389" t="n">
        <f aca="false">+'NET P&amp;L'!A46</f>
        <v>37408</v>
      </c>
      <c r="G48" s="363" t="n">
        <f aca="false">+('NET P&amp;L'!C46+'NET P&amp;L'!H46)/16/'NYISO G'!DR51</f>
        <v>97.0580810546875</v>
      </c>
      <c r="H48" s="400" t="n">
        <f aca="false">+'NET P&amp;L'!M46</f>
        <v>-15529.29296875</v>
      </c>
      <c r="I48" s="401" t="n">
        <f aca="false">+'NET P&amp;L'!R46</f>
        <v>0</v>
      </c>
      <c r="K48" s="389" t="n">
        <f aca="false">+'NET P&amp;L'!A46</f>
        <v>37408</v>
      </c>
      <c r="L48" s="363" t="n">
        <f aca="false">+('NET P&amp;L'!D46+'NET P&amp;L'!I46)/16/'NYISO J'!DR51</f>
        <v>0</v>
      </c>
      <c r="M48" s="400" t="n">
        <f aca="false">+'NET P&amp;L'!N46</f>
        <v>0</v>
      </c>
      <c r="N48" s="401" t="n">
        <f aca="false">+'NET P&amp;L'!S46</f>
        <v>0</v>
      </c>
      <c r="P48" s="389" t="n">
        <f aca="false">+'NET P&amp;L'!A46</f>
        <v>37408</v>
      </c>
      <c r="Q48" s="363" t="n">
        <f aca="false">+('NET P&amp;L'!J46+'NET P&amp;L'!E46)/16/NEPOOL!DR51</f>
        <v>0</v>
      </c>
      <c r="R48" s="400" t="n">
        <f aca="false">+'NET P&amp;L'!O46</f>
        <v>0</v>
      </c>
      <c r="S48" s="401" t="n">
        <f aca="false">+'NET P&amp;L'!T46</f>
        <v>0</v>
      </c>
      <c r="U48" s="389" t="n">
        <f aca="false">+'NET P&amp;L'!A46</f>
        <v>37408</v>
      </c>
      <c r="V48" s="363" t="n">
        <f aca="false">+('NET P&amp;L'!F46+'NET P&amp;L'!K46)/16/PJM!DR51</f>
        <v>-48.4691436767578</v>
      </c>
      <c r="W48" s="400" t="n">
        <f aca="false">+'NET P&amp;L'!P46</f>
        <v>-0</v>
      </c>
      <c r="X48" s="401" t="n">
        <f aca="false">+'NET P&amp;L'!U46</f>
        <v>0</v>
      </c>
    </row>
    <row r="49" customFormat="false" ht="12.75" hidden="false" customHeight="false" outlineLevel="0" collapsed="false">
      <c r="A49" s="389" t="n">
        <f aca="false">+'NET P&amp;L'!A47</f>
        <v>37438</v>
      </c>
      <c r="B49" s="363" t="n">
        <f aca="false">+('NET P&amp;L'!B47+'NET P&amp;L'!G47)/16/'NYISO A'!DR52</f>
        <v>250</v>
      </c>
      <c r="C49" s="400" t="n">
        <f aca="false">+'NET P&amp;L'!L47</f>
        <v>66000</v>
      </c>
      <c r="D49" s="401" t="n">
        <f aca="false">+'NET P&amp;L'!Q47</f>
        <v>0</v>
      </c>
      <c r="F49" s="389" t="n">
        <f aca="false">+'NET P&amp;L'!A47</f>
        <v>37438</v>
      </c>
      <c r="G49" s="363" t="n">
        <f aca="false">+('NET P&amp;L'!C47+'NET P&amp;L'!H47)/16/'NYISO G'!DR52</f>
        <v>-48.3788563121449</v>
      </c>
      <c r="H49" s="400" t="n">
        <f aca="false">+'NET P&amp;L'!M47</f>
        <v>-0</v>
      </c>
      <c r="I49" s="401" t="n">
        <f aca="false">+'NET P&amp;L'!R47</f>
        <v>0</v>
      </c>
      <c r="K49" s="389" t="n">
        <f aca="false">+'NET P&amp;L'!A47</f>
        <v>37438</v>
      </c>
      <c r="L49" s="363" t="n">
        <f aca="false">+('NET P&amp;L'!D47+'NET P&amp;L'!I47)/16/'NYISO J'!DR52</f>
        <v>0</v>
      </c>
      <c r="M49" s="400" t="n">
        <f aca="false">+'NET P&amp;L'!N47</f>
        <v>-0</v>
      </c>
      <c r="N49" s="401" t="n">
        <f aca="false">+'NET P&amp;L'!S47</f>
        <v>0</v>
      </c>
      <c r="P49" s="389" t="n">
        <f aca="false">+'NET P&amp;L'!A47</f>
        <v>37438</v>
      </c>
      <c r="Q49" s="363" t="n">
        <f aca="false">+('NET P&amp;L'!J47+'NET P&amp;L'!E47)/16/NEPOOL!DR52</f>
        <v>0</v>
      </c>
      <c r="R49" s="400" t="n">
        <f aca="false">+'NET P&amp;L'!O47</f>
        <v>-0</v>
      </c>
      <c r="S49" s="401" t="n">
        <f aca="false">+'NET P&amp;L'!T47</f>
        <v>0</v>
      </c>
      <c r="U49" s="389" t="n">
        <f aca="false">+'NET P&amp;L'!A47</f>
        <v>37438</v>
      </c>
      <c r="V49" s="363" t="n">
        <f aca="false">+('NET P&amp;L'!F47+'NET P&amp;L'!K47)/16/PJM!DR52</f>
        <v>-241.56660600142</v>
      </c>
      <c r="W49" s="400" t="n">
        <f aca="false">+'NET P&amp;L'!P47</f>
        <v>-63773.583984375</v>
      </c>
      <c r="X49" s="401" t="n">
        <f aca="false">+'NET P&amp;L'!U47</f>
        <v>0</v>
      </c>
    </row>
    <row r="50" customFormat="false" ht="12.75" hidden="false" customHeight="false" outlineLevel="0" collapsed="false">
      <c r="A50" s="389" t="n">
        <f aca="false">+'NET P&amp;L'!A48</f>
        <v>37469</v>
      </c>
      <c r="B50" s="363" t="n">
        <f aca="false">+('NET P&amp;L'!B48+'NET P&amp;L'!G48)/16/'NYISO A'!DR53</f>
        <v>250</v>
      </c>
      <c r="C50" s="400" t="n">
        <f aca="false">+'NET P&amp;L'!L48</f>
        <v>66000</v>
      </c>
      <c r="D50" s="401" t="n">
        <f aca="false">+'NET P&amp;L'!Q48</f>
        <v>0</v>
      </c>
      <c r="F50" s="389" t="n">
        <f aca="false">+'NET P&amp;L'!A48</f>
        <v>37469</v>
      </c>
      <c r="G50" s="363" t="n">
        <f aca="false">+('NET P&amp;L'!C48+'NET P&amp;L'!H48)/16/'NYISO G'!DR53</f>
        <v>-48.2112315784801</v>
      </c>
      <c r="H50" s="400" t="n">
        <f aca="false">+'NET P&amp;L'!M48</f>
        <v>-0</v>
      </c>
      <c r="I50" s="401" t="n">
        <f aca="false">+'NET P&amp;L'!R48</f>
        <v>0</v>
      </c>
      <c r="K50" s="389" t="n">
        <f aca="false">+'NET P&amp;L'!A48</f>
        <v>37469</v>
      </c>
      <c r="L50" s="363" t="n">
        <f aca="false">+('NET P&amp;L'!D48+'NET P&amp;L'!I48)/16/'NYISO J'!DR53</f>
        <v>0</v>
      </c>
      <c r="M50" s="400" t="n">
        <f aca="false">+'NET P&amp;L'!N48</f>
        <v>-0</v>
      </c>
      <c r="N50" s="401" t="n">
        <f aca="false">+'NET P&amp;L'!S48</f>
        <v>0</v>
      </c>
      <c r="P50" s="389" t="n">
        <f aca="false">+'NET P&amp;L'!A48</f>
        <v>37469</v>
      </c>
      <c r="Q50" s="363" t="n">
        <f aca="false">+('NET P&amp;L'!J48+'NET P&amp;L'!E48)/16/NEPOOL!DR53</f>
        <v>0</v>
      </c>
      <c r="R50" s="400" t="n">
        <f aca="false">+'NET P&amp;L'!O48</f>
        <v>-0</v>
      </c>
      <c r="S50" s="401" t="n">
        <f aca="false">+'NET P&amp;L'!T48</f>
        <v>0</v>
      </c>
      <c r="U50" s="389" t="n">
        <f aca="false">+'NET P&amp;L'!A48</f>
        <v>37469</v>
      </c>
      <c r="V50" s="363" t="n">
        <f aca="false">+('NET P&amp;L'!F48+'NET P&amp;L'!K48)/16/PJM!DR53</f>
        <v>-240.770751953125</v>
      </c>
      <c r="W50" s="400" t="n">
        <f aca="false">+'NET P&amp;L'!P48</f>
        <v>-63563.478515625</v>
      </c>
      <c r="X50" s="401" t="n">
        <f aca="false">+'NET P&amp;L'!U48</f>
        <v>0</v>
      </c>
    </row>
    <row r="51" customFormat="false" ht="12.75" hidden="false" customHeight="false" outlineLevel="0" collapsed="false">
      <c r="A51" s="389" t="n">
        <f aca="false">+'NET P&amp;L'!A49</f>
        <v>37500</v>
      </c>
      <c r="B51" s="363" t="n">
        <f aca="false">+('NET P&amp;L'!B49+'NET P&amp;L'!G49)/16/'NYISO A'!DR54</f>
        <v>48.0646331787109</v>
      </c>
      <c r="C51" s="400" t="n">
        <f aca="false">+'NET P&amp;L'!L49</f>
        <v>11535.5119628906</v>
      </c>
      <c r="D51" s="401" t="n">
        <f aca="false">+'NET P&amp;L'!Q49</f>
        <v>0</v>
      </c>
      <c r="F51" s="389" t="n">
        <f aca="false">+'NET P&amp;L'!A49</f>
        <v>37500</v>
      </c>
      <c r="G51" s="363" t="n">
        <f aca="false">+('NET P&amp;L'!C49+'NET P&amp;L'!H49)/16/'NYISO G'!DR54</f>
        <v>6.24999997502623E-014</v>
      </c>
      <c r="H51" s="400" t="n">
        <f aca="false">+'NET P&amp;L'!M49</f>
        <v>6.04999997582539E-010</v>
      </c>
      <c r="I51" s="401" t="n">
        <f aca="false">+'NET P&amp;L'!R49</f>
        <v>0</v>
      </c>
      <c r="K51" s="389" t="n">
        <f aca="false">+'NET P&amp;L'!A49</f>
        <v>37500</v>
      </c>
      <c r="L51" s="363" t="n">
        <f aca="false">+('NET P&amp;L'!D49+'NET P&amp;L'!I49)/16/'NYISO J'!DR54</f>
        <v>0</v>
      </c>
      <c r="M51" s="400" t="n">
        <f aca="false">+'NET P&amp;L'!N49</f>
        <v>0</v>
      </c>
      <c r="N51" s="401" t="n">
        <f aca="false">+'NET P&amp;L'!S49</f>
        <v>0</v>
      </c>
      <c r="P51" s="389" t="n">
        <f aca="false">+'NET P&amp;L'!A49</f>
        <v>37500</v>
      </c>
      <c r="Q51" s="363" t="n">
        <f aca="false">+('NET P&amp;L'!J49+'NET P&amp;L'!E49)/16/NEPOOL!DR54</f>
        <v>0</v>
      </c>
      <c r="R51" s="400" t="n">
        <f aca="false">+'NET P&amp;L'!O49</f>
        <v>0</v>
      </c>
      <c r="S51" s="401" t="n">
        <f aca="false">+'NET P&amp;L'!T49</f>
        <v>0</v>
      </c>
      <c r="U51" s="389" t="n">
        <f aca="false">+'NET P&amp;L'!A49</f>
        <v>37500</v>
      </c>
      <c r="V51" s="363" t="n">
        <f aca="false">+('NET P&amp;L'!F49+'NET P&amp;L'!K49)/16/PJM!DR54</f>
        <v>0</v>
      </c>
      <c r="W51" s="400" t="n">
        <f aca="false">+'NET P&amp;L'!P49</f>
        <v>0</v>
      </c>
      <c r="X51" s="401" t="n">
        <f aca="false">+'NET P&amp;L'!U49</f>
        <v>0</v>
      </c>
    </row>
    <row r="52" customFormat="false" ht="12.75" hidden="false" customHeight="false" outlineLevel="0" collapsed="false">
      <c r="A52" s="389" t="n">
        <f aca="false">+'NET P&amp;L'!A50</f>
        <v>37530</v>
      </c>
      <c r="B52" s="363" t="n">
        <f aca="false">+('NET P&amp;L'!B50+'NET P&amp;L'!G50)/16/'NYISO A'!DR55</f>
        <v>-56.3096340013587</v>
      </c>
      <c r="C52" s="400" t="n">
        <f aca="false">+'NET P&amp;L'!L50</f>
        <v>58165.9811845124</v>
      </c>
      <c r="D52" s="401" t="n">
        <f aca="false">+'NET P&amp;L'!Q50</f>
        <v>-22080.0000000001</v>
      </c>
      <c r="F52" s="389" t="n">
        <f aca="false">+'NET P&amp;L'!A50</f>
        <v>37530</v>
      </c>
      <c r="G52" s="363" t="n">
        <f aca="false">+('NET P&amp;L'!C50+'NET P&amp;L'!H50)/16/'NYISO G'!DR55</f>
        <v>-47.8967868970788</v>
      </c>
      <c r="H52" s="400" t="n">
        <f aca="false">+'NET P&amp;L'!M50</f>
        <v>-26439.0263671875</v>
      </c>
      <c r="I52" s="401" t="n">
        <f aca="false">+'NET P&amp;L'!R50</f>
        <v>0</v>
      </c>
      <c r="K52" s="389" t="n">
        <f aca="false">+'NET P&amp;L'!A50</f>
        <v>37530</v>
      </c>
      <c r="L52" s="363" t="n">
        <f aca="false">+('NET P&amp;L'!D50+'NET P&amp;L'!I50)/16/'NYISO J'!DR55</f>
        <v>0</v>
      </c>
      <c r="M52" s="400" t="n">
        <f aca="false">+'NET P&amp;L'!N50</f>
        <v>0</v>
      </c>
      <c r="N52" s="401" t="n">
        <f aca="false">+'NET P&amp;L'!S50</f>
        <v>0</v>
      </c>
      <c r="P52" s="389" t="n">
        <f aca="false">+'NET P&amp;L'!A50</f>
        <v>37530</v>
      </c>
      <c r="Q52" s="363" t="n">
        <f aca="false">+('NET P&amp;L'!J50+'NET P&amp;L'!E50)/16/NEPOOL!DR55</f>
        <v>0</v>
      </c>
      <c r="R52" s="400" t="n">
        <f aca="false">+'NET P&amp;L'!O50</f>
        <v>0</v>
      </c>
      <c r="S52" s="401" t="n">
        <f aca="false">+'NET P&amp;L'!T50</f>
        <v>0</v>
      </c>
      <c r="U52" s="389" t="n">
        <f aca="false">+'NET P&amp;L'!A50</f>
        <v>37530</v>
      </c>
      <c r="V52" s="363" t="n">
        <f aca="false">+('NET P&amp;L'!F50+'NET P&amp;L'!K50)/16/PJM!DR55</f>
        <v>0</v>
      </c>
      <c r="W52" s="400" t="n">
        <f aca="false">+'NET P&amp;L'!P50</f>
        <v>-0</v>
      </c>
      <c r="X52" s="401" t="n">
        <f aca="false">+'NET P&amp;L'!U50</f>
        <v>0</v>
      </c>
    </row>
    <row r="53" customFormat="false" ht="12.75" hidden="false" customHeight="false" outlineLevel="0" collapsed="false">
      <c r="A53" s="389" t="n">
        <f aca="false">+'NET P&amp;L'!A51</f>
        <v>37561</v>
      </c>
      <c r="B53" s="363" t="n">
        <f aca="false">+('NET P&amp;L'!B51+'NET P&amp;L'!G51)/16/'NYISO A'!DR56</f>
        <v>-56.7889038085938</v>
      </c>
      <c r="C53" s="400" t="n">
        <f aca="false">+'NET P&amp;L'!L51</f>
        <v>50410.4107503146</v>
      </c>
      <c r="D53" s="401" t="n">
        <f aca="false">+'NET P&amp;L'!Q51</f>
        <v>-19200</v>
      </c>
      <c r="F53" s="389" t="n">
        <f aca="false">+'NET P&amp;L'!A51</f>
        <v>37561</v>
      </c>
      <c r="G53" s="363" t="n">
        <f aca="false">+('NET P&amp;L'!C51+'NET P&amp;L'!H51)/16/'NYISO G'!DR56</f>
        <v>-47.7370330810547</v>
      </c>
      <c r="H53" s="400" t="n">
        <f aca="false">+'NET P&amp;L'!M51</f>
        <v>-22913.7758789063</v>
      </c>
      <c r="I53" s="401" t="n">
        <f aca="false">+'NET P&amp;L'!R51</f>
        <v>0</v>
      </c>
      <c r="K53" s="389" t="n">
        <f aca="false">+'NET P&amp;L'!A51</f>
        <v>37561</v>
      </c>
      <c r="L53" s="363" t="n">
        <f aca="false">+('NET P&amp;L'!D51+'NET P&amp;L'!I51)/16/'NYISO J'!DR56</f>
        <v>0</v>
      </c>
      <c r="M53" s="400" t="n">
        <f aca="false">+'NET P&amp;L'!N51</f>
        <v>0</v>
      </c>
      <c r="N53" s="401" t="n">
        <f aca="false">+'NET P&amp;L'!S51</f>
        <v>0</v>
      </c>
      <c r="P53" s="389" t="n">
        <f aca="false">+'NET P&amp;L'!A51</f>
        <v>37561</v>
      </c>
      <c r="Q53" s="363" t="n">
        <f aca="false">+('NET P&amp;L'!J51+'NET P&amp;L'!E51)/16/NEPOOL!DR56</f>
        <v>0</v>
      </c>
      <c r="R53" s="400" t="n">
        <f aca="false">+'NET P&amp;L'!O51</f>
        <v>0</v>
      </c>
      <c r="S53" s="401" t="n">
        <f aca="false">+'NET P&amp;L'!T51</f>
        <v>0</v>
      </c>
      <c r="U53" s="389" t="n">
        <f aca="false">+'NET P&amp;L'!A51</f>
        <v>37561</v>
      </c>
      <c r="V53" s="363" t="n">
        <f aca="false">+('NET P&amp;L'!F51+'NET P&amp;L'!K51)/16/PJM!DR56</f>
        <v>0</v>
      </c>
      <c r="W53" s="400" t="n">
        <f aca="false">+'NET P&amp;L'!P51</f>
        <v>0</v>
      </c>
      <c r="X53" s="401" t="n">
        <f aca="false">+'NET P&amp;L'!U51</f>
        <v>0</v>
      </c>
    </row>
    <row r="54" customFormat="false" ht="12.75" hidden="false" customHeight="false" outlineLevel="0" collapsed="false">
      <c r="A54" s="389" t="n">
        <f aca="false">+'NET P&amp;L'!A52</f>
        <v>37591</v>
      </c>
      <c r="B54" s="363" t="n">
        <f aca="false">+('NET P&amp;L'!B52+'NET P&amp;L'!G52)/16/'NYISO A'!DR57</f>
        <v>-58</v>
      </c>
      <c r="C54" s="400" t="n">
        <f aca="false">+'NET P&amp;L'!L52</f>
        <v>52483.3092041016</v>
      </c>
      <c r="D54" s="401" t="n">
        <f aca="false">+'NET P&amp;L'!Q52</f>
        <v>-20160</v>
      </c>
      <c r="F54" s="389" t="n">
        <f aca="false">+'NET P&amp;L'!A52</f>
        <v>37591</v>
      </c>
      <c r="G54" s="363" t="n">
        <f aca="false">+('NET P&amp;L'!C52+'NET P&amp;L'!H52)/16/'NYISO G'!DR57</f>
        <v>-48</v>
      </c>
      <c r="H54" s="400" t="n">
        <f aca="false">+'NET P&amp;L'!M52</f>
        <v>-24192</v>
      </c>
      <c r="I54" s="401" t="n">
        <f aca="false">+'NET P&amp;L'!R52</f>
        <v>0</v>
      </c>
      <c r="K54" s="389" t="n">
        <f aca="false">+'NET P&amp;L'!A52</f>
        <v>37591</v>
      </c>
      <c r="L54" s="363" t="n">
        <f aca="false">+('NET P&amp;L'!D52+'NET P&amp;L'!I52)/16/'NYISO J'!DR57</f>
        <v>0</v>
      </c>
      <c r="M54" s="400" t="n">
        <f aca="false">+'NET P&amp;L'!N52</f>
        <v>0</v>
      </c>
      <c r="N54" s="401" t="n">
        <f aca="false">+'NET P&amp;L'!S52</f>
        <v>0</v>
      </c>
      <c r="P54" s="389" t="n">
        <f aca="false">+'NET P&amp;L'!A52</f>
        <v>37591</v>
      </c>
      <c r="Q54" s="363" t="n">
        <f aca="false">+('NET P&amp;L'!J52+'NET P&amp;L'!E52)/16/NEPOOL!DR57</f>
        <v>0</v>
      </c>
      <c r="R54" s="400" t="n">
        <f aca="false">+'NET P&amp;L'!O52</f>
        <v>0</v>
      </c>
      <c r="S54" s="401" t="n">
        <f aca="false">+'NET P&amp;L'!T52</f>
        <v>0</v>
      </c>
      <c r="U54" s="389" t="n">
        <f aca="false">+'NET P&amp;L'!A52</f>
        <v>37591</v>
      </c>
      <c r="V54" s="363" t="n">
        <f aca="false">+('NET P&amp;L'!F52+'NET P&amp;L'!K52)/16/PJM!DR57</f>
        <v>0</v>
      </c>
      <c r="W54" s="400" t="n">
        <f aca="false">+'NET P&amp;L'!P52</f>
        <v>0</v>
      </c>
      <c r="X54" s="401" t="n">
        <f aca="false">+'NET P&amp;L'!U52</f>
        <v>0</v>
      </c>
    </row>
    <row r="55" customFormat="false" ht="13.5" hidden="false" customHeight="false" outlineLevel="0" collapsed="false">
      <c r="A55" s="390" t="n">
        <f aca="false">+'NET P&amp;L'!A53</f>
        <v>37622</v>
      </c>
      <c r="B55" s="374" t="n">
        <f aca="false">+('NET P&amp;L'!B53+'NET P&amp;L'!G53)/16/'NYISO A'!DR58</f>
        <v>142</v>
      </c>
      <c r="C55" s="402" t="n">
        <f aca="false">+'NET P&amp;L'!L53</f>
        <v>-23856</v>
      </c>
      <c r="D55" s="403" t="n">
        <f aca="false">+'NET P&amp;L'!Q53</f>
        <v>0</v>
      </c>
      <c r="F55" s="390" t="n">
        <f aca="false">+'NET P&amp;L'!A53</f>
        <v>37622</v>
      </c>
      <c r="G55" s="374" t="n">
        <f aca="false">+('NET P&amp;L'!C53+'NET P&amp;L'!H53)/16/'NYISO G'!DR58</f>
        <v>0</v>
      </c>
      <c r="H55" s="402" t="n">
        <f aca="false">+'NET P&amp;L'!M53</f>
        <v>0</v>
      </c>
      <c r="I55" s="403" t="n">
        <f aca="false">+'NET P&amp;L'!R53</f>
        <v>0</v>
      </c>
      <c r="K55" s="390" t="n">
        <f aca="false">+'NET P&amp;L'!A53</f>
        <v>37622</v>
      </c>
      <c r="L55" s="374" t="n">
        <f aca="false">+('NET P&amp;L'!D53+'NET P&amp;L'!I53)/16/'NYISO J'!DR58</f>
        <v>0</v>
      </c>
      <c r="M55" s="402" t="n">
        <f aca="false">+'NET P&amp;L'!N53</f>
        <v>0</v>
      </c>
      <c r="N55" s="403" t="n">
        <f aca="false">+'NET P&amp;L'!S53</f>
        <v>0</v>
      </c>
      <c r="P55" s="390" t="n">
        <f aca="false">+'NET P&amp;L'!A53</f>
        <v>37622</v>
      </c>
      <c r="Q55" s="374" t="n">
        <f aca="false">+('NET P&amp;L'!J53+'NET P&amp;L'!E53)/16/NEPOOL!DR58</f>
        <v>0</v>
      </c>
      <c r="R55" s="402" t="n">
        <f aca="false">+'NET P&amp;L'!O53</f>
        <v>0</v>
      </c>
      <c r="S55" s="403" t="n">
        <f aca="false">+'NET P&amp;L'!T53</f>
        <v>0</v>
      </c>
      <c r="U55" s="390" t="n">
        <f aca="false">+'NET P&amp;L'!A53</f>
        <v>37622</v>
      </c>
      <c r="V55" s="374" t="n">
        <f aca="false">+('NET P&amp;L'!F53+'NET P&amp;L'!K53)/16/PJM!DR58</f>
        <v>0</v>
      </c>
      <c r="W55" s="402" t="n">
        <f aca="false">+'NET P&amp;L'!P53</f>
        <v>0</v>
      </c>
      <c r="X55" s="403" t="n">
        <f aca="false">+'NET P&amp;L'!U53</f>
        <v>0</v>
      </c>
    </row>
    <row r="56" customFormat="false" ht="12.75" hidden="false" customHeight="false" outlineLevel="0" collapsed="false">
      <c r="A56" s="0"/>
      <c r="B56" s="0"/>
      <c r="C56" s="0"/>
      <c r="D56" s="0"/>
    </row>
  </sheetData>
  <printOptions headings="false" gridLines="false" gridLinesSet="true" horizontalCentered="false" verticalCentered="false"/>
  <pageMargins left="1.84027777777778" right="0.740277777777778" top="0.984027777777778" bottom="0.984027777777778" header="0.511811023622047" footer="0.511811023622047"/>
  <pageSetup paperSize="1" scale="4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7.99"/>
    <col collapsed="false" customWidth="true" hidden="false" outlineLevel="0" max="4" min="4" style="0" width="12.28"/>
    <col collapsed="false" customWidth="true" hidden="false" outlineLevel="0" max="5" min="5" style="0" width="8.7"/>
    <col collapsed="false" customWidth="true" hidden="false" outlineLevel="0" max="6" min="6" style="0" width="12.42"/>
    <col collapsed="false" customWidth="true" hidden="false" outlineLevel="0" max="7" min="7" style="0" width="11.28"/>
    <col collapsed="false" customWidth="true" hidden="false" outlineLevel="0" max="8" min="8" style="0" width="11.85"/>
    <col collapsed="false" customWidth="true" hidden="false" outlineLevel="0" max="9" min="9" style="0" width="11.28"/>
    <col collapsed="false" customWidth="true" hidden="false" outlineLevel="0" max="23" min="10" style="0" width="8.7"/>
    <col collapsed="false" customWidth="true" hidden="false" outlineLevel="0" max="24" min="24" style="0" width="8.14"/>
  </cols>
  <sheetData>
    <row r="1" customFormat="false" ht="18.75" hidden="false" customHeight="false" outlineLevel="0" collapsed="false">
      <c r="E1" s="406" t="s">
        <v>115</v>
      </c>
    </row>
    <row r="2" customFormat="false" ht="21" hidden="false" customHeight="false" outlineLevel="0" collapsed="false">
      <c r="D2" s="407" t="s">
        <v>116</v>
      </c>
      <c r="E2" s="407"/>
      <c r="F2" s="408" t="s">
        <v>117</v>
      </c>
      <c r="G2" s="408"/>
      <c r="H2" s="409" t="s">
        <v>118</v>
      </c>
      <c r="I2" s="409"/>
      <c r="J2" s="410" t="s">
        <v>119</v>
      </c>
      <c r="K2" s="411" t="s">
        <v>120</v>
      </c>
      <c r="L2" s="411" t="s">
        <v>121</v>
      </c>
      <c r="M2" s="412" t="s">
        <v>122</v>
      </c>
      <c r="N2" s="413" t="s">
        <v>123</v>
      </c>
    </row>
    <row r="3" customFormat="false" ht="13.5" hidden="false" customHeight="false" outlineLevel="0" collapsed="false">
      <c r="A3" s="0" t="n">
        <v>1</v>
      </c>
      <c r="B3" s="414" t="s">
        <v>124</v>
      </c>
      <c r="C3" s="415" t="n">
        <v>22</v>
      </c>
      <c r="D3" s="416" t="n">
        <f aca="false">+'EOL LINKS'!$B$3</f>
        <v>38.25</v>
      </c>
      <c r="E3" s="416" t="n">
        <f aca="false">+'EOL LINKS'!$C$3</f>
        <v>39.25</v>
      </c>
      <c r="F3" s="416" t="n">
        <v>46.25</v>
      </c>
      <c r="G3" s="416" t="n">
        <f aca="false">+'EOL LINKS'!$C$19</f>
        <v>51.5</v>
      </c>
      <c r="H3" s="416" t="n">
        <v>57</v>
      </c>
      <c r="I3" s="417" t="n">
        <v>57</v>
      </c>
      <c r="J3" s="418" t="n">
        <f aca="false">+(AVERAGE(D3,E3)-AVERAGE(F3,G3))*-1</f>
        <v>10.125</v>
      </c>
      <c r="K3" s="418" t="n">
        <f aca="false">+AVERAGE(I3,H3)-AVERAGE(E3,D3)</f>
        <v>18.25</v>
      </c>
      <c r="L3" s="418" t="n">
        <f aca="false">+K3-J3</f>
        <v>8.125</v>
      </c>
      <c r="M3" s="419" t="e">
        <f aca="false">+AVERAGE(D3:E3)-AVERAGE(#REF!)</f>
        <v>#REF!</v>
      </c>
      <c r="N3" s="420" t="n">
        <v>22</v>
      </c>
    </row>
    <row r="4" customFormat="false" ht="13.5" hidden="false" customHeight="false" outlineLevel="0" collapsed="false">
      <c r="A4" s="0" t="n">
        <v>2</v>
      </c>
      <c r="B4" s="421" t="s">
        <v>125</v>
      </c>
      <c r="C4" s="422" t="n">
        <v>20</v>
      </c>
      <c r="D4" s="416" t="n">
        <f aca="false">+'EOL LINKS'!$B$3</f>
        <v>38.25</v>
      </c>
      <c r="E4" s="416" t="n">
        <f aca="false">+'EOL LINKS'!$C$3</f>
        <v>39.25</v>
      </c>
      <c r="F4" s="416" t="n">
        <v>46.25</v>
      </c>
      <c r="G4" s="416" t="n">
        <f aca="false">+'EOL LINKS'!$C$19</f>
        <v>51.5</v>
      </c>
      <c r="H4" s="423" t="n">
        <v>57</v>
      </c>
      <c r="I4" s="424" t="n">
        <v>57</v>
      </c>
      <c r="J4" s="425" t="n">
        <f aca="false">+(AVERAGE(D4,E4)-AVERAGE(F4,G4))*-1</f>
        <v>10.125</v>
      </c>
      <c r="K4" s="425" t="n">
        <f aca="false">+AVERAGE(I4,H4)-AVERAGE(E4,D4)</f>
        <v>18.25</v>
      </c>
      <c r="L4" s="425" t="n">
        <f aca="false">+K4-J4</f>
        <v>8.125</v>
      </c>
      <c r="M4" s="419" t="e">
        <f aca="false">+AVERAGE(D4:E4)-AVERAGE(#REF!)</f>
        <v>#REF!</v>
      </c>
      <c r="N4" s="426" t="n">
        <v>20</v>
      </c>
    </row>
    <row r="5" customFormat="false" ht="13.5" hidden="false" customHeight="false" outlineLevel="0" collapsed="false">
      <c r="B5" s="427" t="s">
        <v>126</v>
      </c>
      <c r="C5" s="428" t="n">
        <f aca="false">SUM(C3,C4)</f>
        <v>42</v>
      </c>
      <c r="D5" s="429" t="n">
        <f aca="false">SUM(D3*$C3,D4*$C4)/$C5</f>
        <v>38.25</v>
      </c>
      <c r="E5" s="430" t="n">
        <f aca="false">SUM(E3*$C3,E4*$C4)/$C5</f>
        <v>39.25</v>
      </c>
      <c r="F5" s="429" t="n">
        <f aca="false">SUM(F3*$C3,F4*$C4)/$C5</f>
        <v>46.25</v>
      </c>
      <c r="G5" s="430" t="n">
        <f aca="false">SUM(G3*$C3,G4*$C4)/$C5</f>
        <v>51.5</v>
      </c>
      <c r="H5" s="429" t="n">
        <f aca="false">SUM(H3*$C3,H4*$C4)/$C5</f>
        <v>57</v>
      </c>
      <c r="I5" s="431" t="n">
        <f aca="false">SUM(I3*$C3,I4*$C4)/$C5</f>
        <v>57</v>
      </c>
      <c r="J5" s="432" t="n">
        <f aca="false">+(AVERAGE(D5,E5)-AVERAGE(F5,G5))*-1</f>
        <v>10.125</v>
      </c>
      <c r="K5" s="432" t="n">
        <f aca="false">+AVERAGE(I5,H5)-AVERAGE(E5,D5)</f>
        <v>18.25</v>
      </c>
      <c r="L5" s="432" t="n">
        <f aca="false">+K5-J5</f>
        <v>8.125</v>
      </c>
      <c r="M5" s="433" t="e">
        <f aca="false">+AVERAGE(D5:E5)-AVERAGE(#REF!)</f>
        <v>#REF!</v>
      </c>
      <c r="N5" s="434" t="n">
        <f aca="false">SUM(N3,N4)</f>
        <v>42</v>
      </c>
    </row>
    <row r="6" customFormat="false" ht="13.5" hidden="false" customHeight="false" outlineLevel="0" collapsed="false">
      <c r="A6" s="0" t="n">
        <v>3</v>
      </c>
      <c r="B6" s="435" t="s">
        <v>127</v>
      </c>
      <c r="C6" s="436" t="n">
        <v>21</v>
      </c>
      <c r="D6" s="437" t="n">
        <f aca="false">+'EOL LINKS'!B4</f>
        <v>33.65</v>
      </c>
      <c r="E6" s="437" t="n">
        <f aca="false">+'EOL LINKS'!C4</f>
        <v>34.65</v>
      </c>
      <c r="F6" s="437" t="n">
        <v>39.75</v>
      </c>
      <c r="G6" s="438" t="n">
        <v>43</v>
      </c>
      <c r="H6" s="437" t="n">
        <v>49</v>
      </c>
      <c r="I6" s="439" t="n">
        <v>49</v>
      </c>
      <c r="J6" s="418" t="n">
        <f aca="false">+(AVERAGE(D6,E6)-AVERAGE(F6,G6))*-1</f>
        <v>7.225</v>
      </c>
      <c r="K6" s="418" t="n">
        <f aca="false">+AVERAGE(I6,H6)-AVERAGE(E6,D6)</f>
        <v>14.85</v>
      </c>
      <c r="L6" s="418" t="n">
        <f aca="false">+K6-J6</f>
        <v>7.625</v>
      </c>
      <c r="M6" s="419" t="e">
        <f aca="false">+AVERAGE(D6:E6)-AVERAGE(#REF!)</f>
        <v>#REF!</v>
      </c>
      <c r="N6" s="440" t="n">
        <v>21</v>
      </c>
    </row>
    <row r="7" customFormat="false" ht="13.5" hidden="false" customHeight="false" outlineLevel="0" collapsed="false">
      <c r="B7" s="427" t="s">
        <v>128</v>
      </c>
      <c r="C7" s="428" t="n">
        <f aca="false">SUM(C3,C4,C6)</f>
        <v>63</v>
      </c>
      <c r="D7" s="430" t="n">
        <f aca="false">SUM(D5*$C$5,D6*$C$6)/$C$7</f>
        <v>36.7166666666667</v>
      </c>
      <c r="E7" s="430" t="n">
        <f aca="false">SUM(E5*$C$5,E6*$C$6)/$C$7</f>
        <v>37.7166666666667</v>
      </c>
      <c r="F7" s="430" t="n">
        <f aca="false">SUM(F5*$C$5,F6*$C$6)/$C$7</f>
        <v>44.0833333333333</v>
      </c>
      <c r="G7" s="430" t="n">
        <f aca="false">SUM(G5*$C$5,G6*$C$6)/$C$7</f>
        <v>48.6666666666667</v>
      </c>
      <c r="H7" s="430" t="n">
        <f aca="false">SUM(H5*$C$5,H6*$C$6)/$C$7</f>
        <v>54.3333333333333</v>
      </c>
      <c r="I7" s="431" t="n">
        <f aca="false">SUM(I5*$C$5,I6*$C$6)/$C$7</f>
        <v>54.3333333333333</v>
      </c>
      <c r="J7" s="432" t="n">
        <f aca="false">+(AVERAGE(D7,E7)-AVERAGE(F7,G7))*-1</f>
        <v>9.15833333333333</v>
      </c>
      <c r="K7" s="432" t="n">
        <f aca="false">+AVERAGE(I7,H7)-AVERAGE(E7,D7)</f>
        <v>17.1166666666667</v>
      </c>
      <c r="L7" s="432" t="n">
        <f aca="false">+K7-J7</f>
        <v>7.95833333333334</v>
      </c>
      <c r="M7" s="433" t="e">
        <f aca="false">+AVERAGE(D7:E7)-AVERAGE(#REF!)</f>
        <v>#REF!</v>
      </c>
      <c r="N7" s="434" t="n">
        <f aca="false">SUM(N3,N4,N6)</f>
        <v>63</v>
      </c>
    </row>
    <row r="8" customFormat="false" ht="12.75" hidden="false" customHeight="false" outlineLevel="0" collapsed="false">
      <c r="A8" s="0" t="n">
        <v>4</v>
      </c>
      <c r="B8" s="441" t="s">
        <v>129</v>
      </c>
      <c r="C8" s="442" t="n">
        <v>22</v>
      </c>
      <c r="D8" s="437" t="n">
        <f aca="false">+'EOL LINKS'!B4</f>
        <v>33.65</v>
      </c>
      <c r="E8" s="437" t="n">
        <f aca="false">+'EOL LINKS'!C4</f>
        <v>34.65</v>
      </c>
      <c r="F8" s="443" t="n">
        <v>39.75</v>
      </c>
      <c r="G8" s="444" t="n">
        <v>44</v>
      </c>
      <c r="H8" s="443" t="n">
        <v>49</v>
      </c>
      <c r="I8" s="445" t="n">
        <v>49</v>
      </c>
      <c r="J8" s="418" t="n">
        <f aca="false">+(AVERAGE(D8,E8)-AVERAGE(F8,G8))*-1</f>
        <v>7.725</v>
      </c>
      <c r="K8" s="418" t="n">
        <f aca="false">+AVERAGE(I8,H8)-AVERAGE(E8,D8)</f>
        <v>14.85</v>
      </c>
      <c r="L8" s="418" t="n">
        <f aca="false">+K8-J8</f>
        <v>7.125</v>
      </c>
      <c r="M8" s="419" t="e">
        <f aca="false">+AVERAGE(D8:E8)-AVERAGE(#REF!)</f>
        <v>#REF!</v>
      </c>
      <c r="N8" s="420" t="n">
        <v>22</v>
      </c>
    </row>
    <row r="9" customFormat="false" ht="12.75" hidden="false" customHeight="false" outlineLevel="0" collapsed="false">
      <c r="A9" s="0" t="n">
        <v>5</v>
      </c>
      <c r="B9" s="446" t="s">
        <v>130</v>
      </c>
      <c r="C9" s="447" t="n">
        <v>22</v>
      </c>
      <c r="D9" s="448" t="n">
        <f aca="false">+'EOL LINKS'!B5</f>
        <v>35.4</v>
      </c>
      <c r="E9" s="448" t="n">
        <f aca="false">+'EOL LINKS'!C5</f>
        <v>36.4</v>
      </c>
      <c r="F9" s="448" t="n">
        <v>41.75</v>
      </c>
      <c r="G9" s="449" t="n">
        <v>45</v>
      </c>
      <c r="H9" s="448" t="n">
        <v>50</v>
      </c>
      <c r="I9" s="450" t="n">
        <v>50</v>
      </c>
      <c r="J9" s="418" t="n">
        <f aca="false">+(AVERAGE(D9,E9)-AVERAGE(F9,G9))*-1</f>
        <v>7.475</v>
      </c>
      <c r="K9" s="418" t="n">
        <f aca="false">+AVERAGE(I9,H9)-AVERAGE(E9,D9)</f>
        <v>14.1</v>
      </c>
      <c r="L9" s="418" t="n">
        <f aca="false">+K9-J9</f>
        <v>6.625</v>
      </c>
      <c r="M9" s="419" t="e">
        <f aca="false">+AVERAGE(D9:E9)-AVERAGE(#REF!)</f>
        <v>#REF!</v>
      </c>
      <c r="N9" s="451" t="n">
        <v>22</v>
      </c>
    </row>
    <row r="10" customFormat="false" ht="13.5" hidden="false" customHeight="false" outlineLevel="0" collapsed="false">
      <c r="A10" s="0" t="n">
        <v>6</v>
      </c>
      <c r="B10" s="421" t="s">
        <v>131</v>
      </c>
      <c r="C10" s="422" t="n">
        <v>20</v>
      </c>
      <c r="D10" s="423" t="n">
        <f aca="false">+'EOL LINKS'!B6</f>
        <v>43.2</v>
      </c>
      <c r="E10" s="423" t="n">
        <f aca="false">+'EOL LINKS'!C6</f>
        <v>44.2</v>
      </c>
      <c r="F10" s="423" t="n">
        <v>52.25</v>
      </c>
      <c r="G10" s="452" t="n">
        <v>53</v>
      </c>
      <c r="H10" s="423" t="n">
        <v>59</v>
      </c>
      <c r="I10" s="424" t="n">
        <v>59</v>
      </c>
      <c r="J10" s="418" t="n">
        <f aca="false">+(AVERAGE(D10,E10)-AVERAGE(F10,G10))*-1</f>
        <v>8.925</v>
      </c>
      <c r="K10" s="418" t="n">
        <f aca="false">+AVERAGE(I10,H10)-AVERAGE(E10,D10)</f>
        <v>15.3</v>
      </c>
      <c r="L10" s="418" t="n">
        <f aca="false">+K10-J10</f>
        <v>6.375</v>
      </c>
      <c r="M10" s="419" t="e">
        <f aca="false">+AVERAGE(D10:E10)-AVERAGE(#REF!)</f>
        <v>#REF!</v>
      </c>
      <c r="N10" s="426" t="n">
        <v>20</v>
      </c>
    </row>
    <row r="11" customFormat="false" ht="13.5" hidden="false" customHeight="false" outlineLevel="0" collapsed="false">
      <c r="B11" s="427" t="s">
        <v>132</v>
      </c>
      <c r="C11" s="428" t="n">
        <f aca="false">SUM(C8,C9,C10)</f>
        <v>64</v>
      </c>
      <c r="D11" s="429" t="n">
        <f aca="false">SUM(D8*$C8,D9*$C9,D10*$C10)/$C11</f>
        <v>37.2359375</v>
      </c>
      <c r="E11" s="430" t="n">
        <f aca="false">SUM(E8*$C8,E9*$C9,E10*$C10)/$C11</f>
        <v>38.2359375</v>
      </c>
      <c r="F11" s="429" t="n">
        <f aca="false">SUM(F8*$C8,F9*$C9,F10*$C10)/$C11</f>
        <v>44.34375</v>
      </c>
      <c r="G11" s="430" t="n">
        <f aca="false">SUM(G8*$C8,G9*$C9,G10*$C10)/$C11</f>
        <v>47.15625</v>
      </c>
      <c r="H11" s="429" t="n">
        <f aca="false">SUM(H8*$C8,H9*$C9,H10*$C10)/$C11</f>
        <v>52.46875</v>
      </c>
      <c r="I11" s="431" t="n">
        <f aca="false">SUM(I8*$C8,I9*$C9,I10*$C10)/$C11</f>
        <v>52.46875</v>
      </c>
      <c r="J11" s="432" t="n">
        <f aca="false">+(AVERAGE(D11,E11)-AVERAGE(F11,G11))*-1</f>
        <v>8.0140625</v>
      </c>
      <c r="K11" s="432" t="n">
        <f aca="false">+AVERAGE(I11,H11)-AVERAGE(E11,D11)</f>
        <v>14.7328125</v>
      </c>
      <c r="L11" s="432" t="n">
        <f aca="false">+K11-J11</f>
        <v>6.71875</v>
      </c>
      <c r="M11" s="433" t="e">
        <f aca="false">+AVERAGE(D11:E11)-AVERAGE(#REF!)</f>
        <v>#REF!</v>
      </c>
      <c r="N11" s="434" t="n">
        <f aca="false">SUM(N8,N9,N10)</f>
        <v>64</v>
      </c>
    </row>
    <row r="12" customFormat="false" ht="12.75" hidden="false" customHeight="false" outlineLevel="0" collapsed="false">
      <c r="A12" s="0" t="n">
        <v>7</v>
      </c>
      <c r="B12" s="441" t="s">
        <v>133</v>
      </c>
      <c r="C12" s="442" t="n">
        <v>22</v>
      </c>
      <c r="D12" s="443" t="n">
        <f aca="false">+'EOL LINKS'!$B$7</f>
        <v>56.75</v>
      </c>
      <c r="E12" s="443" t="n">
        <f aca="false">+'EOL LINKS'!$C$7</f>
        <v>58.25</v>
      </c>
      <c r="F12" s="443" t="n">
        <v>73.5</v>
      </c>
      <c r="G12" s="443" t="n">
        <f aca="false">+'EOL LINKS'!$C$20</f>
        <v>54</v>
      </c>
      <c r="H12" s="443" t="n">
        <v>92</v>
      </c>
      <c r="I12" s="445" t="n">
        <v>92</v>
      </c>
      <c r="J12" s="418" t="n">
        <f aca="false">+(AVERAGE(D12,E12)-AVERAGE(F12,G12))*-1</f>
        <v>6.25</v>
      </c>
      <c r="K12" s="418" t="n">
        <f aca="false">+AVERAGE(I12,H12)-AVERAGE(E12,D12)</f>
        <v>34.5</v>
      </c>
      <c r="L12" s="418" t="n">
        <f aca="false">+K12-J12</f>
        <v>28.25</v>
      </c>
      <c r="M12" s="419" t="e">
        <f aca="false">+AVERAGE(D12:E12)-AVERAGE(#REF!)</f>
        <v>#REF!</v>
      </c>
      <c r="N12" s="420" t="n">
        <v>22</v>
      </c>
    </row>
    <row r="13" customFormat="false" ht="13.5" hidden="false" customHeight="false" outlineLevel="0" collapsed="false">
      <c r="A13" s="0" t="n">
        <v>8</v>
      </c>
      <c r="B13" s="421" t="s">
        <v>134</v>
      </c>
      <c r="C13" s="422" t="n">
        <v>22</v>
      </c>
      <c r="D13" s="443" t="n">
        <f aca="false">+'EOL LINKS'!$B$7</f>
        <v>56.75</v>
      </c>
      <c r="E13" s="443" t="n">
        <f aca="false">+'EOL LINKS'!$C$7</f>
        <v>58.25</v>
      </c>
      <c r="F13" s="443" t="n">
        <v>73.5</v>
      </c>
      <c r="G13" s="443" t="n">
        <f aca="false">+'EOL LINKS'!$C$20</f>
        <v>54</v>
      </c>
      <c r="H13" s="423" t="n">
        <v>92</v>
      </c>
      <c r="I13" s="424" t="n">
        <v>92</v>
      </c>
      <c r="J13" s="418" t="n">
        <f aca="false">+(AVERAGE(D13,E13)-AVERAGE(F13,G13))*-1</f>
        <v>6.25</v>
      </c>
      <c r="K13" s="418" t="n">
        <f aca="false">+AVERAGE(I13,H13)-AVERAGE(E13,D13)</f>
        <v>34.5</v>
      </c>
      <c r="L13" s="418" t="n">
        <f aca="false">+K13-J13</f>
        <v>28.25</v>
      </c>
      <c r="M13" s="419" t="e">
        <f aca="false">+AVERAGE(D13:E13)-AVERAGE(#REF!)</f>
        <v>#REF!</v>
      </c>
      <c r="N13" s="426" t="n">
        <v>22</v>
      </c>
    </row>
    <row r="14" customFormat="false" ht="13.5" hidden="false" customHeight="false" outlineLevel="0" collapsed="false">
      <c r="B14" s="427" t="s">
        <v>135</v>
      </c>
      <c r="C14" s="428" t="n">
        <f aca="false">SUM(C12,C13)</f>
        <v>44</v>
      </c>
      <c r="D14" s="429" t="n">
        <f aca="false">SUM(D12*$C12,D13*$C13)/$C14</f>
        <v>56.75</v>
      </c>
      <c r="E14" s="430" t="n">
        <f aca="false">SUM(E12*$C12,E13*$C13)/$C14</f>
        <v>58.25</v>
      </c>
      <c r="F14" s="429" t="n">
        <f aca="false">SUM(F12*$C12,F13*$C13)/$C14</f>
        <v>73.5</v>
      </c>
      <c r="G14" s="430" t="n">
        <f aca="false">SUM(G12*$C12,G13*$C13)/$C14</f>
        <v>54</v>
      </c>
      <c r="H14" s="429" t="n">
        <f aca="false">SUM(H12*$C12,H13*$C13)/$C14</f>
        <v>92</v>
      </c>
      <c r="I14" s="431" t="n">
        <f aca="false">SUM(I12*$C12,I13*$C13)/$C14</f>
        <v>92</v>
      </c>
      <c r="J14" s="432" t="n">
        <f aca="false">+(AVERAGE(D14,E14)-AVERAGE(F14,G14))*-1</f>
        <v>6.25</v>
      </c>
      <c r="K14" s="432" t="n">
        <f aca="false">+AVERAGE(I14,H14)-AVERAGE(E14,D14)</f>
        <v>34.5</v>
      </c>
      <c r="L14" s="432" t="n">
        <f aca="false">+K14-J14</f>
        <v>28.25</v>
      </c>
      <c r="M14" s="433" t="e">
        <f aca="false">+AVERAGE(D14:E14)-AVERAGE(#REF!)</f>
        <v>#REF!</v>
      </c>
      <c r="N14" s="434" t="n">
        <f aca="false">SUM(N12,N13)</f>
        <v>44</v>
      </c>
    </row>
    <row r="15" customFormat="false" ht="13.5" hidden="false" customHeight="false" outlineLevel="0" collapsed="false">
      <c r="A15" s="0" t="n">
        <v>9</v>
      </c>
      <c r="B15" s="435" t="s">
        <v>136</v>
      </c>
      <c r="C15" s="436" t="n">
        <v>20</v>
      </c>
      <c r="D15" s="437" t="n">
        <f aca="false">+'EOL LINKS'!B8</f>
        <v>34.35</v>
      </c>
      <c r="E15" s="437" t="n">
        <f aca="false">+'EOL LINKS'!C8</f>
        <v>35.35</v>
      </c>
      <c r="F15" s="437" t="n">
        <v>40</v>
      </c>
      <c r="G15" s="438" t="n">
        <v>43</v>
      </c>
      <c r="H15" s="437" t="n">
        <v>48</v>
      </c>
      <c r="I15" s="439" t="n">
        <v>48</v>
      </c>
      <c r="J15" s="418" t="n">
        <f aca="false">+(AVERAGE(D15,E15)-AVERAGE(F15,G15))*-1</f>
        <v>6.65</v>
      </c>
      <c r="K15" s="418" t="n">
        <f aca="false">+AVERAGE(I15,H15)-AVERAGE(E15,D15)</f>
        <v>13.15</v>
      </c>
      <c r="L15" s="418" t="n">
        <f aca="false">+K15-J15</f>
        <v>6.5</v>
      </c>
      <c r="M15" s="419" t="e">
        <f aca="false">+AVERAGE(D15:E15)-AVERAGE(#REF!)</f>
        <v>#REF!</v>
      </c>
      <c r="N15" s="440" t="n">
        <v>20</v>
      </c>
    </row>
    <row r="16" customFormat="false" ht="13.5" hidden="false" customHeight="false" outlineLevel="0" collapsed="false">
      <c r="B16" s="427" t="s">
        <v>137</v>
      </c>
      <c r="C16" s="428" t="n">
        <f aca="false">SUM(C14,C15)</f>
        <v>64</v>
      </c>
      <c r="D16" s="429" t="n">
        <f aca="false">SUM(D14*$C14,D15*$C15)/$C16</f>
        <v>49.75</v>
      </c>
      <c r="E16" s="430" t="n">
        <f aca="false">SUM(E14*$C14,E15*$C15)/$C16</f>
        <v>51.09375</v>
      </c>
      <c r="F16" s="429" t="n">
        <f aca="false">SUM(F14*$C14,F15*$C15)/$C16</f>
        <v>63.03125</v>
      </c>
      <c r="G16" s="430" t="n">
        <f aca="false">SUM(G14*$C14,G15*$C15)/$C16</f>
        <v>50.5625</v>
      </c>
      <c r="H16" s="429" t="n">
        <f aca="false">SUM(H14*$C14,H15*$C15)/$C16</f>
        <v>78.25</v>
      </c>
      <c r="I16" s="431" t="n">
        <f aca="false">SUM(I14*$C14,I15*$C15)/$C16</f>
        <v>78.25</v>
      </c>
      <c r="J16" s="432" t="n">
        <f aca="false">+(AVERAGE(D16,E16)-AVERAGE(F16,G16))*-1</f>
        <v>6.375</v>
      </c>
      <c r="K16" s="432" t="n">
        <f aca="false">+AVERAGE(I16,H16)-AVERAGE(E16,D16)</f>
        <v>27.828125</v>
      </c>
      <c r="L16" s="432" t="n">
        <f aca="false">+K16-J16</f>
        <v>21.453125</v>
      </c>
      <c r="M16" s="433" t="e">
        <f aca="false">+AVERAGE(D16:E16)-AVERAGE(#REF!)</f>
        <v>#REF!</v>
      </c>
      <c r="N16" s="434" t="n">
        <f aca="false">SUM(N14,N15)</f>
        <v>64</v>
      </c>
      <c r="AH16" s="453"/>
    </row>
    <row r="17" customFormat="false" ht="12.75" hidden="false" customHeight="false" outlineLevel="0" collapsed="false">
      <c r="A17" s="0" t="n">
        <v>10</v>
      </c>
      <c r="B17" s="441" t="s">
        <v>138</v>
      </c>
      <c r="C17" s="442" t="n">
        <v>23</v>
      </c>
      <c r="D17" s="443" t="n">
        <f aca="false">+'EOL LINKS'!$B$9</f>
        <v>34.15</v>
      </c>
      <c r="E17" s="443" t="n">
        <f aca="false">+'EOL LINKS'!$C$9</f>
        <v>35.15</v>
      </c>
      <c r="F17" s="443" t="n">
        <v>40.75</v>
      </c>
      <c r="G17" s="443" t="n">
        <f aca="false">+'EOL LINKS'!$C$21</f>
        <v>32.75</v>
      </c>
      <c r="H17" s="443" t="n">
        <v>28.5</v>
      </c>
      <c r="I17" s="445" t="n">
        <v>48</v>
      </c>
      <c r="J17" s="418" t="n">
        <f aca="false">+(AVERAGE(D17,E17)-AVERAGE(F17,G17))*-1</f>
        <v>2.1</v>
      </c>
      <c r="K17" s="418" t="n">
        <f aca="false">+AVERAGE(I17,H17)-AVERAGE(E17,D17)</f>
        <v>3.6</v>
      </c>
      <c r="L17" s="418" t="n">
        <f aca="false">+K17-J17</f>
        <v>1.5</v>
      </c>
      <c r="M17" s="419" t="e">
        <f aca="false">+AVERAGE(D17:E17)-AVERAGE(#REF!)</f>
        <v>#REF!</v>
      </c>
      <c r="N17" s="420" t="n">
        <v>23</v>
      </c>
      <c r="AH17" s="453"/>
    </row>
    <row r="18" customFormat="false" ht="12.75" hidden="false" customHeight="false" outlineLevel="0" collapsed="false">
      <c r="A18" s="0" t="n">
        <v>11</v>
      </c>
      <c r="B18" s="446" t="s">
        <v>139</v>
      </c>
      <c r="C18" s="447" t="n">
        <v>20</v>
      </c>
      <c r="D18" s="443" t="n">
        <f aca="false">+'EOL LINKS'!$B$9</f>
        <v>34.15</v>
      </c>
      <c r="E18" s="443" t="n">
        <f aca="false">+'EOL LINKS'!$C$9</f>
        <v>35.15</v>
      </c>
      <c r="F18" s="443" t="n">
        <v>40.75</v>
      </c>
      <c r="G18" s="443" t="n">
        <f aca="false">+'EOL LINKS'!$C$21</f>
        <v>32.75</v>
      </c>
      <c r="H18" s="448" t="n">
        <v>28.5</v>
      </c>
      <c r="I18" s="450" t="n">
        <v>48</v>
      </c>
      <c r="J18" s="418" t="n">
        <f aca="false">+(AVERAGE(D18,E18)-AVERAGE(F18,G18))*-1</f>
        <v>2.1</v>
      </c>
      <c r="K18" s="418" t="n">
        <f aca="false">+AVERAGE(I18,H18)-AVERAGE(E18,D18)</f>
        <v>3.6</v>
      </c>
      <c r="L18" s="418" t="n">
        <f aca="false">+K18-J18</f>
        <v>1.5</v>
      </c>
      <c r="M18" s="419" t="e">
        <f aca="false">+AVERAGE(D18:E18)-AVERAGE(#REF!)</f>
        <v>#REF!</v>
      </c>
      <c r="N18" s="451" t="n">
        <v>20</v>
      </c>
      <c r="AH18" s="453"/>
    </row>
    <row r="19" customFormat="false" ht="13.5" hidden="false" customHeight="false" outlineLevel="0" collapsed="false">
      <c r="A19" s="0" t="n">
        <v>12</v>
      </c>
      <c r="B19" s="421" t="s">
        <v>140</v>
      </c>
      <c r="C19" s="422" t="n">
        <v>21</v>
      </c>
      <c r="D19" s="443" t="n">
        <f aca="false">+'EOL LINKS'!$B$9</f>
        <v>34.15</v>
      </c>
      <c r="E19" s="443" t="n">
        <f aca="false">+'EOL LINKS'!$C$9</f>
        <v>35.15</v>
      </c>
      <c r="F19" s="443" t="n">
        <v>40.75</v>
      </c>
      <c r="G19" s="443" t="n">
        <f aca="false">+'EOL LINKS'!$C$21</f>
        <v>32.75</v>
      </c>
      <c r="H19" s="423" t="n">
        <v>31.5</v>
      </c>
      <c r="I19" s="424" t="n">
        <v>48</v>
      </c>
      <c r="J19" s="418" t="n">
        <f aca="false">+(AVERAGE(D19,E19)-AVERAGE(F19,G19))*-1</f>
        <v>2.1</v>
      </c>
      <c r="K19" s="418" t="n">
        <f aca="false">+AVERAGE(I19,H19)-AVERAGE(E19,D19)</f>
        <v>5.1</v>
      </c>
      <c r="L19" s="418" t="n">
        <f aca="false">+K19-J19</f>
        <v>3</v>
      </c>
      <c r="M19" s="419" t="e">
        <f aca="false">+AVERAGE(D19:E19)-AVERAGE(#REF!)</f>
        <v>#REF!</v>
      </c>
      <c r="N19" s="426" t="n">
        <v>21</v>
      </c>
      <c r="AH19" s="453"/>
    </row>
    <row r="20" customFormat="false" ht="13.5" hidden="false" customHeight="false" outlineLevel="0" collapsed="false">
      <c r="B20" s="427" t="s">
        <v>141</v>
      </c>
      <c r="C20" s="428" t="n">
        <f aca="false">SUM(C17,C18,C19)</f>
        <v>64</v>
      </c>
      <c r="D20" s="429" t="n">
        <f aca="false">SUM(D17*$C17,D18*$C18,D19*$C19)/$C20</f>
        <v>34.15</v>
      </c>
      <c r="E20" s="454" t="n">
        <f aca="false">SUM(E17*$C17,E18*$C18,E19*$C19)/$C20</f>
        <v>35.15</v>
      </c>
      <c r="F20" s="429" t="n">
        <f aca="false">SUM(F17*$C17,F18*$C18,F19*$C19)/$C20</f>
        <v>40.75</v>
      </c>
      <c r="G20" s="454" t="n">
        <f aca="false">SUM(G17*$C17,G18*$C18,G19*$C19)/$C20</f>
        <v>32.75</v>
      </c>
      <c r="H20" s="429" t="n">
        <f aca="false">SUM(H17*$C17,H18*$C18,H19*$C19)/$C20</f>
        <v>29.484375</v>
      </c>
      <c r="I20" s="455" t="n">
        <f aca="false">SUM(I17*$C17,I18*$C18,I19*$C19)/$C20</f>
        <v>48</v>
      </c>
      <c r="J20" s="432" t="n">
        <f aca="false">+(AVERAGE(D20,E20)-AVERAGE(F20,G20))*-1</f>
        <v>2.1</v>
      </c>
      <c r="K20" s="432" t="n">
        <f aca="false">+AVERAGE(I20,H20)-AVERAGE(E20,D20)</f>
        <v>4.0921875</v>
      </c>
      <c r="L20" s="432" t="n">
        <f aca="false">+K20-J20</f>
        <v>1.9921875</v>
      </c>
      <c r="M20" s="433" t="e">
        <f aca="false">+AVERAGE(D20:E20)-AVERAGE(#REF!)</f>
        <v>#REF!</v>
      </c>
      <c r="N20" s="434" t="n">
        <f aca="false">SUM(N17,N18,N19)</f>
        <v>64</v>
      </c>
      <c r="AH20" s="453"/>
    </row>
    <row r="21" customFormat="false" ht="13.5" hidden="false" customHeight="false" outlineLevel="0" collapsed="false">
      <c r="B21" s="427" t="s">
        <v>142</v>
      </c>
      <c r="C21" s="428" t="n">
        <f aca="false">SUM(C7,C11,C16,C20)</f>
        <v>255</v>
      </c>
      <c r="D21" s="429" t="n">
        <f aca="false">SUM(D7*$C7,D11*$C11,D16*$C16,D20*$C20)/$C21</f>
        <v>39.4739215686275</v>
      </c>
      <c r="E21" s="430" t="n">
        <f aca="false">SUM(E7*$C7,E11*$C11,E16*$C16,E20*$C20)/$C21</f>
        <v>40.5601960784314</v>
      </c>
      <c r="F21" s="429" t="n">
        <f aca="false">SUM(F7*$C7,F11*$C11,F16*$C16,F20*$C20)/$C21</f>
        <v>48.0676470588235</v>
      </c>
      <c r="G21" s="430" t="n">
        <f aca="false">SUM(G7*$C7,G11*$C11,G16*$C16,G20*$C20)/$C21</f>
        <v>44.7686274509804</v>
      </c>
      <c r="H21" s="429" t="n">
        <f aca="false">SUM(H7*$C7,H11*$C11,H16*$C16,H20*$C20)/$C21</f>
        <v>53.6313725490196</v>
      </c>
      <c r="I21" s="431" t="n">
        <f aca="false">SUM(I7*$C7,I11*$C11,I16*$C16,I20*$C20)/$C21</f>
        <v>58.278431372549</v>
      </c>
      <c r="J21" s="432" t="n">
        <f aca="false">+(AVERAGE(D21,E21)-AVERAGE(F21,G21))*-1</f>
        <v>6.40107843137255</v>
      </c>
      <c r="K21" s="432" t="n">
        <f aca="false">+AVERAGE(I21,H21)-AVERAGE(E21,D21)</f>
        <v>15.9378431372549</v>
      </c>
      <c r="L21" s="432" t="n">
        <f aca="false">+K21-J21</f>
        <v>9.53676470588235</v>
      </c>
      <c r="M21" s="433" t="e">
        <f aca="false">+AVERAGE(D21:E21)-AVERAGE(#REF!)</f>
        <v>#REF!</v>
      </c>
      <c r="N21" s="434" t="n">
        <f aca="false">SUM(N7,N11,N16,N20)</f>
        <v>255</v>
      </c>
      <c r="AH21" s="453"/>
    </row>
    <row r="22" customFormat="false" ht="18.75" hidden="false" customHeight="false" outlineLevel="0" collapsed="false">
      <c r="E22" s="406" t="s">
        <v>143</v>
      </c>
      <c r="H22" s="437"/>
      <c r="AH22" s="453"/>
    </row>
    <row r="23" customFormat="false" ht="21" hidden="false" customHeight="false" outlineLevel="0" collapsed="false">
      <c r="D23" s="407" t="s">
        <v>116</v>
      </c>
      <c r="E23" s="407"/>
      <c r="F23" s="408" t="s">
        <v>117</v>
      </c>
      <c r="G23" s="408"/>
      <c r="H23" s="409" t="s">
        <v>118</v>
      </c>
      <c r="I23" s="409"/>
      <c r="J23" s="410" t="s">
        <v>119</v>
      </c>
      <c r="K23" s="411" t="s">
        <v>120</v>
      </c>
      <c r="L23" s="411" t="s">
        <v>121</v>
      </c>
      <c r="M23" s="412" t="s">
        <v>144</v>
      </c>
    </row>
    <row r="24" customFormat="false" ht="12.75" hidden="false" customHeight="false" outlineLevel="0" collapsed="false">
      <c r="A24" s="0" t="n">
        <v>1</v>
      </c>
      <c r="B24" s="414" t="s">
        <v>124</v>
      </c>
      <c r="C24" s="415" t="n">
        <v>22</v>
      </c>
      <c r="D24" s="416" t="n">
        <v>39</v>
      </c>
      <c r="E24" s="456" t="n">
        <v>39</v>
      </c>
      <c r="F24" s="416" t="n">
        <v>47.25</v>
      </c>
      <c r="G24" s="456" t="n">
        <v>47.25</v>
      </c>
      <c r="H24" s="416" t="n">
        <v>56</v>
      </c>
      <c r="I24" s="417" t="n">
        <v>56</v>
      </c>
      <c r="J24" s="418" t="n">
        <f aca="false">+(AVERAGE(D24,E24)-AVERAGE(F24,G24))*-1</f>
        <v>8.25</v>
      </c>
      <c r="K24" s="418" t="n">
        <f aca="false">+AVERAGE(I24,H24)-AVERAGE(E24,D24)</f>
        <v>17</v>
      </c>
      <c r="L24" s="418" t="n">
        <f aca="false">+K24-J24</f>
        <v>8.75</v>
      </c>
      <c r="M24" s="419" t="n">
        <f aca="false">+AVERAGE(D24:E24)-AVERAGE(D3:E3)</f>
        <v>0.25</v>
      </c>
    </row>
    <row r="25" customFormat="false" ht="13.5" hidden="false" customHeight="false" outlineLevel="0" collapsed="false">
      <c r="A25" s="0" t="n">
        <v>2</v>
      </c>
      <c r="B25" s="421" t="s">
        <v>125</v>
      </c>
      <c r="C25" s="422" t="n">
        <v>20</v>
      </c>
      <c r="D25" s="423" t="n">
        <v>39</v>
      </c>
      <c r="E25" s="452" t="n">
        <v>39</v>
      </c>
      <c r="F25" s="423" t="n">
        <v>47.25</v>
      </c>
      <c r="G25" s="452" t="n">
        <v>47.25</v>
      </c>
      <c r="H25" s="423" t="n">
        <v>56</v>
      </c>
      <c r="I25" s="424" t="n">
        <v>56</v>
      </c>
      <c r="J25" s="425" t="n">
        <f aca="false">+(AVERAGE(D25,E25)-AVERAGE(F25,G25))*-1</f>
        <v>8.25</v>
      </c>
      <c r="K25" s="425" t="n">
        <f aca="false">+AVERAGE(I25,H25)-AVERAGE(E25,D25)</f>
        <v>17</v>
      </c>
      <c r="L25" s="425" t="n">
        <f aca="false">+K25-J25</f>
        <v>8.75</v>
      </c>
      <c r="M25" s="419" t="n">
        <f aca="false">+AVERAGE(D25:E25)-AVERAGE(D4:E4)</f>
        <v>0.25</v>
      </c>
    </row>
    <row r="26" customFormat="false" ht="13.5" hidden="false" customHeight="false" outlineLevel="0" collapsed="false">
      <c r="B26" s="427" t="s">
        <v>126</v>
      </c>
      <c r="C26" s="428" t="n">
        <f aca="false">SUM(C24,C25)</f>
        <v>42</v>
      </c>
      <c r="D26" s="429" t="n">
        <f aca="false">SUM(D24*$C24,D25*$C25)/$C26</f>
        <v>39</v>
      </c>
      <c r="E26" s="430" t="n">
        <f aca="false">SUM(E24*$C24,E25*$C25)/$C26</f>
        <v>39</v>
      </c>
      <c r="F26" s="429" t="n">
        <f aca="false">SUM(F24*$C24,F25*$C25)/$C26</f>
        <v>47.25</v>
      </c>
      <c r="G26" s="430" t="n">
        <f aca="false">SUM(G24*$C24,G25*$C25)/$C26</f>
        <v>47.25</v>
      </c>
      <c r="H26" s="429" t="n">
        <f aca="false">SUM(H24*$C24,H25*$C25)/$C26</f>
        <v>56</v>
      </c>
      <c r="I26" s="431" t="n">
        <f aca="false">SUM(I24*$C24,I25*$C25)/$C26</f>
        <v>56</v>
      </c>
      <c r="J26" s="432" t="n">
        <f aca="false">+(AVERAGE(D26,E26)-AVERAGE(F26,G26))*-1</f>
        <v>8.25</v>
      </c>
      <c r="K26" s="432" t="n">
        <f aca="false">+AVERAGE(I26,H26)-AVERAGE(E26,D26)</f>
        <v>17</v>
      </c>
      <c r="L26" s="432" t="n">
        <f aca="false">+K26-J26</f>
        <v>8.75</v>
      </c>
      <c r="M26" s="433" t="n">
        <f aca="false">+AVERAGE(D26:E26)-AVERAGE(D5:E5)</f>
        <v>0.25</v>
      </c>
    </row>
    <row r="27" customFormat="false" ht="13.5" hidden="false" customHeight="false" outlineLevel="0" collapsed="false">
      <c r="A27" s="0" t="n">
        <v>3</v>
      </c>
      <c r="B27" s="435" t="s">
        <v>127</v>
      </c>
      <c r="C27" s="436" t="n">
        <v>21</v>
      </c>
      <c r="D27" s="437" t="n">
        <v>33.25</v>
      </c>
      <c r="E27" s="438" t="n">
        <v>33.25</v>
      </c>
      <c r="F27" s="437" t="n">
        <v>42.25</v>
      </c>
      <c r="G27" s="438" t="n">
        <v>42.25</v>
      </c>
      <c r="H27" s="437" t="n">
        <v>48</v>
      </c>
      <c r="I27" s="439" t="n">
        <v>48</v>
      </c>
      <c r="J27" s="418" t="n">
        <f aca="false">+(AVERAGE(D27,E27)-AVERAGE(F27,G27))*-1</f>
        <v>9</v>
      </c>
      <c r="K27" s="418" t="n">
        <f aca="false">+AVERAGE(I27,H27)-AVERAGE(E27,D27)</f>
        <v>14.75</v>
      </c>
      <c r="L27" s="418" t="n">
        <f aca="false">+K27-J27</f>
        <v>5.75</v>
      </c>
      <c r="M27" s="419" t="n">
        <f aca="false">+AVERAGE(D27:E27)-AVERAGE(D6:E6)</f>
        <v>-0.899999999999999</v>
      </c>
    </row>
    <row r="28" customFormat="false" ht="13.5" hidden="false" customHeight="false" outlineLevel="0" collapsed="false">
      <c r="B28" s="427" t="s">
        <v>128</v>
      </c>
      <c r="C28" s="428" t="n">
        <f aca="false">SUM(C24,C25,C27)</f>
        <v>63</v>
      </c>
      <c r="D28" s="430" t="n">
        <f aca="false">SUM(D26*$C$5,D27*$C$6)/$C$7</f>
        <v>37.0833333333333</v>
      </c>
      <c r="E28" s="430" t="n">
        <f aca="false">SUM(E26*$C$5,E27*$C$6)/$C7</f>
        <v>37.0833333333333</v>
      </c>
      <c r="F28" s="430" t="n">
        <f aca="false">SUM(F26*$C$5,F27*$C$6)/$C$7</f>
        <v>45.5833333333333</v>
      </c>
      <c r="G28" s="430" t="n">
        <f aca="false">SUM(G26*$C$5,G27*$C$6)/$C7</f>
        <v>45.5833333333333</v>
      </c>
      <c r="H28" s="430" t="n">
        <f aca="false">SUM(H26*$C$5,H27*$C$6)/$C$7</f>
        <v>53.3333333333333</v>
      </c>
      <c r="I28" s="431" t="n">
        <f aca="false">SUM(I26*$C$5,I27*$C$6)/$C7</f>
        <v>53.3333333333333</v>
      </c>
      <c r="J28" s="432" t="n">
        <f aca="false">+(AVERAGE(D28,E28)-AVERAGE(F28,G28))*-1</f>
        <v>8.5</v>
      </c>
      <c r="K28" s="432" t="n">
        <f aca="false">+AVERAGE(I28,H28)-AVERAGE(E28,D28)</f>
        <v>16.25</v>
      </c>
      <c r="L28" s="432" t="n">
        <f aca="false">+K28-J28</f>
        <v>7.75</v>
      </c>
      <c r="M28" s="433" t="n">
        <f aca="false">+AVERAGE(D28:E28)-AVERAGE(D7:E7)</f>
        <v>-0.133333333333333</v>
      </c>
    </row>
    <row r="29" customFormat="false" ht="12.75" hidden="false" customHeight="false" outlineLevel="0" collapsed="false">
      <c r="A29" s="0" t="n">
        <v>4</v>
      </c>
      <c r="B29" s="441" t="s">
        <v>129</v>
      </c>
      <c r="C29" s="442" t="n">
        <v>22</v>
      </c>
      <c r="D29" s="443" t="n">
        <v>33.25</v>
      </c>
      <c r="E29" s="444" t="n">
        <v>33.25</v>
      </c>
      <c r="F29" s="443" t="n">
        <v>43.25</v>
      </c>
      <c r="G29" s="444" t="n">
        <v>43.25</v>
      </c>
      <c r="H29" s="443" t="n">
        <v>48</v>
      </c>
      <c r="I29" s="445" t="n">
        <v>48</v>
      </c>
      <c r="J29" s="418" t="n">
        <f aca="false">+(AVERAGE(D29,E29)-AVERAGE(F29,G29))*-1</f>
        <v>10</v>
      </c>
      <c r="K29" s="418" t="n">
        <f aca="false">+AVERAGE(I29,H29)-AVERAGE(E29,D29)</f>
        <v>14.75</v>
      </c>
      <c r="L29" s="418" t="n">
        <f aca="false">+K29-J29</f>
        <v>4.75</v>
      </c>
      <c r="M29" s="419" t="n">
        <f aca="false">+AVERAGE(D29:E29)-AVERAGE(D8:E8)</f>
        <v>-0.899999999999999</v>
      </c>
    </row>
    <row r="30" customFormat="false" ht="12.75" hidden="false" customHeight="false" outlineLevel="0" collapsed="false">
      <c r="A30" s="0" t="n">
        <v>5</v>
      </c>
      <c r="B30" s="446" t="s">
        <v>130</v>
      </c>
      <c r="C30" s="447" t="n">
        <v>22</v>
      </c>
      <c r="D30" s="448" t="n">
        <v>35</v>
      </c>
      <c r="E30" s="449" t="n">
        <v>35</v>
      </c>
      <c r="F30" s="448" t="n">
        <v>44.25</v>
      </c>
      <c r="G30" s="449" t="n">
        <v>44.25</v>
      </c>
      <c r="H30" s="448" t="n">
        <v>49</v>
      </c>
      <c r="I30" s="450" t="n">
        <v>49</v>
      </c>
      <c r="J30" s="418" t="n">
        <f aca="false">+(AVERAGE(D30,E30)-AVERAGE(F30,G30))*-1</f>
        <v>9.25</v>
      </c>
      <c r="K30" s="418" t="n">
        <f aca="false">+AVERAGE(I30,H30)-AVERAGE(E30,D30)</f>
        <v>14</v>
      </c>
      <c r="L30" s="418" t="n">
        <f aca="false">+K30-J30</f>
        <v>4.75</v>
      </c>
      <c r="M30" s="419" t="n">
        <f aca="false">+AVERAGE(D30:E30)-AVERAGE(D9:E9)</f>
        <v>-0.899999999999999</v>
      </c>
    </row>
    <row r="31" customFormat="false" ht="13.5" hidden="false" customHeight="false" outlineLevel="0" collapsed="false">
      <c r="A31" s="0" t="n">
        <v>6</v>
      </c>
      <c r="B31" s="421" t="s">
        <v>131</v>
      </c>
      <c r="C31" s="422" t="n">
        <v>20</v>
      </c>
      <c r="D31" s="423" t="n">
        <v>42</v>
      </c>
      <c r="E31" s="452" t="n">
        <v>42</v>
      </c>
      <c r="F31" s="423" t="n">
        <v>50.25</v>
      </c>
      <c r="G31" s="452" t="n">
        <v>50.25</v>
      </c>
      <c r="H31" s="423" t="n">
        <v>57</v>
      </c>
      <c r="I31" s="424" t="n">
        <v>57</v>
      </c>
      <c r="J31" s="418" t="n">
        <f aca="false">+(AVERAGE(D31,E31)-AVERAGE(F31,G31))*-1</f>
        <v>8.25</v>
      </c>
      <c r="K31" s="418" t="n">
        <f aca="false">+AVERAGE(I31,H31)-AVERAGE(E31,D31)</f>
        <v>15</v>
      </c>
      <c r="L31" s="418" t="n">
        <f aca="false">+K31-J31</f>
        <v>6.75</v>
      </c>
      <c r="M31" s="419" t="n">
        <f aca="false">+AVERAGE(D31:E31)-AVERAGE(D10:E10)</f>
        <v>-1.7</v>
      </c>
    </row>
    <row r="32" customFormat="false" ht="13.5" hidden="false" customHeight="false" outlineLevel="0" collapsed="false">
      <c r="B32" s="427" t="s">
        <v>132</v>
      </c>
      <c r="C32" s="428" t="n">
        <f aca="false">SUM(C29,C30,C31)</f>
        <v>64</v>
      </c>
      <c r="D32" s="429" t="n">
        <f aca="false">SUM(D29*$C29,D30*$C30,D31*$C31)/$C32</f>
        <v>36.5859375</v>
      </c>
      <c r="E32" s="430" t="n">
        <f aca="false">SUM(E29*$C29,E30*$C30,E31*$C31)/$C32</f>
        <v>36.5859375</v>
      </c>
      <c r="F32" s="429" t="n">
        <f aca="false">SUM(F29*$C29,F30*$C30,F31*$C31)/$C32</f>
        <v>45.78125</v>
      </c>
      <c r="G32" s="430" t="n">
        <f aca="false">SUM(G29*$C29,G30*$C30,G31*$C31)/$C32</f>
        <v>45.78125</v>
      </c>
      <c r="H32" s="429" t="n">
        <f aca="false">SUM(H29*$C29,H30*$C30,H31*$C31)/$C32</f>
        <v>51.15625</v>
      </c>
      <c r="I32" s="431" t="n">
        <f aca="false">SUM(I29*$C29,I30*$C30,I31*$C31)/$C32</f>
        <v>51.15625</v>
      </c>
      <c r="J32" s="432" t="n">
        <f aca="false">+(AVERAGE(D32,E32)-AVERAGE(F32,G32))*-1</f>
        <v>9.1953125</v>
      </c>
      <c r="K32" s="432" t="n">
        <f aca="false">+AVERAGE(I32,H32)-AVERAGE(E32,D32)</f>
        <v>14.5703125</v>
      </c>
      <c r="L32" s="432" t="n">
        <f aca="false">+K32-J32</f>
        <v>5.375</v>
      </c>
      <c r="M32" s="433" t="n">
        <f aca="false">+AVERAGE(D32:E32)-AVERAGE(D11:E11)</f>
        <v>-1.15</v>
      </c>
    </row>
    <row r="33" customFormat="false" ht="12.75" hidden="false" customHeight="false" outlineLevel="0" collapsed="false">
      <c r="A33" s="0" t="n">
        <v>7</v>
      </c>
      <c r="B33" s="441" t="s">
        <v>133</v>
      </c>
      <c r="C33" s="442" t="n">
        <v>22</v>
      </c>
      <c r="D33" s="443" t="n">
        <v>58</v>
      </c>
      <c r="E33" s="444" t="n">
        <v>58</v>
      </c>
      <c r="F33" s="443" t="n">
        <v>70</v>
      </c>
      <c r="G33" s="444" t="n">
        <v>70</v>
      </c>
      <c r="H33" s="443" t="n">
        <v>87</v>
      </c>
      <c r="I33" s="445" t="n">
        <v>87</v>
      </c>
      <c r="J33" s="418" t="n">
        <f aca="false">+(AVERAGE(D33,E33)-AVERAGE(F33,G33))*-1</f>
        <v>12</v>
      </c>
      <c r="K33" s="418" t="n">
        <f aca="false">+AVERAGE(I33,H33)-AVERAGE(E33,D33)</f>
        <v>29</v>
      </c>
      <c r="L33" s="418" t="n">
        <f aca="false">+K33-J33</f>
        <v>17</v>
      </c>
      <c r="M33" s="419" t="n">
        <f aca="false">+AVERAGE(D33:E33)-AVERAGE(D12:E12)</f>
        <v>0.5</v>
      </c>
    </row>
    <row r="34" customFormat="false" ht="13.5" hidden="false" customHeight="false" outlineLevel="0" collapsed="false">
      <c r="A34" s="0" t="n">
        <v>8</v>
      </c>
      <c r="B34" s="421" t="s">
        <v>134</v>
      </c>
      <c r="C34" s="422" t="n">
        <v>23</v>
      </c>
      <c r="D34" s="423" t="n">
        <v>58</v>
      </c>
      <c r="E34" s="452" t="n">
        <v>58</v>
      </c>
      <c r="F34" s="423" t="n">
        <v>70</v>
      </c>
      <c r="G34" s="452" t="n">
        <v>70</v>
      </c>
      <c r="H34" s="423" t="n">
        <v>87</v>
      </c>
      <c r="I34" s="424" t="n">
        <v>87</v>
      </c>
      <c r="J34" s="418" t="n">
        <f aca="false">+(AVERAGE(D34,E34)-AVERAGE(F34,G34))*-1</f>
        <v>12</v>
      </c>
      <c r="K34" s="418" t="n">
        <f aca="false">+AVERAGE(I34,H34)-AVERAGE(E34,D34)</f>
        <v>29</v>
      </c>
      <c r="L34" s="418" t="n">
        <f aca="false">+K34-J34</f>
        <v>17</v>
      </c>
      <c r="M34" s="419" t="n">
        <f aca="false">+AVERAGE(D34:E34)-AVERAGE(D13:E13)</f>
        <v>0.5</v>
      </c>
    </row>
    <row r="35" customFormat="false" ht="13.5" hidden="false" customHeight="false" outlineLevel="0" collapsed="false">
      <c r="B35" s="427" t="s">
        <v>135</v>
      </c>
      <c r="C35" s="428" t="n">
        <f aca="false">SUM(C33,C34)</f>
        <v>45</v>
      </c>
      <c r="D35" s="429" t="n">
        <f aca="false">SUM(D33*$C33,D34*$C34)/$C35</f>
        <v>58</v>
      </c>
      <c r="E35" s="430" t="n">
        <f aca="false">SUM(E33*$C33,E34*$C34)/$C35</f>
        <v>58</v>
      </c>
      <c r="F35" s="429" t="n">
        <f aca="false">SUM(F33*$C33,F34*$C34)/$C35</f>
        <v>70</v>
      </c>
      <c r="G35" s="430" t="n">
        <f aca="false">SUM(G33*$C33,G34*$C34)/$C35</f>
        <v>70</v>
      </c>
      <c r="H35" s="429" t="n">
        <f aca="false">SUM(H33*$C33,H34*$C34)/$C35</f>
        <v>87</v>
      </c>
      <c r="I35" s="431" t="n">
        <f aca="false">SUM(I33*$C33,I34*$C34)/$C35</f>
        <v>87</v>
      </c>
      <c r="J35" s="432" t="n">
        <f aca="false">+(AVERAGE(D35,E35)-AVERAGE(F35,G35))*-1</f>
        <v>12</v>
      </c>
      <c r="K35" s="432" t="n">
        <f aca="false">+AVERAGE(I35,H35)-AVERAGE(E35,D35)</f>
        <v>29</v>
      </c>
      <c r="L35" s="432" t="n">
        <f aca="false">+K35-J35</f>
        <v>17</v>
      </c>
      <c r="M35" s="433" t="n">
        <f aca="false">+AVERAGE(D35:E35)-AVERAGE(D14:E14)</f>
        <v>0.5</v>
      </c>
    </row>
    <row r="36" customFormat="false" ht="13.5" hidden="false" customHeight="false" outlineLevel="0" collapsed="false">
      <c r="A36" s="0" t="n">
        <v>9</v>
      </c>
      <c r="B36" s="435" t="s">
        <v>136</v>
      </c>
      <c r="C36" s="436" t="n">
        <v>20</v>
      </c>
      <c r="D36" s="437" t="n">
        <v>34</v>
      </c>
      <c r="E36" s="438" t="n">
        <v>34</v>
      </c>
      <c r="F36" s="437" t="n">
        <v>47</v>
      </c>
      <c r="G36" s="438" t="n">
        <v>47</v>
      </c>
      <c r="H36" s="437" t="n">
        <v>52</v>
      </c>
      <c r="I36" s="439" t="n">
        <v>52</v>
      </c>
      <c r="J36" s="418" t="n">
        <f aca="false">+(AVERAGE(D36,E36)-AVERAGE(F36,G36))*-1</f>
        <v>13</v>
      </c>
      <c r="K36" s="418" t="n">
        <f aca="false">+AVERAGE(I36,H36)-AVERAGE(E36,D36)</f>
        <v>18</v>
      </c>
      <c r="L36" s="418" t="n">
        <f aca="false">+K36-J36</f>
        <v>5</v>
      </c>
      <c r="M36" s="419" t="n">
        <f aca="false">+AVERAGE(D36:E36)-AVERAGE(D15:E15)</f>
        <v>-0.850000000000001</v>
      </c>
    </row>
    <row r="37" customFormat="false" ht="13.5" hidden="false" customHeight="false" outlineLevel="0" collapsed="false">
      <c r="B37" s="427" t="s">
        <v>137</v>
      </c>
      <c r="C37" s="428" t="n">
        <f aca="false">SUM(C35,C36)</f>
        <v>65</v>
      </c>
      <c r="D37" s="429" t="n">
        <f aca="false">SUM(D35*$C35,D36*$C36)/$C37</f>
        <v>50.6153846153846</v>
      </c>
      <c r="E37" s="430" t="n">
        <f aca="false">SUM(E35*$C35,E36*$C36)/$C37</f>
        <v>50.6153846153846</v>
      </c>
      <c r="F37" s="429" t="n">
        <f aca="false">SUM(F35*$C35,F36*$C36)/$C37</f>
        <v>62.9230769230769</v>
      </c>
      <c r="G37" s="430" t="n">
        <f aca="false">SUM(G35*$C35,G36*$C36)/$C37</f>
        <v>62.9230769230769</v>
      </c>
      <c r="H37" s="429" t="n">
        <f aca="false">SUM(H35*$C35,H36*$C36)/$C37</f>
        <v>76.2307692307692</v>
      </c>
      <c r="I37" s="431" t="n">
        <f aca="false">SUM(I35*$C35,I36*$C36)/$C37</f>
        <v>76.2307692307692</v>
      </c>
      <c r="J37" s="432" t="n">
        <f aca="false">+(AVERAGE(D37,E37)-AVERAGE(F37,G37))*-1</f>
        <v>12.3076923076923</v>
      </c>
      <c r="K37" s="432" t="n">
        <f aca="false">+AVERAGE(I37,H37)-AVERAGE(E37,D37)</f>
        <v>25.6153846153846</v>
      </c>
      <c r="L37" s="432" t="n">
        <f aca="false">+K37-J37</f>
        <v>13.3076923076923</v>
      </c>
      <c r="M37" s="433" t="n">
        <f aca="false">+AVERAGE(D37:E37)-AVERAGE(D16:E16)</f>
        <v>0.193509615384613</v>
      </c>
    </row>
    <row r="38" customFormat="false" ht="12.75" hidden="false" customHeight="false" outlineLevel="0" collapsed="false">
      <c r="A38" s="0" t="n">
        <v>10</v>
      </c>
      <c r="B38" s="441" t="s">
        <v>138</v>
      </c>
      <c r="C38" s="442" t="n">
        <v>23</v>
      </c>
      <c r="D38" s="443" t="n">
        <v>33.5</v>
      </c>
      <c r="E38" s="444" t="n">
        <v>33.5</v>
      </c>
      <c r="F38" s="443" t="n">
        <v>42</v>
      </c>
      <c r="G38" s="444" t="n">
        <v>42</v>
      </c>
      <c r="H38" s="443" t="n">
        <v>50</v>
      </c>
      <c r="I38" s="445" t="n">
        <v>50</v>
      </c>
      <c r="J38" s="418" t="n">
        <f aca="false">+(AVERAGE(D38,E38)-AVERAGE(F38,G38))*-1</f>
        <v>8.5</v>
      </c>
      <c r="K38" s="418" t="n">
        <f aca="false">+AVERAGE(I38,H38)-AVERAGE(E38,D38)</f>
        <v>16.5</v>
      </c>
      <c r="L38" s="418" t="n">
        <f aca="false">+K38-J38</f>
        <v>8</v>
      </c>
      <c r="M38" s="419" t="n">
        <f aca="false">+AVERAGE(D38:E38)-AVERAGE(D17:E17)</f>
        <v>-1.15</v>
      </c>
    </row>
    <row r="39" customFormat="false" ht="12.75" hidden="false" customHeight="false" outlineLevel="0" collapsed="false">
      <c r="A39" s="0" t="n">
        <v>11</v>
      </c>
      <c r="B39" s="446" t="s">
        <v>139</v>
      </c>
      <c r="C39" s="447" t="n">
        <v>20</v>
      </c>
      <c r="D39" s="448" t="n">
        <v>33.5</v>
      </c>
      <c r="E39" s="449" t="n">
        <v>33.5</v>
      </c>
      <c r="F39" s="448" t="n">
        <v>42</v>
      </c>
      <c r="G39" s="449" t="n">
        <v>42</v>
      </c>
      <c r="H39" s="448" t="n">
        <v>50</v>
      </c>
      <c r="I39" s="450" t="n">
        <v>50</v>
      </c>
      <c r="J39" s="418" t="n">
        <f aca="false">+(AVERAGE(D39,E39)-AVERAGE(F39,G39))*-1</f>
        <v>8.5</v>
      </c>
      <c r="K39" s="418" t="n">
        <f aca="false">+AVERAGE(I39,H39)-AVERAGE(E39,D39)</f>
        <v>16.5</v>
      </c>
      <c r="L39" s="418" t="n">
        <f aca="false">+K39-J39</f>
        <v>8</v>
      </c>
      <c r="M39" s="419" t="n">
        <f aca="false">+AVERAGE(D39:E39)-AVERAGE(D18:E18)</f>
        <v>-1.15</v>
      </c>
    </row>
    <row r="40" customFormat="false" ht="13.5" hidden="false" customHeight="false" outlineLevel="0" collapsed="false">
      <c r="A40" s="0" t="n">
        <v>12</v>
      </c>
      <c r="B40" s="421" t="s">
        <v>140</v>
      </c>
      <c r="C40" s="422" t="n">
        <v>21</v>
      </c>
      <c r="D40" s="423" t="n">
        <v>33.5</v>
      </c>
      <c r="E40" s="452" t="n">
        <v>33.5</v>
      </c>
      <c r="F40" s="423" t="n">
        <v>42</v>
      </c>
      <c r="G40" s="452" t="n">
        <v>42</v>
      </c>
      <c r="H40" s="423" t="n">
        <v>50</v>
      </c>
      <c r="I40" s="424" t="n">
        <v>50</v>
      </c>
      <c r="J40" s="418" t="n">
        <f aca="false">+(AVERAGE(D40,E40)-AVERAGE(F40,G40))*-1</f>
        <v>8.5</v>
      </c>
      <c r="K40" s="418" t="n">
        <f aca="false">+AVERAGE(I40,H40)-AVERAGE(E40,D40)</f>
        <v>16.5</v>
      </c>
      <c r="L40" s="418" t="n">
        <f aca="false">+K40-J40</f>
        <v>8</v>
      </c>
      <c r="M40" s="419" t="n">
        <f aca="false">+AVERAGE(D40:E40)-AVERAGE(D19:E19)</f>
        <v>-1.15</v>
      </c>
    </row>
    <row r="41" customFormat="false" ht="13.5" hidden="false" customHeight="false" outlineLevel="0" collapsed="false">
      <c r="B41" s="427" t="s">
        <v>141</v>
      </c>
      <c r="C41" s="428" t="n">
        <f aca="false">SUM(C38,C39,C40)</f>
        <v>64</v>
      </c>
      <c r="D41" s="429" t="n">
        <f aca="false">SUM(D38*$C38,D39*$C39,D40*$C40)/$C41</f>
        <v>33.5</v>
      </c>
      <c r="E41" s="454" t="n">
        <f aca="false">SUM(E38*$C38,E39*$C39,E40*$C40)/$C41</f>
        <v>33.5</v>
      </c>
      <c r="F41" s="429" t="n">
        <f aca="false">SUM(F38*$C38,F39*$C39,F40*$C40)/$C41</f>
        <v>42</v>
      </c>
      <c r="G41" s="454" t="n">
        <f aca="false">SUM(G38*$C38,G39*$C39,G40*$C40)/$C41</f>
        <v>42</v>
      </c>
      <c r="H41" s="429" t="n">
        <f aca="false">SUM(H38*$C38,H39*$C39,H40*$C40)/$C41</f>
        <v>50</v>
      </c>
      <c r="I41" s="455" t="n">
        <f aca="false">SUM(I38*$C38,I39*$C39,I40*$C40)/$C41</f>
        <v>50</v>
      </c>
      <c r="J41" s="432" t="n">
        <f aca="false">+(AVERAGE(D41,E41)-AVERAGE(F41,G41))*-1</f>
        <v>8.5</v>
      </c>
      <c r="K41" s="432" t="n">
        <f aca="false">+AVERAGE(I41,H41)-AVERAGE(E41,D41)</f>
        <v>16.5</v>
      </c>
      <c r="L41" s="432" t="n">
        <f aca="false">+K41-J41</f>
        <v>8</v>
      </c>
      <c r="M41" s="433" t="n">
        <f aca="false">+AVERAGE(D41:E41)-AVERAGE(D20:E20)</f>
        <v>-1.15</v>
      </c>
    </row>
    <row r="42" customFormat="false" ht="13.5" hidden="false" customHeight="false" outlineLevel="0" collapsed="false">
      <c r="B42" s="427" t="s">
        <v>145</v>
      </c>
      <c r="C42" s="428" t="n">
        <f aca="false">SUM(C28,C32,C37,C41)</f>
        <v>256</v>
      </c>
      <c r="D42" s="429" t="n">
        <f aca="false">SUM(D28*$C28,D32*$C32,D37*$C37,D41*$C41)/$C42</f>
        <v>39.4990234375</v>
      </c>
      <c r="E42" s="430" t="n">
        <f aca="false">SUM(E28*$C28,E32*$C32,E37*$C37,E41*$C41)/$C42</f>
        <v>39.4990234375</v>
      </c>
      <c r="F42" s="429" t="n">
        <f aca="false">SUM(F28*$C28,F32*$C32,F37*$C37,F41*$C41)/$C42</f>
        <v>49.1396484375</v>
      </c>
      <c r="G42" s="430" t="n">
        <f aca="false">SUM(G28*$C28,G32*$C32,G37*$C37,G41*$C41)/$C42</f>
        <v>49.1396484375</v>
      </c>
      <c r="H42" s="429" t="n">
        <f aca="false">SUM(H28*$C28,H32*$C32,H37*$C37,H41*$C41)/$C42</f>
        <v>57.76953125</v>
      </c>
      <c r="I42" s="431" t="n">
        <f aca="false">SUM(I28*$C28,I32*$C32,I37*$C37,I41*$C41)/$C42</f>
        <v>57.76953125</v>
      </c>
      <c r="J42" s="432" t="n">
        <f aca="false">+(AVERAGE(D42,E42)-AVERAGE(F42,G42))*-1</f>
        <v>9.640625</v>
      </c>
      <c r="K42" s="432" t="n">
        <f aca="false">+AVERAGE(I42,H42)-AVERAGE(E42,D42)</f>
        <v>18.2705078125</v>
      </c>
      <c r="L42" s="432" t="n">
        <f aca="false">+K42-J42</f>
        <v>8.6298828125</v>
      </c>
      <c r="M42" s="433" t="n">
        <f aca="false">+AVERAGE(D42:E42)-AVERAGE(D21:E21)</f>
        <v>-0.518035386029411</v>
      </c>
    </row>
  </sheetData>
  <mergeCells count="6">
    <mergeCell ref="D2:E2"/>
    <mergeCell ref="F2:G2"/>
    <mergeCell ref="H2:I2"/>
    <mergeCell ref="D23:E23"/>
    <mergeCell ref="F23:G23"/>
    <mergeCell ref="H23:I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1999-12-21T19:37:16Z</dcterms:created>
  <dc:creator>Stacey W. White</dc:creator>
  <dc:description/>
  <dc:language>en-US</dc:language>
  <cp:lastModifiedBy>ggupta</cp:lastModifiedBy>
  <cp:lastPrinted>2001-08-15T16:40:20Z</cp:lastPrinted>
  <dcterms:modified xsi:type="dcterms:W3CDTF">2001-09-03T16:56:32Z</dcterms:modified>
  <cp:revision>0</cp:revision>
  <dc:subject/>
  <dc:title>ISO New England - Markets Hourly Clearing Prices</dc:title>
</cp:coreProperties>
</file>