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laination about this model" sheetId="1" state="visible" r:id="rId3"/>
    <sheet name="Assumptions" sheetId="2" state="visible" r:id="rId4"/>
    <sheet name="Summary" sheetId="3" state="hidden" r:id="rId5"/>
    <sheet name="Lev. Consolid" sheetId="4" state="hidden" r:id="rId6"/>
    <sheet name="Unlev. Consolid" sheetId="5" state="visible" r:id="rId7"/>
    <sheet name="Asset 1" sheetId="6" state="visible" r:id="rId8"/>
    <sheet name="Asset 2" sheetId="7" state="hidden" r:id="rId9"/>
    <sheet name="Asset 3" sheetId="8" state="hidden" r:id="rId10"/>
    <sheet name="Cons. BS" sheetId="9" state="hidden" r:id="rId11"/>
  </sheets>
  <externalReferences>
    <externalReference r:id="rId12"/>
    <externalReference r:id="rId13"/>
    <externalReference r:id="rId14"/>
    <externalReference r:id="rId15"/>
  </externalReferences>
  <definedNames>
    <definedName function="false" hidden="false" name="AACFHDRCOL" vbProcedure="false">[1]JuneYTD!$BG$80</definedName>
    <definedName function="false" hidden="false" name="AACFHDRROW" vbProcedure="false">[1]JuneYTD!$BG$80</definedName>
    <definedName function="false" hidden="false" name="AACFWKS" vbProcedure="false">[1]JuneYTD!$BG$80</definedName>
    <definedName function="false" hidden="false" name="AACFWKS1" vbProcedure="false">[1]JuneYTD!$BG$80</definedName>
    <definedName function="false" hidden="false" name="AACFWKS2" vbProcedure="false">[1]JuneYTD!$BG$80</definedName>
    <definedName function="false" hidden="false" name="AAWSSIDEWAYS" vbProcedure="false">[1]JuneYTD!$BG$80</definedName>
    <definedName function="false" hidden="false" name="ADJUSTMENTS" vbProcedure="false">[1]JuneYTD!$BG$80</definedName>
    <definedName function="false" hidden="false" name="AgLoop" vbProcedure="false">[2]Agave!$J$50</definedName>
    <definedName function="false" hidden="false" name="AgPurPrice" vbProcedure="false">[2]Agave!$K$50</definedName>
    <definedName function="false" hidden="false" name="ArkDRate" vbProcedure="false">#REF!</definedName>
    <definedName function="false" hidden="false" name="ArkLoop" vbProcedure="false">#REF!</definedName>
    <definedName function="false" hidden="false" name="ArkNPVPrice" vbProcedure="false">#REF!</definedName>
    <definedName function="false" hidden="false" name="ArkPurPrice" vbProcedure="false">#REF!</definedName>
    <definedName function="false" hidden="false" name="ARLoop" vbProcedure="false">'[4]Antelope Ridge'!$J$73</definedName>
    <definedName function="false" hidden="false" name="ARPurPrice" vbProcedure="false">'[4]Antelope Ridge'!$K$73</definedName>
    <definedName function="false" hidden="false" name="Asset1Drate" vbProcedure="false">'Asset 1'!$L$34</definedName>
    <definedName function="false" hidden="false" name="Asset1Loop" vbProcedure="false">'Asset 1'!$F$36</definedName>
    <definedName function="false" hidden="false" name="Asset1NPVPrice" vbProcedure="false">'Asset 1'!$L$36</definedName>
    <definedName function="false" hidden="false" name="Asset1PurPrice" vbProcedure="false">'Asset 1'!$G$36</definedName>
    <definedName function="false" hidden="false" name="ASSETS" vbProcedure="false">[1]JuneYTD!$BG$80</definedName>
    <definedName function="false" hidden="false" name="AWAACF" vbProcedure="false">[1]JuneYTD!$BG$80</definedName>
    <definedName function="false" hidden="false" name="AWBALSHT" vbProcedure="false">[1]JuneYTD!$BG$80</definedName>
    <definedName function="false" hidden="false" name="AWCFWKS" vbProcedure="false">[1]JuneYTD!$BG$80</definedName>
    <definedName function="false" hidden="false" name="AWGRPCF" vbProcedure="false">[1]JuneYTD!$BG$80</definedName>
    <definedName function="false" hidden="false" name="AWGRPCF_BRDR" vbProcedure="false">[1]JuneYTD!$BG$80</definedName>
    <definedName function="false" hidden="false" name="BALSHT" vbProcedure="false">[1]JuneYTD!$BG$80</definedName>
    <definedName function="false" hidden="false" name="BB" vbProcedure="false">[1]JuneYTD!$BG$80</definedName>
    <definedName function="false" hidden="false" name="BBK" vbProcedure="false">[1]JuneYTD!$BG$80</definedName>
    <definedName function="false" hidden="false" name="BBK1" vbProcedure="false">[1]JuneYTD!$BG$80</definedName>
    <definedName function="false" hidden="false" name="BBTITLE" vbProcedure="false">[1]JuneYTD!$BG$80</definedName>
    <definedName function="false" hidden="false" name="BLANK" vbProcedure="false">[1]JuneYTD!$BG$80</definedName>
    <definedName function="false" hidden="false" name="BLANK1" vbProcedure="false">[1]JuneYTD!$BG$80</definedName>
    <definedName function="false" hidden="false" name="BORDERC" vbProcedure="false">[1]JuneYTD!$BG$80</definedName>
    <definedName function="false" hidden="false" name="BORDERC1" vbProcedure="false">[1]JuneYTD!$BG$80</definedName>
    <definedName function="false" hidden="false" name="BORDERCAAWP" vbProcedure="false">[1]JuneYTD!$BG$80</definedName>
    <definedName function="false" hidden="false" name="BORDERNONCUR" vbProcedure="false">[1]JuneYTD!$BG$80</definedName>
    <definedName function="false" hidden="false" name="BORDERR" vbProcedure="false">[1]JuneYTD!$BG$80</definedName>
    <definedName function="false" hidden="false" name="BORDERR1" vbProcedure="false">[1]JuneYTD!$BG$80</definedName>
    <definedName function="false" hidden="false" name="BORDERRAAWP" vbProcedure="false">[1]JuneYTD!$BG$80</definedName>
    <definedName function="false" hidden="false" name="BORDERRWWAP" vbProcedure="false">[1]JuneYTD!$BG$80</definedName>
    <definedName function="false" hidden="false" name="BSTITLE" vbProcedure="false">[1]JuneYTD!$BG$80</definedName>
    <definedName function="false" hidden="false" name="BSTITLE1" vbProcedure="false">[1]JuneYTD!$BG$80</definedName>
    <definedName function="false" hidden="false" name="BS_TitleRow" vbProcedure="false">[1]JuneYTD!$BG$80</definedName>
    <definedName function="false" hidden="false" name="CASHFLOW" vbProcedure="false">[1]JuneYTD!$BG$80</definedName>
    <definedName function="false" hidden="false" name="CASHFLOW1" vbProcedure="false">[1]JuneYTD!$BG$80</definedName>
    <definedName function="false" hidden="false" name="CATEGORY" vbProcedure="false">[1]JuneYTD!$BG$80</definedName>
    <definedName function="false" hidden="false" name="CATEGORY2" vbProcedure="false">[1]JuneYTD!$BG$80</definedName>
    <definedName function="false" hidden="false" name="CDRate" vbProcedure="false">'Unlev. Consolid'!$N$53</definedName>
    <definedName function="false" hidden="false" name="CF" vbProcedure="false">[1]JuneYTD!$BG$80</definedName>
    <definedName function="false" hidden="false" name="CFTITLE" vbProcedure="false">[1]JuneYTD!$BG$80</definedName>
    <definedName function="false" hidden="false" name="CFTITLE1" vbProcedure="false">[1]JuneYTD!$BG$80</definedName>
    <definedName function="false" hidden="false" name="CF_WKS_TitleRow" vbProcedure="false">[1]JuneYTD!$BG$80</definedName>
    <definedName function="false" hidden="false" name="CHGNONCUR" vbProcedure="false">[1]JuneYTD!$BG$80</definedName>
    <definedName function="false" hidden="false" name="CLoop" vbProcedure="false">'Unlev. Consolid'!$I$55</definedName>
    <definedName function="false" hidden="false" name="CM" vbProcedure="false">[1]JuneYTD!$BG$80</definedName>
    <definedName function="false" hidden="false" name="CNPVPrice" vbProcedure="false">'Unlev. Consolid'!$N$55</definedName>
    <definedName function="false" hidden="false" name="ConsDRate" vbProcedure="false">Assumptions!$D$21</definedName>
    <definedName function="false" hidden="false" name="CPurPrice" vbProcedure="false">'Unlev. Consolid'!$J$55</definedName>
    <definedName function="false" hidden="false" name="CurrentGasPrice" vbProcedure="false">#REF!</definedName>
    <definedName function="false" hidden="false" name="DATE1" vbProcedure="false">[1]JuneYTD!$BG$80</definedName>
    <definedName function="false" hidden="false" name="DATE2" vbProcedure="false">[1]JuneYTD!$BG$80</definedName>
    <definedName function="false" hidden="false" name="DATE3" vbProcedure="false">[1]JuneYTD!$BG$80</definedName>
    <definedName function="false" hidden="false" name="DATE4" vbProcedure="false">[1]JuneYTD!$BG$80</definedName>
    <definedName function="false" hidden="false" name="DATEPRYR" vbProcedure="false">[1]JuneYTD!$BG$80</definedName>
    <definedName function="false" hidden="false" name="DESC" vbProcedure="false">[1]JuneYTD!$BG$80</definedName>
    <definedName function="false" hidden="false" name="ELoop" vbProcedure="false">[2]Enron!$J$50</definedName>
    <definedName function="false" hidden="false" name="EPurPrice" vbProcedure="false">[2]Enron!$K$50</definedName>
    <definedName function="false" hidden="false" name="FSDRate" vbProcedure="false">#REF!</definedName>
    <definedName function="false" hidden="false" name="FSLoop" vbProcedure="false">#REF!</definedName>
    <definedName function="false" hidden="false" name="FSNPVPrice" vbProcedure="false">#REF!</definedName>
    <definedName function="false" hidden="false" name="FSPurPrice" vbProcedure="false">#REF!</definedName>
    <definedName function="false" hidden="false" name="GROUP" vbProcedure="false">[1]JuneYTD!$BG$80</definedName>
    <definedName function="false" hidden="false" name="GROUPYTD" vbProcedure="false">[1]JuneYTD!$BG$80</definedName>
    <definedName function="false" hidden="false" name="GrpPrtRng" vbProcedure="false">[1]JuneYTD!$BG$80</definedName>
    <definedName function="false" hidden="false" name="GRPTITLE" vbProcedure="false">[1]JuneYTD!$BG$80</definedName>
    <definedName function="false" hidden="false" name="GRPTITLE1" vbProcedure="false">[1]JuneYTD!$BG$80</definedName>
    <definedName function="false" hidden="false" name="GRPTITLE2" vbProcedure="false">[1]JuneYTD!$BG$80</definedName>
    <definedName function="false" hidden="false" name="GrpTitleCol" vbProcedure="false">[1]JuneYTD!$BG$80</definedName>
    <definedName function="false" hidden="false" name="GWLoop" vbProcedure="false">#REF!</definedName>
    <definedName function="false" hidden="false" name="HoLoop" vbProcedure="false">[4]Hobbs!$J$73</definedName>
    <definedName function="false" hidden="false" name="LIABILITIES" vbProcedure="false">[1]JuneYTD!$BG$80</definedName>
    <definedName function="false" hidden="false" name="LlLoop" vbProcedure="false">[4]Llano!$J$73</definedName>
    <definedName function="false" hidden="false" name="LlPurPrice" vbProcedure="false">[4]Llano!$K$73</definedName>
    <definedName function="false" hidden="false" name="MethDRate" vbProcedure="false">'Asset 2'!$L$32</definedName>
    <definedName function="false" hidden="false" name="MethLoop" vbProcedure="false">'Asset 2'!$F$34</definedName>
    <definedName function="false" hidden="false" name="MethNPVPrice" vbProcedure="false">'Asset 2'!$L$34</definedName>
    <definedName function="false" hidden="false" name="MethPurPrice" vbProcedure="false">'Asset 2'!$G$34</definedName>
    <definedName function="false" hidden="false" name="MinneDRate" vbProcedure="false">#REF!</definedName>
    <definedName function="false" hidden="false" name="MinneLoop" vbProcedure="false">#REF!</definedName>
    <definedName function="false" hidden="false" name="MinneNPVPrice" vbProcedure="false">#REF!</definedName>
    <definedName function="false" hidden="false" name="MinneNPVRate" vbProcedure="false">#REF!</definedName>
    <definedName function="false" hidden="false" name="MinPurPrice" vbProcedure="false">#REF!</definedName>
    <definedName function="false" hidden="false" name="NAME1" vbProcedure="false">[1]JuneYTD!$BG$80</definedName>
    <definedName function="false" hidden="false" name="OBLDRate" vbProcedure="false">'Asset 3'!$L$32</definedName>
    <definedName function="false" hidden="false" name="OBLLoop" vbProcedure="false">'Asset 3'!$F$34</definedName>
    <definedName function="false" hidden="false" name="OBLNPVPrice" vbProcedure="false">'Asset 3'!$L$34</definedName>
    <definedName function="false" hidden="false" name="OBLPurPrice" vbProcedure="false">'Asset 3'!$G$34</definedName>
    <definedName function="false" hidden="false" name="OLoop" vbProcedure="false">[2]Orphans!$J$48</definedName>
    <definedName function="false" hidden="false" name="OPurPrice" vbProcedure="false">[2]Orphans!$K$48</definedName>
    <definedName function="false" hidden="false" name="OTHERBORDER" vbProcedure="false">[1]JuneYTD!$BG$80</definedName>
    <definedName function="false" hidden="false" name="OTHERNC" vbProcedure="false">[1]JuneYTD!$BG$80</definedName>
    <definedName function="false" hidden="false" name="OTHERTITLES" vbProcedure="false">[1]JuneYTD!$BG$80</definedName>
    <definedName function="false" hidden="false" name="OtLoop" vbProcedure="false">[4]Other!$J$73</definedName>
    <definedName function="false" hidden="false" name="OtPurPrice" vbProcedure="false">[4]Other!$K$73</definedName>
    <definedName function="false" hidden="false" name="Print_Area_MI" vbProcedure="false">[1]JuneYTD!$BG$80</definedName>
    <definedName function="false" hidden="false" name="Print_Titles_MI" vbProcedure="false">[1]JuneYTD!$BG$80,[1]JuneYTD!B$28417</definedName>
    <definedName function="false" hidden="false" name="PRIORBB" vbProcedure="false">[1]JuneYTD!$BG$80</definedName>
    <definedName function="false" hidden="false" name="PRT_RNG_AA" vbProcedure="false">[1]JuneYTD!$BG$80</definedName>
    <definedName function="false" hidden="false" name="PTDRate" vbProcedure="false">'[3]Power Tex'!$O$71</definedName>
    <definedName function="false" hidden="false" name="PTLoop" vbProcedure="false">'[3]Power Tex'!$J$73</definedName>
    <definedName function="false" hidden="false" name="PTPurPrice" vbProcedure="false">'[3]Power Tex'!$K$73</definedName>
    <definedName function="false" hidden="false" name="REPORT" vbProcedure="false">[1]JuneYTD!$BG$80</definedName>
    <definedName function="false" hidden="false" name="RTLoop" vbProcedure="false">'[4]Reg Trans (311)'!$J$73</definedName>
    <definedName function="false" hidden="false" name="RTPurPrice" vbProcedure="false">'[4]Reg Trans (311)'!$K$73</definedName>
    <definedName function="false" hidden="false" name="SRLoop" vbProcedure="false">'[4]Sale Ranch'!$J$73</definedName>
    <definedName function="false" hidden="false" name="SRPurPrice" vbProcedure="false">'[4]Sale Ranch'!$K$73</definedName>
    <definedName function="false" hidden="false" name="StLoop" vbProcedure="false">[4]Storage!$J$73</definedName>
    <definedName function="false" hidden="false" name="StPurPrice" vbProcedure="false">[4]Storage!$K$73</definedName>
    <definedName function="false" hidden="false" name="TaxRate" vbProcedure="false">[2]CONSOLIDATED!$B$30</definedName>
    <definedName function="false" hidden="false" name="Titles_Rptg_Grp_Wks" vbProcedure="false">[1]JuneYTD!$BG$80</definedName>
    <definedName function="false" hidden="false" name="UCMLPEquity" vbProcedure="false">#REF!</definedName>
    <definedName function="false" hidden="false" name="UCMLPLoop" vbProcedure="false">#REF!</definedName>
    <definedName function="false" hidden="false" name="UCMLPNPV" vbProcedure="false">#REF!</definedName>
    <definedName function="false" hidden="false" name="YTDBB" vbProcedure="false">[1]JuneYTD!$BG$80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1" authorId="0">
      <text>
        <r>
          <rPr>
            <sz val="8"/>
            <color rgb="FF000000"/>
            <rFont val="Tahoma"/>
            <family val="0"/>
          </rPr>
          <t xml:space="preserve">Yuan:
The Purchase Price is assumed as the depreciation basis.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39</xdr:row>
                <xdr:rowOff>7</xdr:rowOff>
              </xdr:from>
              <xdr:to>
                <xdr:col>5</xdr:col>
                <xdr:colOff>48</xdr:colOff>
                <xdr:row>43</xdr:row>
                <xdr:rowOff>9</xdr:rowOff>
              </xdr:to>
            </anchor>
          </commentPr>
        </mc:Choice>
        <mc:Fallback/>
      </mc:AlternateContent>
    </comment>
    <comment ref="K52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</xdr:colOff>
                <xdr:row>49</xdr:row>
                <xdr:rowOff>9</xdr:rowOff>
              </xdr:from>
              <xdr:to>
                <xdr:col>12</xdr:col>
                <xdr:colOff>26</xdr:colOff>
                <xdr:row>53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13</xdr:row>
                <xdr:rowOff>11</xdr:rowOff>
              </xdr:from>
              <xdr:to>
                <xdr:col>2</xdr:col>
                <xdr:colOff>20</xdr:colOff>
                <xdr:row>17</xdr:row>
                <xdr:rowOff>17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17</xdr:row>
                <xdr:rowOff>11</xdr:rowOff>
              </xdr:from>
              <xdr:to>
                <xdr:col>1</xdr:col>
                <xdr:colOff>92</xdr:colOff>
                <xdr:row>22</xdr:row>
                <xdr:rowOff>8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25</xdr:row>
                <xdr:rowOff>11</xdr:rowOff>
              </xdr:from>
              <xdr:to>
                <xdr:col>1</xdr:col>
                <xdr:colOff>92</xdr:colOff>
                <xdr:row>29</xdr:row>
                <xdr:rowOff>17</xdr:rowOff>
              </xdr:to>
            </anchor>
          </commentPr>
        </mc:Choice>
        <mc:Fallback/>
      </mc:AlternateContent>
    </commen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27</xdr:row>
                <xdr:rowOff>14</xdr:rowOff>
              </xdr:from>
              <xdr:to>
                <xdr:col>1</xdr:col>
                <xdr:colOff>92</xdr:colOff>
                <xdr:row>32</xdr:row>
                <xdr:rowOff>6</xdr:rowOff>
              </xdr:to>
            </anchor>
          </commentPr>
        </mc:Choice>
        <mc:Fallback/>
      </mc:AlternateContent>
    </comment>
    <comment ref="C82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79</xdr:row>
                <xdr:rowOff>4</xdr:rowOff>
              </xdr:from>
              <xdr:to>
                <xdr:col>5</xdr:col>
                <xdr:colOff>1</xdr:colOff>
                <xdr:row>82</xdr:row>
                <xdr:rowOff>12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30</xdr:row>
                <xdr:rowOff>11</xdr:rowOff>
              </xdr:from>
              <xdr:to>
                <xdr:col>8</xdr:col>
                <xdr:colOff>96</xdr:colOff>
                <xdr:row>34</xdr:row>
                <xdr:rowOff>10</xdr:rowOff>
              </xdr:to>
            </anchor>
          </commentPr>
        </mc:Choice>
        <mc:Fallback/>
      </mc:AlternateContent>
    </comment>
    <comment ref="H36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34</xdr:row>
                <xdr:rowOff>0</xdr:rowOff>
              </xdr:from>
              <xdr:to>
                <xdr:col>9</xdr:col>
                <xdr:colOff>33</xdr:colOff>
                <xdr:row>39</xdr:row>
                <xdr:rowOff>13</xdr:rowOff>
              </xdr:to>
            </anchor>
          </commentPr>
        </mc:Choice>
        <mc:Fallback/>
      </mc:AlternateContent>
    </comment>
    <comment ref="L34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58</xdr:colOff>
                <xdr:row>32</xdr:row>
                <xdr:rowOff>1</xdr:rowOff>
              </xdr:from>
              <xdr:to>
                <xdr:col>13</xdr:col>
                <xdr:colOff>84</xdr:colOff>
                <xdr:row>36</xdr:row>
                <xdr:rowOff>1</xdr:rowOff>
              </xdr:to>
            </anchor>
          </commentPr>
        </mc:Choice>
        <mc:Fallback/>
      </mc:AlternateContent>
    </comment>
    <comment ref="R30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53</xdr:colOff>
                <xdr:row>27</xdr:row>
                <xdr:rowOff>14</xdr:rowOff>
              </xdr:from>
              <xdr:to>
                <xdr:col>20</xdr:col>
                <xdr:colOff>21</xdr:colOff>
                <xdr:row>32</xdr:row>
                <xdr:rowOff>6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11</xdr:row>
                <xdr:rowOff>11</xdr:rowOff>
              </xdr:from>
              <xdr:to>
                <xdr:col>2</xdr:col>
                <xdr:colOff>19</xdr:colOff>
                <xdr:row>15</xdr:row>
                <xdr:rowOff>17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15</xdr:row>
                <xdr:rowOff>11</xdr:rowOff>
              </xdr:from>
              <xdr:to>
                <xdr:col>1</xdr:col>
                <xdr:colOff>91</xdr:colOff>
                <xdr:row>20</xdr:row>
                <xdr:rowOff>7</xdr:rowOff>
              </xdr:to>
            </anchor>
          </commentPr>
        </mc:Choice>
        <mc:Fallback/>
      </mc:AlternateContent>
    </comment>
    <comment ref="A26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23</xdr:row>
                <xdr:rowOff>11</xdr:rowOff>
              </xdr:from>
              <xdr:to>
                <xdr:col>1</xdr:col>
                <xdr:colOff>91</xdr:colOff>
                <xdr:row>27</xdr:row>
                <xdr:rowOff>17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25</xdr:row>
                <xdr:rowOff>14</xdr:rowOff>
              </xdr:from>
              <xdr:to>
                <xdr:col>1</xdr:col>
                <xdr:colOff>91</xdr:colOff>
                <xdr:row>30</xdr:row>
                <xdr:rowOff>6</xdr:rowOff>
              </xdr:to>
            </anchor>
          </commentPr>
        </mc:Choice>
        <mc:Fallback/>
      </mc:AlternateContent>
    </comment>
    <comment ref="C101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98</xdr:row>
                <xdr:rowOff>16</xdr:rowOff>
              </xdr:from>
              <xdr:to>
                <xdr:col>5</xdr:col>
                <xdr:colOff>1</xdr:colOff>
                <xdr:row>102</xdr:row>
                <xdr:rowOff>5</xdr:rowOff>
              </xdr:to>
            </anchor>
          </commentPr>
        </mc:Choice>
        <mc:Fallback/>
      </mc:AlternateContent>
    </comment>
    <comment ref="C102" authorId="0">
      <text>
        <r>
          <rPr>
            <b val="true"/>
            <sz val="8"/>
            <color rgb="FF000000"/>
            <rFont val="Tahoma"/>
            <family val="0"/>
          </rPr>
          <t xml:space="preserve">MLR: This is just this assets percent of total for Property, Equipment &amp; Improvements Net from Balance Sheet page.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51</xdr:colOff>
                <xdr:row>99</xdr:row>
                <xdr:rowOff>16</xdr:rowOff>
              </xdr:from>
              <xdr:to>
                <xdr:col>5</xdr:col>
                <xdr:colOff>17</xdr:colOff>
                <xdr:row>102</xdr:row>
                <xdr:rowOff>5</xdr:rowOff>
              </xdr:to>
            </anchor>
          </commentPr>
        </mc:Choice>
        <mc:Fallback/>
      </mc:AlternateContent>
    </commen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78</xdr:colOff>
                <xdr:row>28</xdr:row>
                <xdr:rowOff>11</xdr:rowOff>
              </xdr:from>
              <xdr:to>
                <xdr:col>8</xdr:col>
                <xdr:colOff>95</xdr:colOff>
                <xdr:row>32</xdr:row>
                <xdr:rowOff>10</xdr:rowOff>
              </xdr:to>
            </anchor>
          </commentPr>
        </mc:Choice>
        <mc:Fallback/>
      </mc:AlternateContent>
    </comment>
    <comment ref="H34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31</xdr:row>
                <xdr:rowOff>19</xdr:rowOff>
              </xdr:from>
              <xdr:to>
                <xdr:col>9</xdr:col>
                <xdr:colOff>33</xdr:colOff>
                <xdr:row>37</xdr:row>
                <xdr:rowOff>9</xdr:rowOff>
              </xdr:to>
            </anchor>
          </commentPr>
        </mc:Choice>
        <mc:Fallback/>
      </mc:AlternateContent>
    </comment>
    <comment ref="L32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57</xdr:colOff>
                <xdr:row>29</xdr:row>
                <xdr:rowOff>13</xdr:rowOff>
              </xdr:from>
              <xdr:to>
                <xdr:col>13</xdr:col>
                <xdr:colOff>83</xdr:colOff>
                <xdr:row>33</xdr:row>
                <xdr:rowOff>16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52</xdr:colOff>
                <xdr:row>25</xdr:row>
                <xdr:rowOff>14</xdr:rowOff>
              </xdr:from>
              <xdr:to>
                <xdr:col>20</xdr:col>
                <xdr:colOff>21</xdr:colOff>
                <xdr:row>30</xdr:row>
                <xdr:rowOff>6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11</xdr:row>
                <xdr:rowOff>11</xdr:rowOff>
              </xdr:from>
              <xdr:to>
                <xdr:col>2</xdr:col>
                <xdr:colOff>15</xdr:colOff>
                <xdr:row>15</xdr:row>
                <xdr:rowOff>17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15</xdr:row>
                <xdr:rowOff>11</xdr:rowOff>
              </xdr:from>
              <xdr:to>
                <xdr:col>1</xdr:col>
                <xdr:colOff>87</xdr:colOff>
                <xdr:row>20</xdr:row>
                <xdr:rowOff>6</xdr:rowOff>
              </xdr:to>
            </anchor>
          </commentPr>
        </mc:Choice>
        <mc:Fallback/>
      </mc:AlternateContent>
    </comment>
    <comment ref="A26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23</xdr:row>
                <xdr:rowOff>11</xdr:rowOff>
              </xdr:from>
              <xdr:to>
                <xdr:col>1</xdr:col>
                <xdr:colOff>87</xdr:colOff>
                <xdr:row>27</xdr:row>
                <xdr:rowOff>17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25</xdr:row>
                <xdr:rowOff>14</xdr:rowOff>
              </xdr:from>
              <xdr:to>
                <xdr:col>1</xdr:col>
                <xdr:colOff>87</xdr:colOff>
                <xdr:row>30</xdr:row>
                <xdr:rowOff>6</xdr:rowOff>
              </xdr:to>
            </anchor>
          </commentPr>
        </mc:Choice>
        <mc:Fallback/>
      </mc:AlternateContent>
    </comment>
    <comment ref="C105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45</xdr:colOff>
                <xdr:row>102</xdr:row>
                <xdr:rowOff>6</xdr:rowOff>
              </xdr:from>
              <xdr:to>
                <xdr:col>4</xdr:col>
                <xdr:colOff>64</xdr:colOff>
                <xdr:row>106</xdr:row>
                <xdr:rowOff>5</xdr:rowOff>
              </xdr:to>
            </anchor>
          </commentPr>
        </mc:Choice>
        <mc:Fallback/>
      </mc:AlternateContent>
    </comment>
    <comment ref="C106" authorId="0">
      <text>
        <r>
          <rPr>
            <b val="true"/>
            <sz val="8"/>
            <color rgb="FF000000"/>
            <rFont val="Tahoma"/>
            <family val="0"/>
          </rPr>
          <t xml:space="preserve">MLR: This is just this assets percent of total for Property, Equipment &amp; Improvements Net from Balance Sheet page.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47</xdr:colOff>
                <xdr:row>103</xdr:row>
                <xdr:rowOff>12</xdr:rowOff>
              </xdr:from>
              <xdr:to>
                <xdr:col>5</xdr:col>
                <xdr:colOff>13</xdr:colOff>
                <xdr:row>106</xdr:row>
                <xdr:rowOff>5</xdr:rowOff>
              </xdr:to>
            </anchor>
          </commentPr>
        </mc:Choice>
        <mc:Fallback/>
      </mc:AlternateContent>
    </commen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74</xdr:colOff>
                <xdr:row>28</xdr:row>
                <xdr:rowOff>11</xdr:rowOff>
              </xdr:from>
              <xdr:to>
                <xdr:col>8</xdr:col>
                <xdr:colOff>91</xdr:colOff>
                <xdr:row>32</xdr:row>
                <xdr:rowOff>10</xdr:rowOff>
              </xdr:to>
            </anchor>
          </commentPr>
        </mc:Choice>
        <mc:Fallback/>
      </mc:AlternateContent>
    </comment>
    <comment ref="H34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75</xdr:colOff>
                <xdr:row>31</xdr:row>
                <xdr:rowOff>19</xdr:rowOff>
              </xdr:from>
              <xdr:to>
                <xdr:col>9</xdr:col>
                <xdr:colOff>29</xdr:colOff>
                <xdr:row>37</xdr:row>
                <xdr:rowOff>5</xdr:rowOff>
              </xdr:to>
            </anchor>
          </commentPr>
        </mc:Choice>
        <mc:Fallback/>
      </mc:AlternateContent>
    </comment>
    <comment ref="L32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53</xdr:colOff>
                <xdr:row>29</xdr:row>
                <xdr:rowOff>13</xdr:rowOff>
              </xdr:from>
              <xdr:to>
                <xdr:col>13</xdr:col>
                <xdr:colOff>78</xdr:colOff>
                <xdr:row>34</xdr:row>
                <xdr:rowOff>1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48</xdr:colOff>
                <xdr:row>25</xdr:row>
                <xdr:rowOff>14</xdr:rowOff>
              </xdr:from>
              <xdr:to>
                <xdr:col>20</xdr:col>
                <xdr:colOff>17</xdr:colOff>
                <xdr:row>30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<sst xmlns="http://schemas.openxmlformats.org/spreadsheetml/2006/main" count="478" uniqueCount="264">
  <si>
    <t xml:space="preserve">Date:</t>
  </si>
  <si>
    <t xml:space="preserve">Feb.08,2001</t>
  </si>
  <si>
    <t xml:space="preserve">Asset Valuation Model -  </t>
  </si>
  <si>
    <t xml:space="preserve">Developed by </t>
  </si>
  <si>
    <t xml:space="preserve">Michael Ratner</t>
  </si>
  <si>
    <t xml:space="preserve">Ext.58927</t>
  </si>
  <si>
    <t xml:space="preserve">Modified by </t>
  </si>
  <si>
    <t xml:space="preserve">Yuan Tian</t>
  </si>
  <si>
    <t xml:space="preserve">Ext.53579</t>
  </si>
  <si>
    <t xml:space="preserve">Explaination about this model</t>
  </si>
  <si>
    <t xml:space="preserve">Assumptions</t>
  </si>
  <si>
    <t xml:space="preserve">Before the valuation, please determine what will be the main variables that impact the cash flow. Based on historical data</t>
  </si>
  <si>
    <t xml:space="preserve">and specific market research, hard input the values for these variables on the "Assumptions" sheet.  These variables</t>
  </si>
  <si>
    <t xml:space="preserve">might be furthur tested in Sensitivity Analysis by using "Data"- "Table" function in Excel and Risk Analysis by using Crystal Ball.</t>
  </si>
  <si>
    <t xml:space="preserve">Format</t>
  </si>
  <si>
    <t xml:space="preserve">a.</t>
  </si>
  <si>
    <t xml:space="preserve">The assumption cells are in yellow background</t>
  </si>
  <si>
    <t xml:space="preserve">b.</t>
  </si>
  <si>
    <t xml:space="preserve">The forecast cells are in green background</t>
  </si>
  <si>
    <t xml:space="preserve">c.</t>
  </si>
  <si>
    <t xml:space="preserve">The historical data are in gray background</t>
  </si>
  <si>
    <t xml:space="preserve">Unlevered cash flow analysis</t>
  </si>
  <si>
    <t xml:space="preserve">The unlevered cash flow analysis mainly values the assets based on their business risks.  It does not consider the financial </t>
  </si>
  <si>
    <t xml:space="preserve">risks from the financial leverage.  </t>
  </si>
  <si>
    <t xml:space="preserve">If there is more than one asset, input the different asset data in the separate "Asset" sheets, and the "Unlev. Consolid" sheet will</t>
  </si>
  <si>
    <t xml:space="preserve">automatically consolidate the valuation for the whole package of the assets.</t>
  </si>
  <si>
    <t xml:space="preserve">Please pay attention to the "Warning Flag" on these separate "Asset" sheets and the "unlev. Consolid" sheet  </t>
  </si>
  <si>
    <t xml:space="preserve">so that the model gives valid and accurate forecast. </t>
  </si>
  <si>
    <t xml:space="preserve">Levered cash flow analysis</t>
  </si>
  <si>
    <t xml:space="preserve">The levered cash flow analysis considers the costs ( e.g. interest expenses) and benefits ( e.g. tax benefits) from</t>
  </si>
  <si>
    <t xml:space="preserve">financial leverage. </t>
  </si>
  <si>
    <t xml:space="preserve">In this model, it is important that the target capital structure is constant over the life of the assets. For example, if the financial</t>
  </si>
  <si>
    <t xml:space="preserve">leverage rate is 50% of debt financing, the 50% debt financing rate must be maintained over the lift of the </t>
  </si>
  <si>
    <t xml:space="preserve">assets.  To maintain a constant capital structure, the following relationships must be satisfied in the "Lev. Consolid" sheet:</t>
  </si>
  <si>
    <t xml:space="preserve">Pre-Current Debt = Beg. Yr. Debt- Debt Retirement</t>
  </si>
  <si>
    <t xml:space="preserve">Pre-Current Equity = Beg. Yr. Equity + Adj. Net Income - Net Cash Flow</t>
  </si>
  <si>
    <t xml:space="preserve">Pre - Total Capital = Pre-Current Debt + Pre- Current Equity</t>
  </si>
  <si>
    <t xml:space="preserve">End. Yr Debt = Leverage rate* Pre-Total Capital</t>
  </si>
  <si>
    <t xml:space="preserve">End. Yr Equity= (1-Leverage rate) * Pre-Total Capital</t>
  </si>
  <si>
    <t xml:space="preserve">Debt Retirement = End.Yr.Debt- Beg. Yr Debt</t>
  </si>
  <si>
    <t xml:space="preserve">Net Cash Flow = Beg. Yr. Equity -End. Yr.Equity +Adj. Net Income</t>
  </si>
  <si>
    <t xml:space="preserve">(please see the above terms in the "Lev.Consolid"sheet)</t>
  </si>
  <si>
    <t xml:space="preserve">As shown on the above formula, there exits circular relationships between these data. Therefore, a circular reference is intentionally</t>
  </si>
  <si>
    <t xml:space="preserve">created in this model.  When opening the Excel, please go to "Tools"-"Options", Click on "Calculation"tab and check "Iteration" box.</t>
  </si>
  <si>
    <t xml:space="preserve">UPDATED by</t>
  </si>
  <si>
    <t xml:space="preserve">Warning Flag:</t>
  </si>
  <si>
    <t xml:space="preserve">PROJECT LOGISTICS</t>
  </si>
  <si>
    <t xml:space="preserve">Name of project:</t>
  </si>
  <si>
    <t xml:space="preserve">PG&amp;E Gas Transmission</t>
  </si>
  <si>
    <t xml:space="preserve">Enron Owner</t>
  </si>
  <si>
    <t xml:space="preserve">ETS</t>
  </si>
  <si>
    <t xml:space="preserve">  Enron Financial Partner</t>
  </si>
  <si>
    <t xml:space="preserve">None</t>
  </si>
  <si>
    <t xml:space="preserve">  Enron % Equity Ownership</t>
  </si>
  <si>
    <t xml:space="preserve">  Financial Partner Return</t>
  </si>
  <si>
    <t xml:space="preserve">Partner(s):</t>
  </si>
  <si>
    <t xml:space="preserve">Partner % Ownership</t>
  </si>
  <si>
    <t xml:space="preserve">Year of Acquisition</t>
  </si>
  <si>
    <t xml:space="preserve">Length of Contract (yrs.)</t>
  </si>
  <si>
    <t xml:space="preserve">Enron Shares Outstanding</t>
  </si>
  <si>
    <t xml:space="preserve">Enron Share Price</t>
  </si>
  <si>
    <t xml:space="preserve">Figures</t>
  </si>
  <si>
    <t xml:space="preserve">US$ '000s</t>
  </si>
  <si>
    <t xml:space="preserve">ECONOMIC ASSUMPTIONS</t>
  </si>
  <si>
    <t xml:space="preserve">Corporate Income Tax</t>
  </si>
  <si>
    <t xml:space="preserve">Book Depreciation (Years)</t>
  </si>
  <si>
    <t xml:space="preserve">Consolidated NPV Core Rate</t>
  </si>
  <si>
    <t xml:space="preserve">Project Premium</t>
  </si>
  <si>
    <t xml:space="preserve">Dividend Tax Rate</t>
  </si>
  <si>
    <t xml:space="preserve">Structured Dividend Tax Rate</t>
  </si>
  <si>
    <t xml:space="preserve">Additional Debt After Tax @</t>
  </si>
  <si>
    <t xml:space="preserve">Cost of 3rd Party Equity</t>
  </si>
  <si>
    <t xml:space="preserve">DEBT</t>
  </si>
  <si>
    <t xml:space="preserve">Financial Leverage Rate</t>
  </si>
  <si>
    <t xml:space="preserve">Interest Rate</t>
  </si>
  <si>
    <t xml:space="preserve">Retirement (Years)</t>
  </si>
  <si>
    <t xml:space="preserve">ASSET ASSUMPTIONS</t>
  </si>
  <si>
    <t xml:space="preserve">Include in Valuation (1=Yes, 0=No)</t>
  </si>
  <si>
    <t xml:space="preserve">Potential Owner</t>
  </si>
  <si>
    <t xml:space="preserve">Salvage Multiple (x EBITDA)</t>
  </si>
  <si>
    <t xml:space="preserve">Revenue Scenario</t>
  </si>
  <si>
    <t xml:space="preserve">Expense Scenario</t>
  </si>
  <si>
    <t xml:space="preserve">NPV Core Rate</t>
  </si>
  <si>
    <t xml:space="preserve">Macros</t>
  </si>
  <si>
    <t xml:space="preserve">% Involvement</t>
  </si>
  <si>
    <t xml:space="preserve">Revenue Scenario Assumption- Scenario Discription</t>
  </si>
  <si>
    <t xml:space="preserve">Asset 1</t>
  </si>
  <si>
    <t xml:space="preserve">Asset 2</t>
  </si>
  <si>
    <t xml:space="preserve">Asset 3</t>
  </si>
  <si>
    <t xml:space="preserve">1. Base Case</t>
  </si>
  <si>
    <t xml:space="preserve">Keep Flat</t>
  </si>
  <si>
    <t xml:space="preserve">2. Optimistic</t>
  </si>
  <si>
    <t xml:space="preserve">Grow the annal Revenues at 10%</t>
  </si>
  <si>
    <t xml:space="preserve">3. Pessimistic</t>
  </si>
  <si>
    <t xml:space="preserve">Grow the Revenue at lower rate e.g. 2%</t>
  </si>
  <si>
    <t xml:space="preserve">Expense Scenario  Assumption - Scenario Discription</t>
  </si>
  <si>
    <t xml:space="preserve">Grow the annal expenses at ?%</t>
  </si>
  <si>
    <t xml:space="preserve">Summary</t>
  </si>
  <si>
    <t xml:space="preserve">Unlevered Cash Flow Analysis</t>
  </si>
  <si>
    <t xml:space="preserve">Discounted@</t>
  </si>
  <si>
    <t xml:space="preserve">NPV</t>
  </si>
  <si>
    <t xml:space="preserve">IRR</t>
  </si>
  <si>
    <t xml:space="preserve">Levered Cash Flow Analyais</t>
  </si>
  <si>
    <t xml:space="preserve">Debt Financing @</t>
  </si>
  <si>
    <t xml:space="preserve">Equity NPV</t>
  </si>
  <si>
    <t xml:space="preserve">Levered IRR</t>
  </si>
  <si>
    <t xml:space="preserve">Levered Cash Flow Analysis - Consolidated</t>
  </si>
  <si>
    <t xml:space="preserve">Valuations - Purchase Price</t>
  </si>
  <si>
    <t xml:space="preserve">Unlevered</t>
  </si>
  <si>
    <t xml:space="preserve">Primium</t>
  </si>
  <si>
    <t xml:space="preserve">Equity NPV Value</t>
  </si>
  <si>
    <t xml:space="preserve">Warning Flags:</t>
  </si>
  <si>
    <t xml:space="preserve">Template  Asset</t>
  </si>
  <si>
    <t xml:space="preserve">EOI Offer Price</t>
  </si>
  <si>
    <t xml:space="preserve">Debt Financed</t>
  </si>
  <si>
    <t xml:space="preserve">Equity Financed</t>
  </si>
  <si>
    <t xml:space="preserve">IRR=</t>
  </si>
  <si>
    <t xml:space="preserve">FINANCED WITH EQUITY @</t>
  </si>
  <si>
    <t xml:space="preserve">EBITDA</t>
  </si>
  <si>
    <t xml:space="preserve">   Less DD&amp;A</t>
  </si>
  <si>
    <t xml:space="preserve">   Less/Add Other Income</t>
  </si>
  <si>
    <t xml:space="preserve">EBIT</t>
  </si>
  <si>
    <t xml:space="preserve">   Less Interest Expense</t>
  </si>
  <si>
    <t xml:space="preserve">Pre-Tax Income</t>
  </si>
  <si>
    <t xml:space="preserve">   Less Tax</t>
  </si>
  <si>
    <t xml:space="preserve">NET INCOME</t>
  </si>
  <si>
    <t xml:space="preserve">Dividend Tax</t>
  </si>
  <si>
    <t xml:space="preserve">Adjusted Net Income</t>
  </si>
  <si>
    <t xml:space="preserve">Multiple X</t>
  </si>
  <si>
    <t xml:space="preserve">Return on Equity Invested</t>
  </si>
  <si>
    <r>
      <rPr>
        <b val="true"/>
        <sz val="10"/>
        <rFont val="Arial"/>
        <family val="2"/>
      </rPr>
      <t xml:space="preserve">C</t>
    </r>
    <r>
      <rPr>
        <sz val="10"/>
        <rFont val="Arial"/>
        <family val="0"/>
      </rPr>
      <t xml:space="preserve">ash</t>
    </r>
    <r>
      <rPr>
        <b val="true"/>
        <sz val="10"/>
        <rFont val="Arial"/>
        <family val="2"/>
      </rPr>
      <t xml:space="preserve"> F</t>
    </r>
    <r>
      <rPr>
        <sz val="10"/>
        <rFont val="Arial"/>
        <family val="0"/>
      </rPr>
      <t xml:space="preserve">low </t>
    </r>
    <r>
      <rPr>
        <b val="true"/>
        <sz val="10"/>
        <rFont val="Arial"/>
        <family val="2"/>
      </rPr>
      <t xml:space="preserve">F</t>
    </r>
    <r>
      <rPr>
        <sz val="10"/>
        <rFont val="Arial"/>
        <family val="0"/>
      </rPr>
      <t xml:space="preserve">rom </t>
    </r>
    <r>
      <rPr>
        <b val="true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perations</t>
    </r>
  </si>
  <si>
    <t xml:space="preserve">CAPEX</t>
  </si>
  <si>
    <t xml:space="preserve">Debt Retirement</t>
  </si>
  <si>
    <t xml:space="preserve">Net Cash Flow</t>
  </si>
  <si>
    <t xml:space="preserve">Enron Equity Cash Flow</t>
  </si>
  <si>
    <t xml:space="preserve">Capital Structure Balancing</t>
  </si>
  <si>
    <t xml:space="preserve">Pre-Current Debt</t>
  </si>
  <si>
    <t xml:space="preserve">Pre-Current Equity</t>
  </si>
  <si>
    <t xml:space="preserve">Pre-Total</t>
  </si>
  <si>
    <t xml:space="preserve">Beg. Year Debt</t>
  </si>
  <si>
    <t xml:space="preserve">End Year Debt</t>
  </si>
  <si>
    <t xml:space="preserve">Beg. Year Equity</t>
  </si>
  <si>
    <t xml:space="preserve">End Year Equity</t>
  </si>
  <si>
    <t xml:space="preserve">EBIT/Interest</t>
  </si>
  <si>
    <t xml:space="preserve">EBITDA/Debt Services</t>
  </si>
  <si>
    <t xml:space="preserve">System Check : % Debt Financed</t>
  </si>
  <si>
    <t xml:space="preserve">Sensitivity Analysis on the Financial Leverage Rate</t>
  </si>
  <si>
    <t xml:space="preserve">Equity NPV discounted @</t>
  </si>
  <si>
    <t xml:space="preserve">Leverage</t>
  </si>
  <si>
    <t xml:space="preserve">  Unlevered Cash Flow Analysis -Consolidated</t>
  </si>
  <si>
    <t xml:space="preserve">INCOME STATEMENT ($000)</t>
  </si>
  <si>
    <t xml:space="preserve">Revenues</t>
  </si>
  <si>
    <t xml:space="preserve">1=On, 0=Off</t>
  </si>
  <si>
    <t xml:space="preserve">TOTAL</t>
  </si>
  <si>
    <t xml:space="preserve">Expenses</t>
  </si>
  <si>
    <t xml:space="preserve">  Rev per Exp $</t>
  </si>
  <si>
    <t xml:space="preserve">DD&amp;A</t>
  </si>
  <si>
    <t xml:space="preserve">Other Income</t>
  </si>
  <si>
    <t xml:space="preserve">Current Taxes</t>
  </si>
  <si>
    <t xml:space="preserve">Deferred Taxes</t>
  </si>
  <si>
    <t xml:space="preserve">Cash Flow From Operations</t>
  </si>
  <si>
    <t xml:space="preserve">CASH FLOW</t>
  </si>
  <si>
    <t xml:space="preserve">Book Depreciation</t>
  </si>
  <si>
    <t xml:space="preserve">  Purchase Price</t>
  </si>
  <si>
    <t xml:space="preserve">  Capital Expenditures</t>
  </si>
  <si>
    <t xml:space="preserve">Tax Depreciation</t>
  </si>
  <si>
    <t xml:space="preserve">Purchase</t>
  </si>
  <si>
    <t xml:space="preserve">Net Present Value</t>
  </si>
  <si>
    <t xml:space="preserve">Price</t>
  </si>
  <si>
    <t xml:space="preserve">Multiple</t>
  </si>
  <si>
    <t xml:space="preserve">Potential Buyer</t>
  </si>
  <si>
    <t xml:space="preserve">Loop</t>
  </si>
  <si>
    <t xml:space="preserve">IRR =</t>
  </si>
  <si>
    <t xml:space="preserve">  Asset 1- Cash Flow Analysis</t>
  </si>
  <si>
    <t xml:space="preserve">REVENUES</t>
  </si>
  <si>
    <t xml:space="preserve">OPER. EXPENSES</t>
  </si>
  <si>
    <t xml:space="preserve">X</t>
  </si>
  <si>
    <t xml:space="preserve">Potential</t>
  </si>
  <si>
    <t xml:space="preserve">Buyer</t>
  </si>
  <si>
    <t xml:space="preserve">REVENUE PROJECTIONS ($000)</t>
  </si>
  <si>
    <t xml:space="preserve">% Chng Factor</t>
  </si>
  <si>
    <t xml:space="preserve">Choose Case</t>
  </si>
  <si>
    <t xml:space="preserve">Discretionary Adjustment Factor</t>
  </si>
  <si>
    <t xml:space="preserve">Lubrizol Return &amp; Other</t>
  </si>
  <si>
    <t xml:space="preserve">EXPENSE PROJECTIONS</t>
  </si>
  <si>
    <t xml:space="preserve">Utility Operating Expenses</t>
  </si>
  <si>
    <t xml:space="preserve"> Growth Capital</t>
  </si>
  <si>
    <t xml:space="preserve"> Maintenance Capital</t>
  </si>
  <si>
    <t xml:space="preserve">DEPRECIATION</t>
  </si>
  <si>
    <t xml:space="preserve">  Asset 2-Cash Flow Analysis</t>
  </si>
  <si>
    <t xml:space="preserve">Warnning Flag:</t>
  </si>
  <si>
    <t xml:space="preserve">Multiple of</t>
  </si>
  <si>
    <t xml:space="preserve">Gas Sales</t>
  </si>
  <si>
    <t xml:space="preserve">Swap Income</t>
  </si>
  <si>
    <t xml:space="preserve">Other</t>
  </si>
  <si>
    <t xml:space="preserve">Cost of Sale</t>
  </si>
  <si>
    <t xml:space="preserve">Methanol Barge</t>
  </si>
  <si>
    <t xml:space="preserve">Feedstock - Natural Gas</t>
  </si>
  <si>
    <t xml:space="preserve">Inventory Change</t>
  </si>
  <si>
    <t xml:space="preserve">Swap Loss - Feedstock</t>
  </si>
  <si>
    <t xml:space="preserve">Controllable Expenses</t>
  </si>
  <si>
    <t xml:space="preserve">Payroll, Benefits, Taxes</t>
  </si>
  <si>
    <t xml:space="preserve">Employee Expense</t>
  </si>
  <si>
    <t xml:space="preserve">Treated Water</t>
  </si>
  <si>
    <t xml:space="preserve">Boiler Feed Water</t>
  </si>
  <si>
    <t xml:space="preserve">Steam - Imports</t>
  </si>
  <si>
    <t xml:space="preserve">Steam - Exports</t>
  </si>
  <si>
    <t xml:space="preserve">Catalyst - Consumable</t>
  </si>
  <si>
    <t xml:space="preserve">Nitrogen</t>
  </si>
  <si>
    <t xml:space="preserve">Terminal Fee</t>
  </si>
  <si>
    <t xml:space="preserve">Non-Controllable Expenses</t>
  </si>
  <si>
    <t xml:space="preserve">Lease Expense</t>
  </si>
  <si>
    <t xml:space="preserve">Amortization - TA/Catalyst</t>
  </si>
  <si>
    <t xml:space="preserve">Depreciation</t>
  </si>
  <si>
    <t xml:space="preserve">Ad Valorem &amp; Fanchise Tax</t>
  </si>
  <si>
    <t xml:space="preserve">Other Expense</t>
  </si>
  <si>
    <t xml:space="preserve">  Asset 3- Cash Flow Analysis</t>
  </si>
  <si>
    <t xml:space="preserve">Product</t>
  </si>
  <si>
    <t xml:space="preserve">Other Product</t>
  </si>
  <si>
    <t xml:space="preserve">Storage &amp; Transport</t>
  </si>
  <si>
    <t xml:space="preserve">Swap Activity</t>
  </si>
  <si>
    <t xml:space="preserve">Feedstock - Normal Butane</t>
  </si>
  <si>
    <t xml:space="preserve">Feedstock - Oxygen</t>
  </si>
  <si>
    <t xml:space="preserve">Co Equipment Use</t>
  </si>
  <si>
    <t xml:space="preserve">Disposal Fee</t>
  </si>
  <si>
    <t xml:space="preserve">UOP Butamer Royalty</t>
  </si>
  <si>
    <t xml:space="preserve">Amort - PSM/Mech Integ/Well wo</t>
  </si>
  <si>
    <t xml:space="preserve">Adjust to Flash</t>
  </si>
  <si>
    <t xml:space="preserve"> Maintence Capital</t>
  </si>
  <si>
    <t xml:space="preserve">Consolidated Balance Sheet</t>
  </si>
  <si>
    <t xml:space="preserve">Elim.</t>
  </si>
  <si>
    <t xml:space="preserve">Pro Forma</t>
  </si>
  <si>
    <t xml:space="preserve">ASSETS</t>
  </si>
  <si>
    <t xml:space="preserve">Current Assets</t>
  </si>
  <si>
    <t xml:space="preserve">  Accounts &amp; Notes Receivable</t>
  </si>
  <si>
    <t xml:space="preserve">    Assoc Co</t>
  </si>
  <si>
    <t xml:space="preserve">    Other</t>
  </si>
  <si>
    <t xml:space="preserve">    Employee</t>
  </si>
  <si>
    <t xml:space="preserve">  Inventories</t>
  </si>
  <si>
    <t xml:space="preserve">  Materials &amp; Supplies</t>
  </si>
  <si>
    <t xml:space="preserve">  Prepayments - other</t>
  </si>
  <si>
    <t xml:space="preserve">  Misc. Other Current Assets</t>
  </si>
  <si>
    <t xml:space="preserve">SUBTOTAL</t>
  </si>
  <si>
    <t xml:space="preserve">Investments and Other Assets</t>
  </si>
  <si>
    <t xml:space="preserve">  PP&amp;E</t>
  </si>
  <si>
    <t xml:space="preserve">  Accum. Dep. - PP&amp;E</t>
  </si>
  <si>
    <t xml:space="preserve">Deferred Charges</t>
  </si>
  <si>
    <t xml:space="preserve">TOTAL Assets</t>
  </si>
  <si>
    <t xml:space="preserve">LIABILITIES &amp; CAPITAL</t>
  </si>
  <si>
    <t xml:space="preserve">Current Liabilities</t>
  </si>
  <si>
    <t xml:space="preserve">  Accounts Payable - Assoc Cos.</t>
  </si>
  <si>
    <t xml:space="preserve">  Accounts Payable - Other</t>
  </si>
  <si>
    <t xml:space="preserve">  Income Taxes Payable</t>
  </si>
  <si>
    <t xml:space="preserve">  Accrued Taxes</t>
  </si>
  <si>
    <t xml:space="preserve">  Deferred Income Taxes - Current</t>
  </si>
  <si>
    <t xml:space="preserve">  Other Misc Liability - Current</t>
  </si>
  <si>
    <t xml:space="preserve">Deferred Credits &amp; Other Liab.</t>
  </si>
  <si>
    <t xml:space="preserve">  Deferred Credits - Other</t>
  </si>
  <si>
    <t xml:space="preserve">  Deferred Income Taxes</t>
  </si>
  <si>
    <t xml:space="preserve">Capital</t>
  </si>
  <si>
    <t xml:space="preserve">  Payable to/(Rec. from) Co 535</t>
  </si>
  <si>
    <t xml:space="preserve">  Payable to/(Rec. from) Corp</t>
  </si>
  <si>
    <t xml:space="preserve">  Capitalization</t>
  </si>
  <si>
    <t xml:space="preserve">TOTAL LIAB. &amp; EQ.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</si>
</sst>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m/d/yyyy\ h:mm"/>
    <numFmt numFmtId="166" formatCode="0%"/>
    <numFmt numFmtId="167" formatCode="0.0%"/>
    <numFmt numFmtId="168" formatCode="0.00"/>
    <numFmt numFmtId="169" formatCode="0.00%"/>
    <numFmt numFmtId="170" formatCode="_(* #,##0.00_);_(* \(#,##0.00\);_(* \-??_);_(@_)"/>
    <numFmt numFmtId="171" formatCode="_(* #,##0_);_(* \(#,##0\);_(* \-??_);_(@_)"/>
    <numFmt numFmtId="172" formatCode="0"/>
    <numFmt numFmtId="173" formatCode="0.0"/>
    <numFmt numFmtId="174" formatCode="\$#,##0_);[RED]&quot;($&quot;#,##0\)"/>
    <numFmt numFmtId="175" formatCode="_(\$* #,##0.00_);_(\$* \(#,##0.00\);_(\$* \-??_);_(@_)"/>
    <numFmt numFmtId="176" formatCode="_(\$* #,##0_);_(\$* \(#,##0\);_(\$* \-??_);_(@_)"/>
    <numFmt numFmtId="177" formatCode="_(* #,##0.0_);_(* \(#,##0.0\);_(* \-??_);_(@_)"/>
    <numFmt numFmtId="178" formatCode="0.0000"/>
    <numFmt numFmtId="179" formatCode="_(* #,##0.0000_);_(* \(#,##0.0000\);_(* \-??_);_(@_)"/>
    <numFmt numFmtId="180" formatCode="_(* #,##0.000_);_(* \(#,##0.000\);_(* \-??_);_(@_)"/>
    <numFmt numFmtId="181" formatCode="[$-409]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9"/>
      <name val="Arial"/>
      <family val="2"/>
    </font>
    <font>
      <i val="true"/>
      <sz val="10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 val="true"/>
      <i val="true"/>
      <sz val="12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9"/>
      <color rgb="FFFF0000"/>
      <name val="Arial"/>
      <family val="2"/>
    </font>
    <font>
      <u val="single"/>
      <sz val="10"/>
      <name val="Arial"/>
      <family val="2"/>
    </font>
    <font>
      <i val="true"/>
      <sz val="10"/>
      <color rgb="FFFFFFFF"/>
      <name val="Arial"/>
      <family val="2"/>
    </font>
    <font>
      <i val="true"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3366FF"/>
      <name val="Arial"/>
      <family val="2"/>
    </font>
    <font>
      <i val="true"/>
      <u val="single"/>
      <sz val="10"/>
      <name val="Arial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10"/>
      <color rgb="FF0033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6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6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6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6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1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6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6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6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3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3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4" borderId="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9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4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4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2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7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color rgb="00FFFFFF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20160</xdr:colOff>
      <xdr:row>40</xdr:row>
      <xdr:rowOff>19080</xdr:rowOff>
    </xdr:from>
    <xdr:to>
      <xdr:col>9</xdr:col>
      <xdr:colOff>209880</xdr:colOff>
      <xdr:row>41</xdr:row>
      <xdr:rowOff>142920</xdr:rowOff>
    </xdr:to>
    <xdr:sp>
      <xdr:nvSpPr>
        <xdr:cNvPr id="0" name="Rectangle 21"/>
        <xdr:cNvSpPr/>
      </xdr:nvSpPr>
      <xdr:spPr>
        <a:xfrm>
          <a:off x="8915760" y="7000920"/>
          <a:ext cx="828000" cy="28584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10080</xdr:colOff>
      <xdr:row>43</xdr:row>
      <xdr:rowOff>28440</xdr:rowOff>
    </xdr:from>
    <xdr:to>
      <xdr:col>9</xdr:col>
      <xdr:colOff>230040</xdr:colOff>
      <xdr:row>45</xdr:row>
      <xdr:rowOff>19080</xdr:rowOff>
    </xdr:to>
    <xdr:sp>
      <xdr:nvSpPr>
        <xdr:cNvPr id="1" name="Rectangle 23"/>
        <xdr:cNvSpPr/>
      </xdr:nvSpPr>
      <xdr:spPr>
        <a:xfrm>
          <a:off x="8905680" y="7495920"/>
          <a:ext cx="858240" cy="31464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10080</xdr:colOff>
      <xdr:row>37</xdr:row>
      <xdr:rowOff>18720</xdr:rowOff>
    </xdr:from>
    <xdr:to>
      <xdr:col>9</xdr:col>
      <xdr:colOff>209880</xdr:colOff>
      <xdr:row>38</xdr:row>
      <xdr:rowOff>133560</xdr:rowOff>
    </xdr:to>
    <xdr:sp>
      <xdr:nvSpPr>
        <xdr:cNvPr id="2" name="Rectangle 24"/>
        <xdr:cNvSpPr/>
      </xdr:nvSpPr>
      <xdr:spPr>
        <a:xfrm>
          <a:off x="8905680" y="6514920"/>
          <a:ext cx="838080" cy="2764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452160</xdr:colOff>
          <xdr:row>37</xdr:row>
          <xdr:rowOff>104760</xdr:rowOff>
        </xdr:from>
        <xdr:to>
          <xdr:col>6</xdr:col>
          <xdr:colOff>545760</xdr:colOff>
          <xdr:row>38</xdr:row>
          <xdr:rowOff>142920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462240</xdr:colOff>
          <xdr:row>40</xdr:row>
          <xdr:rowOff>104760</xdr:rowOff>
        </xdr:from>
        <xdr:to>
          <xdr:col>6</xdr:col>
          <xdr:colOff>525960</xdr:colOff>
          <xdr:row>41</xdr:row>
          <xdr:rowOff>133200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441360</xdr:colOff>
          <xdr:row>43</xdr:row>
          <xdr:rowOff>95400</xdr:rowOff>
        </xdr:from>
        <xdr:to>
          <xdr:col>6</xdr:col>
          <xdr:colOff>505080</xdr:colOff>
          <xdr:row>44</xdr:row>
          <xdr:rowOff>133200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675000</xdr:colOff>
          <xdr:row>37</xdr:row>
          <xdr:rowOff>123840</xdr:rowOff>
        </xdr:from>
        <xdr:to>
          <xdr:col>7</xdr:col>
          <xdr:colOff>988560</xdr:colOff>
          <xdr:row>39</xdr:row>
          <xdr:rowOff>18720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654120</xdr:colOff>
          <xdr:row>40</xdr:row>
          <xdr:rowOff>104760</xdr:rowOff>
        </xdr:from>
        <xdr:to>
          <xdr:col>8</xdr:col>
          <xdr:colOff>11880</xdr:colOff>
          <xdr:row>41</xdr:row>
          <xdr:rowOff>161640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604080</xdr:colOff>
          <xdr:row>43</xdr:row>
          <xdr:rowOff>95400</xdr:rowOff>
        </xdr:from>
        <xdr:to>
          <xdr:col>7</xdr:col>
          <xdr:colOff>957240</xdr:colOff>
          <xdr:row>44</xdr:row>
          <xdr:rowOff>152280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694080</xdr:colOff>
      <xdr:row>52</xdr:row>
      <xdr:rowOff>9720</xdr:rowOff>
    </xdr:from>
    <xdr:to>
      <xdr:col>8</xdr:col>
      <xdr:colOff>720</xdr:colOff>
      <xdr:row>56</xdr:row>
      <xdr:rowOff>28800</xdr:rowOff>
    </xdr:to>
    <xdr:sp>
      <xdr:nvSpPr>
        <xdr:cNvPr id="3" name="Oval 159"/>
        <xdr:cNvSpPr/>
      </xdr:nvSpPr>
      <xdr:spPr>
        <a:xfrm>
          <a:off x="6812280" y="8734680"/>
          <a:ext cx="967320" cy="71424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150840</xdr:colOff>
      <xdr:row>1</xdr:row>
      <xdr:rowOff>9720</xdr:rowOff>
    </xdr:from>
    <xdr:to>
      <xdr:col>3</xdr:col>
      <xdr:colOff>735480</xdr:colOff>
      <xdr:row>3</xdr:row>
      <xdr:rowOff>142560</xdr:rowOff>
    </xdr:to>
    <xdr:sp>
      <xdr:nvSpPr>
        <xdr:cNvPr id="4" name="Rectangle 160"/>
        <xdr:cNvSpPr/>
      </xdr:nvSpPr>
      <xdr:spPr>
        <a:xfrm>
          <a:off x="3521880" y="247680"/>
          <a:ext cx="584640" cy="49500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513000</xdr:colOff>
      <xdr:row>33</xdr:row>
      <xdr:rowOff>19440</xdr:rowOff>
    </xdr:from>
    <xdr:to>
      <xdr:col>5</xdr:col>
      <xdr:colOff>1080</xdr:colOff>
      <xdr:row>37</xdr:row>
      <xdr:rowOff>38160</xdr:rowOff>
    </xdr:to>
    <xdr:sp>
      <xdr:nvSpPr>
        <xdr:cNvPr id="5" name="Oval 13"/>
        <xdr:cNvSpPr/>
      </xdr:nvSpPr>
      <xdr:spPr>
        <a:xfrm>
          <a:off x="4347000" y="5553360"/>
          <a:ext cx="966960" cy="70452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895680</xdr:colOff>
      <xdr:row>1</xdr:row>
      <xdr:rowOff>29160</xdr:rowOff>
    </xdr:from>
    <xdr:to>
      <xdr:col>4</xdr:col>
      <xdr:colOff>20880</xdr:colOff>
      <xdr:row>3</xdr:row>
      <xdr:rowOff>133200</xdr:rowOff>
    </xdr:to>
    <xdr:sp>
      <xdr:nvSpPr>
        <xdr:cNvPr id="6" name="Rectangle 14"/>
        <xdr:cNvSpPr/>
      </xdr:nvSpPr>
      <xdr:spPr>
        <a:xfrm>
          <a:off x="3824280" y="267120"/>
          <a:ext cx="865800" cy="46620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523800</xdr:colOff>
      <xdr:row>30</xdr:row>
      <xdr:rowOff>47520</xdr:rowOff>
    </xdr:from>
    <xdr:to>
      <xdr:col>5</xdr:col>
      <xdr:colOff>10800</xdr:colOff>
      <xdr:row>34</xdr:row>
      <xdr:rowOff>37800</xdr:rowOff>
    </xdr:to>
    <xdr:sp>
      <xdr:nvSpPr>
        <xdr:cNvPr id="7" name="Oval 11"/>
        <xdr:cNvSpPr/>
      </xdr:nvSpPr>
      <xdr:spPr>
        <a:xfrm>
          <a:off x="4357800" y="5067360"/>
          <a:ext cx="965880" cy="70452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864720</xdr:colOff>
      <xdr:row>0</xdr:row>
      <xdr:rowOff>162000</xdr:rowOff>
    </xdr:from>
    <xdr:to>
      <xdr:col>3</xdr:col>
      <xdr:colOff>826200</xdr:colOff>
      <xdr:row>3</xdr:row>
      <xdr:rowOff>28440</xdr:rowOff>
    </xdr:to>
    <xdr:sp>
      <xdr:nvSpPr>
        <xdr:cNvPr id="8" name="Rectangle 12"/>
        <xdr:cNvSpPr/>
      </xdr:nvSpPr>
      <xdr:spPr>
        <a:xfrm>
          <a:off x="3793320" y="162000"/>
          <a:ext cx="866880" cy="47592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503280</xdr:colOff>
      <xdr:row>31</xdr:row>
      <xdr:rowOff>9720</xdr:rowOff>
    </xdr:from>
    <xdr:to>
      <xdr:col>4</xdr:col>
      <xdr:colOff>634320</xdr:colOff>
      <xdr:row>35</xdr:row>
      <xdr:rowOff>28440</xdr:rowOff>
    </xdr:to>
    <xdr:sp>
      <xdr:nvSpPr>
        <xdr:cNvPr id="9" name="Oval 12"/>
        <xdr:cNvSpPr/>
      </xdr:nvSpPr>
      <xdr:spPr>
        <a:xfrm>
          <a:off x="4377960" y="5220000"/>
          <a:ext cx="966240" cy="704520"/>
        </a:xfrm>
        <a:prstGeom prst="ellipse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30240</xdr:colOff>
      <xdr:row>1</xdr:row>
      <xdr:rowOff>0</xdr:rowOff>
    </xdr:from>
    <xdr:to>
      <xdr:col>4</xdr:col>
      <xdr:colOff>30600</xdr:colOff>
      <xdr:row>3</xdr:row>
      <xdr:rowOff>9720</xdr:rowOff>
    </xdr:to>
    <xdr:sp>
      <xdr:nvSpPr>
        <xdr:cNvPr id="10" name="Rectangle 14"/>
        <xdr:cNvSpPr/>
      </xdr:nvSpPr>
      <xdr:spPr>
        <a:xfrm>
          <a:off x="3904920" y="237960"/>
          <a:ext cx="835560" cy="38124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:/Corporate/GPGFin/Cfp/JG-ADAMS/1999Cash/BusinessUnitCashFlo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LG&amp;E%20061200v2_r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LG&amp;E%20061200v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Lge/PowerTex01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QTRActivity"/>
      <sheetName val="DecYTD"/>
      <sheetName val="OctYTD"/>
      <sheetName val="SeptYTD"/>
      <sheetName val="JuneYTD"/>
      <sheetName val="MarchYTD"/>
      <sheetName val="AugustYTD"/>
      <sheetName val="SeptYTDAdj"/>
      <sheetName val="Working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Ratios"/>
      <sheetName val="RETURNS"/>
      <sheetName val="CONSOLIDATED"/>
      <sheetName val="Cons. BS"/>
      <sheetName val="Enron"/>
      <sheetName val="Storage"/>
      <sheetName val="Reg Trans (311)"/>
      <sheetName val="Power Tex"/>
      <sheetName val="Agave"/>
      <sheetName val="Llano"/>
      <sheetName val="Antelope Ridge"/>
      <sheetName val="Hobbs"/>
      <sheetName val="Orphans"/>
      <sheetName val="Sale Ranch"/>
      <sheetName val="Other"/>
      <sheetName val="Capex"/>
      <sheetName val="LG&amp;E 061200v2_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nron Ratios"/>
      <sheetName val="RETURNS"/>
      <sheetName val="CONSOLIDATED"/>
      <sheetName val="Cons. BS"/>
      <sheetName val="Enron"/>
      <sheetName val="Storage"/>
      <sheetName val="Reg Trans (311)"/>
      <sheetName val="Power Tex"/>
      <sheetName val="Agave"/>
      <sheetName val="Llano"/>
      <sheetName val="Antelope Ridge"/>
      <sheetName val="Hobbs"/>
      <sheetName val="Orphans"/>
      <sheetName val="Sale Ranch"/>
      <sheetName val="Other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wer Tex"/>
      <sheetName val="levered"/>
      <sheetName val="Balance 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7" min="6" style="1" width="11.99"/>
    <col collapsed="false" customWidth="false" hidden="false" outlineLevel="0" max="257" min="8" style="1" width="9.14"/>
  </cols>
  <sheetData>
    <row r="2" customFormat="false" ht="12.75" hidden="false" customHeight="false" outlineLevel="0" collapsed="false">
      <c r="J2" s="2" t="s">
        <v>0</v>
      </c>
      <c r="K2" s="2" t="s">
        <v>1</v>
      </c>
    </row>
    <row r="3" customFormat="false" ht="18" hidden="false" customHeight="false" outlineLevel="0" collapsed="false">
      <c r="A3" s="3" t="s">
        <v>2</v>
      </c>
      <c r="G3" s="4" t="s">
        <v>3</v>
      </c>
      <c r="H3" s="5" t="s">
        <v>4</v>
      </c>
      <c r="J3" s="1" t="s">
        <v>5</v>
      </c>
    </row>
    <row r="4" customFormat="false" ht="12.75" hidden="false" customHeight="false" outlineLevel="0" collapsed="false">
      <c r="G4" s="4" t="s">
        <v>6</v>
      </c>
      <c r="H4" s="5" t="s">
        <v>7</v>
      </c>
      <c r="J4" s="1" t="s">
        <v>8</v>
      </c>
    </row>
    <row r="9" customFormat="false" ht="15" hidden="false" customHeight="false" outlineLevel="0" collapsed="false">
      <c r="A9" s="6" t="s">
        <v>9</v>
      </c>
    </row>
    <row r="12" customFormat="false" ht="12.75" hidden="false" customHeight="false" outlineLevel="0" collapsed="false">
      <c r="A12" s="2" t="n">
        <v>1</v>
      </c>
      <c r="B12" s="2" t="s">
        <v>10</v>
      </c>
      <c r="C12" s="2"/>
    </row>
    <row r="13" customFormat="false" ht="12.75" hidden="false" customHeight="false" outlineLevel="0" collapsed="false">
      <c r="B13" s="1" t="s">
        <v>11</v>
      </c>
    </row>
    <row r="14" customFormat="false" ht="12.75" hidden="false" customHeight="false" outlineLevel="0" collapsed="false">
      <c r="B14" s="1" t="s">
        <v>12</v>
      </c>
    </row>
    <row r="15" customFormat="false" ht="12.75" hidden="false" customHeight="false" outlineLevel="0" collapsed="false">
      <c r="B15" s="1" t="s">
        <v>13</v>
      </c>
    </row>
    <row r="17" customFormat="false" ht="12.75" hidden="false" customHeight="false" outlineLevel="0" collapsed="false">
      <c r="A17" s="2" t="n">
        <v>2</v>
      </c>
      <c r="B17" s="2" t="s">
        <v>14</v>
      </c>
      <c r="C17" s="2"/>
    </row>
    <row r="18" customFormat="false" ht="12.75" hidden="false" customHeight="false" outlineLevel="0" collapsed="false">
      <c r="A18" s="7" t="s">
        <v>15</v>
      </c>
      <c r="B18" s="1" t="s">
        <v>16</v>
      </c>
    </row>
    <row r="19" customFormat="false" ht="12.75" hidden="false" customHeight="false" outlineLevel="0" collapsed="false">
      <c r="A19" s="7" t="s">
        <v>17</v>
      </c>
      <c r="B19" s="1" t="s">
        <v>18</v>
      </c>
    </row>
    <row r="20" customFormat="false" ht="12.75" hidden="false" customHeight="false" outlineLevel="0" collapsed="false">
      <c r="A20" s="7" t="s">
        <v>19</v>
      </c>
      <c r="B20" s="1" t="s">
        <v>20</v>
      </c>
    </row>
    <row r="23" customFormat="false" ht="12.75" hidden="false" customHeight="false" outlineLevel="0" collapsed="false">
      <c r="A23" s="2" t="n">
        <v>2</v>
      </c>
      <c r="B23" s="2" t="s">
        <v>21</v>
      </c>
      <c r="C23" s="2"/>
    </row>
    <row r="24" customFormat="false" ht="12.75" hidden="false" customHeight="false" outlineLevel="0" collapsed="false">
      <c r="A24" s="7" t="s">
        <v>15</v>
      </c>
      <c r="B24" s="1" t="s">
        <v>22</v>
      </c>
    </row>
    <row r="25" customFormat="false" ht="12.75" hidden="false" customHeight="false" outlineLevel="0" collapsed="false">
      <c r="A25" s="7"/>
      <c r="B25" s="1" t="s">
        <v>23</v>
      </c>
    </row>
    <row r="26" customFormat="false" ht="12.75" hidden="false" customHeight="false" outlineLevel="0" collapsed="false">
      <c r="A26" s="7" t="s">
        <v>17</v>
      </c>
      <c r="B26" s="1" t="s">
        <v>24</v>
      </c>
    </row>
    <row r="27" customFormat="false" ht="12.75" hidden="false" customHeight="false" outlineLevel="0" collapsed="false">
      <c r="A27" s="7"/>
      <c r="B27" s="1" t="s">
        <v>25</v>
      </c>
    </row>
    <row r="28" customFormat="false" ht="12.75" hidden="false" customHeight="false" outlineLevel="0" collapsed="false">
      <c r="A28" s="7" t="s">
        <v>19</v>
      </c>
      <c r="B28" s="1" t="s">
        <v>26</v>
      </c>
    </row>
    <row r="29" customFormat="false" ht="12.75" hidden="false" customHeight="false" outlineLevel="0" collapsed="false">
      <c r="B29" s="1" t="s">
        <v>27</v>
      </c>
    </row>
    <row r="31" customFormat="false" ht="12.75" hidden="false" customHeight="false" outlineLevel="0" collapsed="false">
      <c r="A31" s="2" t="n">
        <v>3</v>
      </c>
      <c r="B31" s="2" t="s">
        <v>28</v>
      </c>
      <c r="C31" s="2"/>
      <c r="D31" s="2"/>
    </row>
    <row r="32" customFormat="false" ht="12.75" hidden="false" customHeight="false" outlineLevel="0" collapsed="false">
      <c r="A32" s="7" t="s">
        <v>15</v>
      </c>
      <c r="B32" s="1" t="s">
        <v>29</v>
      </c>
    </row>
    <row r="33" customFormat="false" ht="12.75" hidden="false" customHeight="false" outlineLevel="0" collapsed="false">
      <c r="A33" s="7"/>
      <c r="B33" s="1" t="s">
        <v>30</v>
      </c>
    </row>
    <row r="34" customFormat="false" ht="12.75" hidden="false" customHeight="false" outlineLevel="0" collapsed="false">
      <c r="A34" s="7" t="s">
        <v>17</v>
      </c>
      <c r="B34" s="1" t="s">
        <v>31</v>
      </c>
    </row>
    <row r="35" customFormat="false" ht="12.75" hidden="false" customHeight="false" outlineLevel="0" collapsed="false">
      <c r="B35" s="1" t="s">
        <v>32</v>
      </c>
    </row>
    <row r="36" customFormat="false" ht="12.75" hidden="false" customHeight="false" outlineLevel="0" collapsed="false">
      <c r="B36" s="1" t="s">
        <v>33</v>
      </c>
    </row>
    <row r="38" customFormat="false" ht="12.75" hidden="false" customHeight="false" outlineLevel="0" collapsed="false">
      <c r="B38" s="1" t="s">
        <v>34</v>
      </c>
    </row>
    <row r="39" customFormat="false" ht="12.75" hidden="false" customHeight="false" outlineLevel="0" collapsed="false">
      <c r="B39" s="1" t="s">
        <v>35</v>
      </c>
    </row>
    <row r="40" customFormat="false" ht="12.75" hidden="false" customHeight="false" outlineLevel="0" collapsed="false">
      <c r="B40" s="1" t="s">
        <v>36</v>
      </c>
    </row>
    <row r="41" customFormat="false" ht="12.75" hidden="false" customHeight="false" outlineLevel="0" collapsed="false">
      <c r="B41" s="1" t="s">
        <v>37</v>
      </c>
    </row>
    <row r="42" customFormat="false" ht="12.75" hidden="false" customHeight="false" outlineLevel="0" collapsed="false">
      <c r="B42" s="1" t="s">
        <v>38</v>
      </c>
    </row>
    <row r="43" customFormat="false" ht="12.75" hidden="false" customHeight="false" outlineLevel="0" collapsed="false">
      <c r="B43" s="1" t="s">
        <v>39</v>
      </c>
    </row>
    <row r="44" customFormat="false" ht="12.75" hidden="false" customHeight="false" outlineLevel="0" collapsed="false">
      <c r="B44" s="1" t="s">
        <v>40</v>
      </c>
    </row>
    <row r="46" customFormat="false" ht="12.75" hidden="false" customHeight="false" outlineLevel="0" collapsed="false">
      <c r="B46" s="1" t="s">
        <v>41</v>
      </c>
    </row>
    <row r="48" customFormat="false" ht="12.75" hidden="false" customHeight="false" outlineLevel="0" collapsed="false">
      <c r="A48" s="7" t="s">
        <v>19</v>
      </c>
      <c r="B48" s="1" t="s">
        <v>42</v>
      </c>
    </row>
    <row r="49" customFormat="false" ht="12.75" hidden="false" customHeight="false" outlineLevel="0" collapsed="false">
      <c r="B49" s="1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I37" activeCellId="0" sqref="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22.85"/>
    <col collapsed="false" customWidth="true" hidden="false" outlineLevel="0" max="3" min="3" style="0" width="14.85"/>
    <col collapsed="false" customWidth="true" hidden="false" outlineLevel="0" max="4" min="4" style="0" width="15.56"/>
    <col collapsed="false" customWidth="true" hidden="false" outlineLevel="0" max="5" min="5" style="0" width="16.28"/>
    <col collapsed="false" customWidth="true" hidden="false" outlineLevel="0" max="6" min="6" style="0" width="23.99"/>
    <col collapsed="false" customWidth="true" hidden="false" outlineLevel="0" max="7" min="7" style="0" width="18.99"/>
    <col collapsed="false" customWidth="true" hidden="false" outlineLevel="0" max="8" min="8" style="0" width="10.85"/>
  </cols>
  <sheetData>
    <row r="1" customFormat="false" ht="18" hidden="false" customHeight="false" outlineLevel="0" collapsed="false">
      <c r="A1" s="8" t="str">
        <f aca="false">D5</f>
        <v>PG&amp;E Gas Transmission</v>
      </c>
      <c r="D1" s="9" t="s">
        <v>44</v>
      </c>
      <c r="E1" s="10" t="n">
        <f aca="true">NOW()</f>
        <v>45926.9913582904</v>
      </c>
    </row>
    <row r="2" customFormat="false" ht="16.5" hidden="false" customHeight="false" outlineLevel="0" collapsed="false">
      <c r="B2" s="11" t="s">
        <v>10</v>
      </c>
      <c r="C2" s="12"/>
      <c r="D2" s="12"/>
      <c r="F2" s="13"/>
    </row>
    <row r="3" customFormat="false" ht="13.5" hidden="false" customHeight="false" outlineLevel="0" collapsed="false">
      <c r="F3" s="14" t="s">
        <v>45</v>
      </c>
      <c r="G3" s="15"/>
    </row>
    <row r="4" customFormat="false" ht="12.75" hidden="false" customHeight="false" outlineLevel="0" collapsed="false">
      <c r="A4" s="16" t="s">
        <v>46</v>
      </c>
      <c r="B4" s="17"/>
      <c r="C4" s="17"/>
      <c r="D4" s="15"/>
      <c r="F4" s="18" t="str">
        <f aca="false">IF(D13&gt;10,"Add More Years in workseets","")</f>
        <v/>
      </c>
      <c r="G4" s="19"/>
    </row>
    <row r="5" customFormat="false" ht="13.5" hidden="false" customHeight="false" outlineLevel="0" collapsed="false">
      <c r="A5" s="20"/>
      <c r="B5" s="21" t="s">
        <v>47</v>
      </c>
      <c r="C5" s="21"/>
      <c r="D5" s="22" t="s">
        <v>48</v>
      </c>
      <c r="F5" s="23"/>
      <c r="G5" s="24"/>
      <c r="H5" s="25"/>
    </row>
    <row r="6" customFormat="false" ht="12.75" hidden="false" customHeight="false" outlineLevel="0" collapsed="false">
      <c r="A6" s="20"/>
      <c r="B6" s="21" t="s">
        <v>49</v>
      </c>
      <c r="C6" s="21"/>
      <c r="D6" s="22" t="s">
        <v>50</v>
      </c>
      <c r="H6" s="26"/>
    </row>
    <row r="7" customFormat="false" ht="12.75" hidden="false" customHeight="false" outlineLevel="0" collapsed="false">
      <c r="A7" s="20"/>
      <c r="B7" s="21" t="s">
        <v>51</v>
      </c>
      <c r="C7" s="21"/>
      <c r="D7" s="22" t="s">
        <v>52</v>
      </c>
      <c r="H7" s="27"/>
    </row>
    <row r="8" customFormat="false" ht="12.75" hidden="false" customHeight="false" outlineLevel="0" collapsed="false">
      <c r="A8" s="20"/>
      <c r="B8" s="21" t="s">
        <v>53</v>
      </c>
      <c r="C8" s="21"/>
      <c r="D8" s="28" t="n">
        <v>1</v>
      </c>
      <c r="H8" s="26"/>
      <c r="I8" s="29" t="e">
        <f aca="false">IF(OR(#NAME?&lt;&gt;0,#NAME?&lt;&gt;0,#NAME?&lt;&gt;0,#NAME?&lt;&gt;0),"Run MLP Macros","")</f>
        <v>#NAME?</v>
      </c>
    </row>
    <row r="9" customFormat="false" ht="12.75" hidden="false" customHeight="false" outlineLevel="0" collapsed="false">
      <c r="A9" s="20"/>
      <c r="B9" s="21" t="s">
        <v>54</v>
      </c>
      <c r="C9" s="21"/>
      <c r="D9" s="28" t="n">
        <v>0</v>
      </c>
      <c r="H9" s="30"/>
    </row>
    <row r="10" customFormat="false" ht="12.75" hidden="false" customHeight="false" outlineLevel="0" collapsed="false">
      <c r="A10" s="20"/>
      <c r="B10" s="21" t="s">
        <v>55</v>
      </c>
      <c r="C10" s="21"/>
      <c r="D10" s="22" t="s">
        <v>52</v>
      </c>
      <c r="H10" s="30"/>
    </row>
    <row r="11" customFormat="false" ht="12.75" hidden="false" customHeight="false" outlineLevel="0" collapsed="false">
      <c r="A11" s="20"/>
      <c r="B11" s="21" t="s">
        <v>56</v>
      </c>
      <c r="C11" s="21"/>
      <c r="D11" s="28" t="n">
        <f aca="false">1-D8</f>
        <v>0</v>
      </c>
      <c r="H11" s="31"/>
    </row>
    <row r="12" customFormat="false" ht="12.75" hidden="false" customHeight="false" outlineLevel="0" collapsed="false">
      <c r="A12" s="20"/>
      <c r="B12" s="21" t="s">
        <v>57</v>
      </c>
      <c r="C12" s="21"/>
      <c r="D12" s="22" t="n">
        <v>2001</v>
      </c>
      <c r="H12" s="27"/>
    </row>
    <row r="13" customFormat="false" ht="12.75" hidden="false" customHeight="false" outlineLevel="0" collapsed="false">
      <c r="A13" s="20"/>
      <c r="B13" s="21" t="s">
        <v>58</v>
      </c>
      <c r="C13" s="21"/>
      <c r="D13" s="22" t="n">
        <v>10</v>
      </c>
      <c r="H13" s="32"/>
    </row>
    <row r="14" customFormat="false" ht="12.75" hidden="false" customHeight="false" outlineLevel="0" collapsed="false">
      <c r="A14" s="20"/>
      <c r="B14" s="21" t="s">
        <v>59</v>
      </c>
      <c r="C14" s="21"/>
      <c r="D14" s="33" t="n">
        <v>880000</v>
      </c>
    </row>
    <row r="15" customFormat="false" ht="12.75" hidden="false" customHeight="false" outlineLevel="0" collapsed="false">
      <c r="A15" s="20"/>
      <c r="B15" s="21" t="s">
        <v>60</v>
      </c>
      <c r="C15" s="21"/>
      <c r="D15" s="33" t="n">
        <v>85</v>
      </c>
    </row>
    <row r="16" customFormat="false" ht="13.5" hidden="false" customHeight="false" outlineLevel="0" collapsed="false">
      <c r="A16" s="23"/>
      <c r="B16" s="34" t="s">
        <v>61</v>
      </c>
      <c r="C16" s="34"/>
      <c r="D16" s="35" t="s">
        <v>62</v>
      </c>
      <c r="G16" s="27"/>
    </row>
    <row r="17" customFormat="false" ht="13.5" hidden="false" customHeight="false" outlineLevel="0" collapsed="false">
      <c r="B17" s="36"/>
      <c r="C17" s="36"/>
    </row>
    <row r="18" customFormat="false" ht="12.75" hidden="false" customHeight="false" outlineLevel="0" collapsed="false">
      <c r="A18" s="16" t="s">
        <v>63</v>
      </c>
      <c r="B18" s="17"/>
      <c r="C18" s="17"/>
      <c r="D18" s="15"/>
    </row>
    <row r="19" customFormat="false" ht="12.75" hidden="false" customHeight="false" outlineLevel="0" collapsed="false">
      <c r="A19" s="20"/>
      <c r="B19" s="21" t="s">
        <v>64</v>
      </c>
      <c r="C19" s="21"/>
      <c r="D19" s="37" t="n">
        <v>0.385</v>
      </c>
    </row>
    <row r="20" customFormat="false" ht="12.75" hidden="false" customHeight="false" outlineLevel="0" collapsed="false">
      <c r="A20" s="20"/>
      <c r="B20" s="21" t="s">
        <v>65</v>
      </c>
      <c r="C20" s="21"/>
      <c r="D20" s="38" t="n">
        <v>20</v>
      </c>
    </row>
    <row r="21" customFormat="false" ht="12.75" hidden="false" customHeight="false" outlineLevel="0" collapsed="false">
      <c r="A21" s="20"/>
      <c r="B21" s="21" t="s">
        <v>66</v>
      </c>
      <c r="C21" s="21"/>
      <c r="D21" s="37" t="n">
        <v>0.125</v>
      </c>
      <c r="E21" s="29" t="str">
        <f aca="false">IF(CLoop=0,"","Run Consolidated Macro")</f>
        <v/>
      </c>
    </row>
    <row r="22" customFormat="false" ht="12.75" hidden="false" customHeight="false" outlineLevel="0" collapsed="false">
      <c r="A22" s="20"/>
      <c r="B22" s="21" t="s">
        <v>67</v>
      </c>
      <c r="C22" s="21"/>
      <c r="D22" s="37" t="n">
        <v>0</v>
      </c>
      <c r="E22" s="39"/>
    </row>
    <row r="23" customFormat="false" ht="12.75" hidden="false" customHeight="false" outlineLevel="0" collapsed="false">
      <c r="A23" s="20"/>
      <c r="B23" s="21" t="s">
        <v>68</v>
      </c>
      <c r="C23" s="21"/>
      <c r="D23" s="40" t="n">
        <v>0</v>
      </c>
      <c r="E23" s="39"/>
    </row>
    <row r="24" customFormat="false" ht="12.75" hidden="false" customHeight="false" outlineLevel="0" collapsed="false">
      <c r="A24" s="20"/>
      <c r="B24" s="21" t="s">
        <v>69</v>
      </c>
      <c r="C24" s="21"/>
      <c r="D24" s="40" t="n">
        <v>0.077</v>
      </c>
      <c r="E24" s="39"/>
    </row>
    <row r="25" customFormat="false" ht="12.75" hidden="false" customHeight="false" outlineLevel="0" collapsed="false">
      <c r="A25" s="20"/>
      <c r="B25" s="21" t="s">
        <v>70</v>
      </c>
      <c r="C25" s="21"/>
      <c r="D25" s="40" t="n">
        <v>0.07</v>
      </c>
      <c r="E25" s="39"/>
    </row>
    <row r="26" customFormat="false" ht="12.75" hidden="false" customHeight="false" outlineLevel="0" collapsed="false">
      <c r="A26" s="20"/>
      <c r="B26" s="21" t="s">
        <v>71</v>
      </c>
      <c r="C26" s="21"/>
      <c r="D26" s="40" t="n">
        <v>0.12</v>
      </c>
      <c r="E26" s="39"/>
    </row>
    <row r="27" customFormat="false" ht="13.5" hidden="false" customHeight="false" outlineLevel="0" collapsed="false">
      <c r="A27" s="23"/>
      <c r="B27" s="34"/>
      <c r="C27" s="34"/>
      <c r="D27" s="41"/>
      <c r="E27" s="39"/>
    </row>
    <row r="28" customFormat="false" ht="13.5" hidden="false" customHeight="false" outlineLevel="0" collapsed="false"/>
    <row r="29" customFormat="false" ht="12.75" hidden="false" customHeight="false" outlineLevel="0" collapsed="false">
      <c r="A29" s="16" t="s">
        <v>72</v>
      </c>
      <c r="B29" s="17"/>
      <c r="C29" s="17"/>
      <c r="D29" s="15"/>
    </row>
    <row r="30" customFormat="false" ht="12.75" hidden="false" customHeight="false" outlineLevel="0" collapsed="false">
      <c r="A30" s="20"/>
      <c r="B30" s="21" t="s">
        <v>73</v>
      </c>
      <c r="C30" s="21"/>
      <c r="D30" s="42" t="n">
        <v>0.6</v>
      </c>
    </row>
    <row r="31" customFormat="false" ht="12.75" hidden="false" customHeight="false" outlineLevel="0" collapsed="false">
      <c r="A31" s="20"/>
      <c r="B31" s="21" t="s">
        <v>74</v>
      </c>
      <c r="C31" s="21"/>
      <c r="D31" s="43" t="n">
        <v>0.075</v>
      </c>
    </row>
    <row r="32" customFormat="false" ht="13.5" hidden="false" customHeight="false" outlineLevel="0" collapsed="false">
      <c r="A32" s="23"/>
      <c r="B32" s="34" t="s">
        <v>75</v>
      </c>
      <c r="C32" s="34"/>
      <c r="D32" s="44" t="n">
        <f aca="false">D13</f>
        <v>10</v>
      </c>
    </row>
    <row r="33" customFormat="false" ht="12.75" hidden="false" customHeight="false" outlineLevel="0" collapsed="false">
      <c r="D33" s="26"/>
    </row>
    <row r="34" customFormat="false" ht="12.75" hidden="false" customHeight="false" outlineLevel="0" collapsed="false">
      <c r="B34" s="27"/>
      <c r="C34" s="27"/>
      <c r="D34" s="27"/>
    </row>
    <row r="35" customFormat="false" ht="12.75" hidden="false" customHeight="false" outlineLevel="0" collapsed="false">
      <c r="A35" s="45" t="s">
        <v>76</v>
      </c>
    </row>
    <row r="36" customFormat="false" ht="38.25" hidden="false" customHeight="false" outlineLevel="0" collapsed="false">
      <c r="C36" s="46" t="s">
        <v>77</v>
      </c>
      <c r="D36" s="46" t="s">
        <v>78</v>
      </c>
      <c r="E36" s="46" t="s">
        <v>79</v>
      </c>
      <c r="F36" s="46" t="s">
        <v>80</v>
      </c>
      <c r="G36" s="46" t="s">
        <v>81</v>
      </c>
      <c r="H36" s="46" t="s">
        <v>82</v>
      </c>
      <c r="I36" s="47" t="s">
        <v>83</v>
      </c>
    </row>
    <row r="37" customFormat="false" ht="12.75" hidden="false" customHeight="false" outlineLevel="0" collapsed="false">
      <c r="B37" s="0" t="str">
        <f aca="false">'Asset 1'!A2</f>
        <v>  Asset 1- Cash Flow Analysis</v>
      </c>
      <c r="C37" s="48" t="n">
        <v>1</v>
      </c>
      <c r="D37" s="49" t="str">
        <f aca="false">$D$6</f>
        <v>ETS</v>
      </c>
      <c r="E37" s="49" t="n">
        <v>8</v>
      </c>
      <c r="F37" s="49"/>
      <c r="G37" s="49" t="n">
        <v>1</v>
      </c>
      <c r="H37" s="50" t="n">
        <v>0.125</v>
      </c>
      <c r="I37" s="51" t="str">
        <f aca="false">IF(Asset1Loop=1,"Run Macro!","Okay")</f>
        <v>Okay</v>
      </c>
    </row>
    <row r="38" customFormat="false" ht="12.75" hidden="false" customHeight="false" outlineLevel="0" collapsed="false">
      <c r="B38" s="52" t="s">
        <v>84</v>
      </c>
      <c r="C38" s="53" t="n">
        <v>1</v>
      </c>
      <c r="I38" s="54"/>
    </row>
    <row r="39" customFormat="false" ht="12.75" hidden="false" customHeight="false" outlineLevel="0" collapsed="false">
      <c r="I39" s="54"/>
    </row>
    <row r="40" customFormat="false" ht="12.75" hidden="false" customHeight="false" outlineLevel="0" collapsed="false">
      <c r="B40" s="0" t="str">
        <f aca="false">'Asset 2'!A2</f>
        <v>  Asset 2-Cash Flow Analysis</v>
      </c>
      <c r="C40" s="48" t="n">
        <v>0</v>
      </c>
      <c r="D40" s="49" t="str">
        <f aca="false">$D$6</f>
        <v>ETS</v>
      </c>
      <c r="E40" s="49" t="n">
        <v>4</v>
      </c>
      <c r="F40" s="49"/>
      <c r="G40" s="49" t="n">
        <v>1</v>
      </c>
      <c r="H40" s="50" t="n">
        <v>0.1</v>
      </c>
      <c r="I40" s="51" t="str">
        <f aca="false">IF(MethLoop=1,"Run Macro!","Okay")</f>
        <v>Okay</v>
      </c>
    </row>
    <row r="41" customFormat="false" ht="12.75" hidden="false" customHeight="false" outlineLevel="0" collapsed="false">
      <c r="B41" s="52" t="s">
        <v>84</v>
      </c>
      <c r="C41" s="53" t="n">
        <v>1</v>
      </c>
      <c r="I41" s="54"/>
    </row>
    <row r="42" customFormat="false" ht="12.75" hidden="false" customHeight="false" outlineLevel="0" collapsed="false">
      <c r="I42" s="54"/>
    </row>
    <row r="43" customFormat="false" ht="12.75" hidden="false" customHeight="false" outlineLevel="0" collapsed="false">
      <c r="B43" s="0" t="str">
        <f aca="false">'Asset 3'!$A$2</f>
        <v>  Asset 3- Cash Flow Analysis</v>
      </c>
      <c r="C43" s="48" t="n">
        <v>0</v>
      </c>
      <c r="D43" s="49" t="str">
        <f aca="false">$D$6</f>
        <v>ETS</v>
      </c>
      <c r="E43" s="49" t="n">
        <v>9</v>
      </c>
      <c r="F43" s="49"/>
      <c r="G43" s="49" t="n">
        <v>1</v>
      </c>
      <c r="H43" s="50" t="n">
        <v>0.1</v>
      </c>
      <c r="I43" s="55" t="str">
        <f aca="false">IF(OBLLoop=1,"Run Macro!","Okay")</f>
        <v>Okay</v>
      </c>
    </row>
    <row r="44" customFormat="false" ht="12.75" hidden="false" customHeight="false" outlineLevel="0" collapsed="false">
      <c r="B44" s="52" t="s">
        <v>84</v>
      </c>
      <c r="C44" s="53" t="n">
        <v>1</v>
      </c>
      <c r="I44" s="54"/>
    </row>
    <row r="45" customFormat="false" ht="12.75" hidden="false" customHeight="false" outlineLevel="0" collapsed="false">
      <c r="I45" s="54"/>
    </row>
    <row r="46" customFormat="false" ht="12.75" hidden="false" customHeight="false" outlineLevel="0" collapsed="false">
      <c r="I46" s="54"/>
    </row>
    <row r="48" customFormat="false" ht="15.75" hidden="false" customHeight="false" outlineLevel="0" collapsed="false">
      <c r="A48" s="56" t="s">
        <v>85</v>
      </c>
    </row>
    <row r="49" customFormat="false" ht="12.75" hidden="false" customHeight="false" outlineLevel="0" collapsed="false">
      <c r="B49" s="57"/>
      <c r="C49" s="58" t="s">
        <v>86</v>
      </c>
      <c r="D49" s="58" t="s">
        <v>87</v>
      </c>
      <c r="E49" s="59" t="s">
        <v>88</v>
      </c>
    </row>
    <row r="50" customFormat="false" ht="12.75" hidden="false" customHeight="false" outlineLevel="0" collapsed="false">
      <c r="B50" s="60" t="s">
        <v>89</v>
      </c>
      <c r="C50" s="61" t="s">
        <v>90</v>
      </c>
      <c r="D50" s="61" t="s">
        <v>90</v>
      </c>
      <c r="E50" s="62" t="s">
        <v>90</v>
      </c>
      <c r="F50" s="63"/>
    </row>
    <row r="51" customFormat="false" ht="22.5" hidden="false" customHeight="false" outlineLevel="0" collapsed="false">
      <c r="B51" s="60" t="s">
        <v>91</v>
      </c>
      <c r="C51" s="61" t="s">
        <v>92</v>
      </c>
      <c r="D51" s="61" t="s">
        <v>92</v>
      </c>
      <c r="E51" s="62" t="s">
        <v>92</v>
      </c>
      <c r="F51" s="63"/>
    </row>
    <row r="52" customFormat="false" ht="34.5" hidden="false" customHeight="false" outlineLevel="0" collapsed="false">
      <c r="B52" s="64" t="s">
        <v>93</v>
      </c>
      <c r="C52" s="65" t="s">
        <v>94</v>
      </c>
      <c r="D52" s="65" t="s">
        <v>94</v>
      </c>
      <c r="E52" s="66" t="s">
        <v>94</v>
      </c>
      <c r="F52" s="63"/>
    </row>
    <row r="54" customFormat="false" ht="15.75" hidden="false" customHeight="false" outlineLevel="0" collapsed="false">
      <c r="A54" s="56" t="s">
        <v>95</v>
      </c>
    </row>
    <row r="55" customFormat="false" ht="12.75" hidden="false" customHeight="false" outlineLevel="0" collapsed="false">
      <c r="B55" s="57"/>
      <c r="C55" s="58" t="s">
        <v>86</v>
      </c>
      <c r="D55" s="58" t="s">
        <v>87</v>
      </c>
      <c r="E55" s="59" t="s">
        <v>88</v>
      </c>
    </row>
    <row r="56" customFormat="false" ht="12.75" hidden="false" customHeight="false" outlineLevel="0" collapsed="false">
      <c r="B56" s="60" t="s">
        <v>89</v>
      </c>
      <c r="C56" s="61" t="s">
        <v>90</v>
      </c>
      <c r="D56" s="61" t="s">
        <v>90</v>
      </c>
      <c r="E56" s="62" t="s">
        <v>90</v>
      </c>
      <c r="F56" s="63"/>
    </row>
    <row r="57" customFormat="false" ht="22.5" hidden="false" customHeight="false" outlineLevel="0" collapsed="false">
      <c r="B57" s="60" t="s">
        <v>91</v>
      </c>
      <c r="C57" s="61" t="s">
        <v>96</v>
      </c>
      <c r="D57" s="61" t="s">
        <v>96</v>
      </c>
      <c r="E57" s="62" t="s">
        <v>96</v>
      </c>
      <c r="F57" s="63"/>
    </row>
    <row r="58" customFormat="false" ht="23.25" hidden="false" customHeight="false" outlineLevel="0" collapsed="false">
      <c r="B58" s="64" t="s">
        <v>93</v>
      </c>
      <c r="C58" s="65" t="s">
        <v>96</v>
      </c>
      <c r="D58" s="65" t="s">
        <v>96</v>
      </c>
      <c r="E58" s="66" t="s">
        <v>96</v>
      </c>
      <c r="F58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56"/>
  </cols>
  <sheetData>
    <row r="1" customFormat="false" ht="18.75" hidden="false" customHeight="false" outlineLevel="0" collapsed="false">
      <c r="A1" s="8" t="str">
        <f aca="false">Assumptions!A1</f>
        <v>PG&amp;E Gas Transmission</v>
      </c>
      <c r="D1" s="67" t="s">
        <v>45</v>
      </c>
    </row>
    <row r="2" customFormat="false" ht="15.75" hidden="false" customHeight="false" outlineLevel="0" collapsed="false">
      <c r="B2" s="68" t="s">
        <v>97</v>
      </c>
      <c r="D2" s="69" t="str">
        <f aca="false">IF(CLoop&lt;&gt;0,"Warning Flag: Check Unlev. Consolid sheet and run Macro","")</f>
        <v/>
      </c>
      <c r="E2" s="70"/>
      <c r="F2" s="70"/>
      <c r="G2" s="70"/>
      <c r="H2" s="71"/>
    </row>
    <row r="3" customFormat="false" ht="18.75" hidden="false" customHeight="false" outlineLevel="0" collapsed="false">
      <c r="A3" s="8"/>
      <c r="D3" s="72" t="str">
        <f aca="false">IF('Unlev. Consolid'!J56="","","Warning Flag: Check Unlev.Consolid sheet and separate Asset sheets")</f>
        <v/>
      </c>
      <c r="E3" s="73"/>
      <c r="F3" s="73"/>
      <c r="G3" s="73"/>
      <c r="H3" s="74"/>
    </row>
    <row r="5" customFormat="false" ht="12.75" hidden="false" customHeight="false" outlineLevel="0" collapsed="false">
      <c r="A5" s="45" t="s">
        <v>98</v>
      </c>
    </row>
    <row r="6" customFormat="false" ht="13.5" hidden="false" customHeight="false" outlineLevel="0" collapsed="false"/>
    <row r="7" customFormat="false" ht="12.75" hidden="false" customHeight="false" outlineLevel="0" collapsed="false">
      <c r="B7" s="75" t="s">
        <v>99</v>
      </c>
      <c r="C7" s="76"/>
      <c r="D7" s="77" t="n">
        <f aca="false">E7-0.025</f>
        <v>0.1</v>
      </c>
      <c r="E7" s="77" t="n">
        <f aca="false">ConsDRate</f>
        <v>0.125</v>
      </c>
      <c r="F7" s="78" t="n">
        <f aca="false">E7+0.025</f>
        <v>0.15</v>
      </c>
    </row>
    <row r="8" customFormat="false" ht="12.75" hidden="false" customHeight="false" outlineLevel="0" collapsed="false">
      <c r="B8" s="79" t="s">
        <v>100</v>
      </c>
      <c r="C8" s="80"/>
      <c r="D8" s="81" t="n">
        <f aca="false">'Unlev. Consolid'!M55</f>
        <v>1105091.06841423</v>
      </c>
      <c r="E8" s="81" t="n">
        <f aca="false">'Unlev. Consolid'!N55</f>
        <v>932354.211338646</v>
      </c>
      <c r="F8" s="82" t="n">
        <f aca="false">'Unlev. Consolid'!O55</f>
        <v>796328.321993282</v>
      </c>
    </row>
    <row r="9" customFormat="false" ht="13.5" hidden="false" customHeight="false" outlineLevel="0" collapsed="false">
      <c r="B9" s="83" t="s">
        <v>101</v>
      </c>
      <c r="C9" s="84" t="e">
        <f aca="false">'Unlev. Consolid'!$K$58</f>
        <v>#N/A</v>
      </c>
      <c r="D9" s="85"/>
      <c r="E9" s="85"/>
      <c r="F9" s="86"/>
    </row>
    <row r="11" customFormat="false" ht="12.75" hidden="false" customHeight="false" outlineLevel="0" collapsed="false">
      <c r="A11" s="45" t="s">
        <v>102</v>
      </c>
    </row>
    <row r="13" customFormat="false" ht="12.75" hidden="false" customHeight="false" outlineLevel="0" collapsed="false">
      <c r="B13" s="12" t="s">
        <v>103</v>
      </c>
      <c r="D13" s="87" t="n">
        <f aca="false">Assumptions!D30</f>
        <v>0.6</v>
      </c>
    </row>
    <row r="14" customFormat="false" ht="13.5" hidden="false" customHeight="false" outlineLevel="0" collapsed="false"/>
    <row r="15" customFormat="false" ht="12.75" hidden="false" customHeight="false" outlineLevel="0" collapsed="false">
      <c r="B15" s="75" t="s">
        <v>99</v>
      </c>
      <c r="C15" s="88"/>
      <c r="D15" s="77" t="n">
        <f aca="false">E15-0.025</f>
        <v>0.1</v>
      </c>
      <c r="E15" s="77" t="n">
        <f aca="false">ConsDRate</f>
        <v>0.125</v>
      </c>
      <c r="F15" s="78" t="n">
        <f aca="false">E15+0.025</f>
        <v>0.15</v>
      </c>
    </row>
    <row r="16" customFormat="false" ht="12.75" hidden="false" customHeight="false" outlineLevel="0" collapsed="false">
      <c r="B16" s="79" t="s">
        <v>104</v>
      </c>
      <c r="C16" s="80"/>
      <c r="D16" s="81" t="n">
        <f aca="false">'Lev. Consolid'!F7</f>
        <v>28285.8469998876</v>
      </c>
      <c r="E16" s="81" t="n">
        <f aca="false">'Lev. Consolid'!G7</f>
        <v>680551.208171294</v>
      </c>
      <c r="F16" s="82" t="n">
        <f aca="false">'Lev. Consolid'!H7</f>
        <v>612085.935387732</v>
      </c>
    </row>
    <row r="17" customFormat="false" ht="13.5" hidden="false" customHeight="false" outlineLevel="0" collapsed="false">
      <c r="B17" s="83" t="s">
        <v>105</v>
      </c>
      <c r="C17" s="89" t="n">
        <f aca="false">'Lev. Consolid'!$G$9</f>
        <v>0.203060909656753</v>
      </c>
      <c r="D17" s="85"/>
      <c r="E17" s="85"/>
      <c r="F17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
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F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2" topLeftCell="C13" activePane="bottomRight" state="frozen"/>
      <selection pane="topLeft" activeCell="A1" activeCellId="0" sqref="A1"/>
      <selection pane="topRight" activeCell="C1" activeCellId="0" sqref="C1"/>
      <selection pane="bottomLeft" activeCell="A13" activeCellId="0" sqref="A13"/>
      <selection pane="bottomRigh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4" min="4" style="0" width="10.13"/>
    <col collapsed="false" customWidth="true" hidden="false" outlineLevel="0" max="14" min="5" style="0" width="9.85"/>
    <col collapsed="false" customWidth="true" hidden="false" outlineLevel="0" max="15" min="15" style="0" width="10.28"/>
  </cols>
  <sheetData>
    <row r="1" customFormat="false" ht="18" hidden="false" customHeight="false" outlineLevel="0" collapsed="false">
      <c r="A1" s="8" t="str">
        <f aca="false">Assumptions!A1</f>
        <v>PG&amp;E Gas Transmission</v>
      </c>
    </row>
    <row r="2" customFormat="false" ht="15.75" hidden="false" customHeight="false" outlineLevel="0" collapsed="false">
      <c r="A2" s="68" t="s">
        <v>106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90" t="s">
        <v>107</v>
      </c>
      <c r="B4" s="17"/>
      <c r="C4" s="91" t="s">
        <v>108</v>
      </c>
      <c r="D4" s="92" t="s">
        <v>109</v>
      </c>
      <c r="F4" s="57"/>
      <c r="G4" s="93" t="s">
        <v>110</v>
      </c>
      <c r="H4" s="94"/>
      <c r="J4" s="14" t="s">
        <v>111</v>
      </c>
      <c r="K4" s="17"/>
      <c r="L4" s="17"/>
      <c r="M4" s="15"/>
    </row>
    <row r="5" customFormat="false" ht="12.75" hidden="false" customHeight="false" outlineLevel="0" collapsed="false">
      <c r="A5" s="95" t="s">
        <v>112</v>
      </c>
      <c r="B5" s="21"/>
      <c r="C5" s="96" t="n">
        <f aca="false">CPurPrice</f>
        <v>932354.172487295</v>
      </c>
      <c r="D5" s="97" t="n">
        <f aca="false">C5*(Assumptions!$D$22)</f>
        <v>0</v>
      </c>
      <c r="F5" s="20"/>
      <c r="G5" s="21"/>
      <c r="H5" s="97"/>
      <c r="J5" s="18" t="str">
        <f aca="false">IF(SUM(D51:N51)&lt;&gt;$B$8*(N12-D12+1),"Warning- Check if the Capital Structure is constant","")</f>
        <v/>
      </c>
      <c r="K5" s="21"/>
      <c r="L5" s="21"/>
      <c r="M5" s="97"/>
    </row>
    <row r="6" customFormat="false" ht="12.75" hidden="false" customHeight="false" outlineLevel="0" collapsed="false">
      <c r="A6" s="95"/>
      <c r="B6" s="21"/>
      <c r="C6" s="98"/>
      <c r="D6" s="97"/>
      <c r="F6" s="99" t="n">
        <f aca="false">G6-0.025</f>
        <v>0.1</v>
      </c>
      <c r="G6" s="100" t="n">
        <f aca="false">ConsDRate</f>
        <v>0.125</v>
      </c>
      <c r="H6" s="101" t="n">
        <f aca="false">G6+0.025</f>
        <v>0.15</v>
      </c>
      <c r="J6" s="18" t="str">
        <f aca="false">IF(SUM(D48:N48)&lt;2*(N12-D12+1),"Warning:Check EBIT/Interest Expenses","")</f>
        <v>Warning:Check EBIT/Interest Expenses</v>
      </c>
      <c r="K6" s="21"/>
      <c r="L6" s="21"/>
      <c r="M6" s="97"/>
    </row>
    <row r="7" customFormat="false" ht="13.5" hidden="false" customHeight="false" outlineLevel="0" collapsed="false">
      <c r="A7" s="20" t="s">
        <v>113</v>
      </c>
      <c r="B7" s="21"/>
      <c r="C7" s="98" t="n">
        <f aca="false">C5+D5</f>
        <v>932354.172487295</v>
      </c>
      <c r="D7" s="97"/>
      <c r="F7" s="102" t="n">
        <f aca="false">NPV(F$6,D32:N32)+C32</f>
        <v>28285.8469998876</v>
      </c>
      <c r="G7" s="103" t="n">
        <f aca="false">NPV(G$6,E32:O32)+D32</f>
        <v>680551.208171294</v>
      </c>
      <c r="H7" s="104" t="n">
        <f aca="false">NPV(H$6,F32:P32)+E32</f>
        <v>612085.935387732</v>
      </c>
      <c r="J7" s="105" t="str">
        <f aca="false">IF(SUM(D49:N49)&lt;2*(N12-D12+1),"Warning: Check EBIDT/Debt Services","")</f>
        <v>Warning: Check EBIDT/Debt Services</v>
      </c>
      <c r="K7" s="34"/>
      <c r="L7" s="34"/>
      <c r="M7" s="24"/>
    </row>
    <row r="8" customFormat="false" ht="13.5" hidden="false" customHeight="false" outlineLevel="0" collapsed="false">
      <c r="A8" s="20" t="s">
        <v>114</v>
      </c>
      <c r="B8" s="106" t="n">
        <f aca="false">Assumptions!D30</f>
        <v>0.6</v>
      </c>
      <c r="C8" s="98" t="n">
        <f aca="false">C7*$B$8</f>
        <v>559412.503492377</v>
      </c>
      <c r="D8" s="97"/>
    </row>
    <row r="9" customFormat="false" ht="13.5" hidden="false" customHeight="false" outlineLevel="0" collapsed="false">
      <c r="A9" s="23" t="s">
        <v>115</v>
      </c>
      <c r="B9" s="34"/>
      <c r="C9" s="107" t="n">
        <f aca="false">C7-C8</f>
        <v>372941.668994918</v>
      </c>
      <c r="D9" s="24"/>
      <c r="F9" s="108" t="s">
        <v>116</v>
      </c>
      <c r="G9" s="109" t="n">
        <f aca="false">IRR($C$32:$O$32)</f>
        <v>0.203060909656753</v>
      </c>
    </row>
    <row r="12" customFormat="false" ht="12.75" hidden="false" customHeight="false" outlineLevel="0" collapsed="false">
      <c r="D12" s="110" t="n">
        <f aca="false">Assumptions!D12</f>
        <v>2001</v>
      </c>
      <c r="E12" s="110" t="n">
        <f aca="false">D12+1</f>
        <v>2002</v>
      </c>
      <c r="F12" s="110" t="n">
        <f aca="false">E12+1</f>
        <v>2003</v>
      </c>
      <c r="G12" s="110" t="n">
        <f aca="false">F12+1</f>
        <v>2004</v>
      </c>
      <c r="H12" s="110" t="n">
        <f aca="false">G12+1</f>
        <v>2005</v>
      </c>
      <c r="I12" s="110" t="n">
        <f aca="false">H12+1</f>
        <v>2006</v>
      </c>
      <c r="J12" s="110" t="n">
        <f aca="false">I12+1</f>
        <v>2007</v>
      </c>
      <c r="K12" s="110" t="n">
        <f aca="false">J12+1</f>
        <v>2008</v>
      </c>
      <c r="L12" s="110" t="n">
        <f aca="false">K12+1</f>
        <v>2009</v>
      </c>
      <c r="M12" s="110" t="n">
        <f aca="false">L12+1</f>
        <v>2010</v>
      </c>
      <c r="N12" s="110" t="n">
        <f aca="false">M12+1</f>
        <v>2011</v>
      </c>
    </row>
    <row r="13" customFormat="false" ht="12.75" hidden="false" customHeight="false" outlineLevel="0" collapsed="false">
      <c r="A13" s="111" t="s">
        <v>117</v>
      </c>
      <c r="B13" s="112" t="n">
        <f aca="false">1-$B$8</f>
        <v>0.4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</row>
    <row r="14" customFormat="false" ht="12.75" hidden="false" customHeight="false" outlineLevel="0" collapsed="false">
      <c r="A14" s="114" t="s">
        <v>118</v>
      </c>
      <c r="B14" s="115"/>
      <c r="C14" s="115"/>
      <c r="D14" s="116" t="n">
        <f aca="false">'Unlev. Consolid'!G20</f>
        <v>168070</v>
      </c>
      <c r="E14" s="116" t="n">
        <f aca="false">'Unlev. Consolid'!H20</f>
        <v>168070</v>
      </c>
      <c r="F14" s="116" t="n">
        <f aca="false">'Unlev. Consolid'!I20</f>
        <v>168070</v>
      </c>
      <c r="G14" s="116" t="n">
        <f aca="false">'Unlev. Consolid'!J20</f>
        <v>168070</v>
      </c>
      <c r="H14" s="116" t="n">
        <f aca="false">'Unlev. Consolid'!K20</f>
        <v>168070</v>
      </c>
      <c r="I14" s="116" t="n">
        <f aca="false">'Unlev. Consolid'!L20</f>
        <v>168070</v>
      </c>
      <c r="J14" s="116" t="n">
        <f aca="false">'Unlev. Consolid'!M20</f>
        <v>168070</v>
      </c>
      <c r="K14" s="116" t="n">
        <f aca="false">'Unlev. Consolid'!N20</f>
        <v>168070</v>
      </c>
      <c r="L14" s="116" t="n">
        <f aca="false">'Unlev. Consolid'!O20</f>
        <v>168070</v>
      </c>
      <c r="M14" s="116" t="n">
        <f aca="false">'Unlev. Consolid'!P20</f>
        <v>168070</v>
      </c>
      <c r="N14" s="116" t="n">
        <f aca="false">'Unlev. Consolid'!Q20</f>
        <v>168070</v>
      </c>
    </row>
    <row r="15" customFormat="false" ht="12.75" hidden="false" customHeight="false" outlineLevel="0" collapsed="false">
      <c r="A15" s="0" t="s">
        <v>119</v>
      </c>
      <c r="D15" s="32" t="n">
        <f aca="false">'Unlev. Consolid'!G22</f>
        <v>47997.4086243647</v>
      </c>
      <c r="E15" s="32" t="n">
        <f aca="false">'Unlev. Consolid'!H22</f>
        <v>49377.1086243647</v>
      </c>
      <c r="F15" s="32" t="n">
        <f aca="false">'Unlev. Consolid'!I22</f>
        <v>50756.8086243647</v>
      </c>
      <c r="G15" s="32" t="n">
        <f aca="false">'Unlev. Consolid'!J22</f>
        <v>52136.5086243647</v>
      </c>
      <c r="H15" s="32" t="n">
        <f aca="false">'Unlev. Consolid'!K22</f>
        <v>53516.2086243647</v>
      </c>
      <c r="I15" s="32" t="n">
        <f aca="false">'Unlev. Consolid'!L22</f>
        <v>54895.9086243647</v>
      </c>
      <c r="J15" s="32" t="n">
        <f aca="false">'Unlev. Consolid'!M22</f>
        <v>56275.6086243647</v>
      </c>
      <c r="K15" s="32" t="n">
        <f aca="false">'Unlev. Consolid'!N22</f>
        <v>57655.3086243647</v>
      </c>
      <c r="L15" s="32" t="n">
        <f aca="false">'Unlev. Consolid'!O22</f>
        <v>59035.0086243647</v>
      </c>
      <c r="M15" s="32" t="n">
        <f aca="false">'Unlev. Consolid'!P22</f>
        <v>60414.7086243647</v>
      </c>
      <c r="N15" s="32" t="n">
        <f aca="false">'Unlev. Consolid'!Q22</f>
        <v>61794.4086243647</v>
      </c>
    </row>
    <row r="16" customFormat="false" ht="15" hidden="false" customHeight="false" outlineLevel="0" collapsed="false">
      <c r="A16" s="0" t="s">
        <v>120</v>
      </c>
      <c r="D16" s="117" t="n">
        <f aca="false">'Unlev. Consolid'!G23</f>
        <v>0</v>
      </c>
      <c r="E16" s="117" t="n">
        <f aca="false">'Unlev. Consolid'!H23</f>
        <v>0</v>
      </c>
      <c r="F16" s="117" t="n">
        <f aca="false">'Unlev. Consolid'!I23</f>
        <v>0</v>
      </c>
      <c r="G16" s="117" t="n">
        <f aca="false">'Unlev. Consolid'!J23</f>
        <v>0</v>
      </c>
      <c r="H16" s="117" t="n">
        <f aca="false">'Unlev. Consolid'!K23</f>
        <v>0</v>
      </c>
      <c r="I16" s="117" t="n">
        <f aca="false">'Unlev. Consolid'!L23</f>
        <v>0</v>
      </c>
      <c r="J16" s="117" t="n">
        <f aca="false">'Unlev. Consolid'!M23</f>
        <v>0</v>
      </c>
      <c r="K16" s="117" t="n">
        <f aca="false">'Unlev. Consolid'!N23</f>
        <v>0</v>
      </c>
      <c r="L16" s="117" t="n">
        <f aca="false">'Unlev. Consolid'!O23</f>
        <v>0</v>
      </c>
      <c r="M16" s="117" t="n">
        <f aca="false">'Unlev. Consolid'!P23</f>
        <v>0</v>
      </c>
      <c r="N16" s="117" t="n">
        <f aca="false">'Unlev. Consolid'!Q23</f>
        <v>0</v>
      </c>
    </row>
    <row r="17" customFormat="false" ht="12.75" hidden="false" customHeight="false" outlineLevel="0" collapsed="false">
      <c r="A17" s="114" t="s">
        <v>121</v>
      </c>
      <c r="B17" s="115"/>
      <c r="C17" s="115"/>
      <c r="D17" s="116" t="n">
        <f aca="false">D14-D15-D16</f>
        <v>120072.591375635</v>
      </c>
      <c r="E17" s="116" t="n">
        <f aca="false">E14-E15-E16</f>
        <v>118692.891375635</v>
      </c>
      <c r="F17" s="116" t="n">
        <f aca="false">F14-F15-F16</f>
        <v>117313.191375635</v>
      </c>
      <c r="G17" s="116" t="n">
        <f aca="false">G14-G15-G16</f>
        <v>115933.491375635</v>
      </c>
      <c r="H17" s="116" t="n">
        <f aca="false">H14-H15-H16</f>
        <v>114553.791375635</v>
      </c>
      <c r="I17" s="116" t="n">
        <f aca="false">I14-I15-I16</f>
        <v>113174.091375635</v>
      </c>
      <c r="J17" s="116" t="n">
        <f aca="false">J14-J15-J16</f>
        <v>111794.391375635</v>
      </c>
      <c r="K17" s="116" t="n">
        <f aca="false">K14-K15-K16</f>
        <v>110414.691375635</v>
      </c>
      <c r="L17" s="116" t="n">
        <f aca="false">L14-L15-L16</f>
        <v>109034.991375635</v>
      </c>
      <c r="M17" s="118" t="n">
        <f aca="false">M14-M15-M16</f>
        <v>107655.291375635</v>
      </c>
      <c r="N17" s="118" t="n">
        <f aca="false">N14-N15-N16</f>
        <v>106275.591375635</v>
      </c>
    </row>
    <row r="18" customFormat="false" ht="15" hidden="false" customHeight="false" outlineLevel="0" collapsed="false">
      <c r="A18" s="0" t="s">
        <v>122</v>
      </c>
      <c r="B18" s="119" t="n">
        <f aca="false">Assumptions!D31</f>
        <v>0.075</v>
      </c>
      <c r="D18" s="117" t="n">
        <f aca="false">$B$18*D42</f>
        <v>41955.9377619282</v>
      </c>
      <c r="E18" s="117" t="n">
        <f aca="false">$B$18*E42</f>
        <v>41037.7843738318</v>
      </c>
      <c r="F18" s="117" t="n">
        <f aca="false">$B$18*F42</f>
        <v>39309.14489176</v>
      </c>
      <c r="G18" s="117" t="n">
        <f aca="false">$B$18*G42</f>
        <v>37654.9014072774</v>
      </c>
      <c r="H18" s="117" t="n">
        <f aca="false">$B$18*H42</f>
        <v>36062.9644457708</v>
      </c>
      <c r="I18" s="117" t="n">
        <f aca="false">$B$18*I42</f>
        <v>34524.0926869944</v>
      </c>
      <c r="J18" s="117" t="n">
        <f aca="false">$B$18*J42</f>
        <v>33030.3254680714</v>
      </c>
      <c r="K18" s="117" t="n">
        <f aca="false">$B$18*K42</f>
        <v>31523.4741736249</v>
      </c>
      <c r="L18" s="117" t="n">
        <f aca="false">$B$18*L42</f>
        <v>29950.2337847284</v>
      </c>
      <c r="M18" s="117" t="n">
        <f aca="false">$B$18*M42</f>
        <v>28308.941191173</v>
      </c>
      <c r="N18" s="117" t="n">
        <f aca="false">$B$18*N42</f>
        <v>26602.8748067715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</row>
    <row r="19" customFormat="false" ht="12.75" hidden="false" customHeight="false" outlineLevel="0" collapsed="false">
      <c r="A19" s="114" t="s">
        <v>123</v>
      </c>
      <c r="B19" s="115"/>
      <c r="C19" s="115"/>
      <c r="D19" s="116" t="n">
        <f aca="false">D17-D18</f>
        <v>78116.653613707</v>
      </c>
      <c r="E19" s="116" t="n">
        <f aca="false">E17-E18</f>
        <v>77655.1070018034</v>
      </c>
      <c r="F19" s="116" t="n">
        <f aca="false">F17-F18</f>
        <v>78004.0464838753</v>
      </c>
      <c r="G19" s="116" t="n">
        <f aca="false">G17-G18</f>
        <v>78278.5899683578</v>
      </c>
      <c r="H19" s="116" t="n">
        <f aca="false">H17-H18</f>
        <v>78490.8269298645</v>
      </c>
      <c r="I19" s="116" t="n">
        <f aca="false">I17-I18</f>
        <v>78649.9986886409</v>
      </c>
      <c r="J19" s="116" t="n">
        <f aca="false">J17-J18</f>
        <v>78764.0659075639</v>
      </c>
      <c r="K19" s="116" t="n">
        <f aca="false">K17-K18</f>
        <v>78891.2172020104</v>
      </c>
      <c r="L19" s="116" t="n">
        <f aca="false">L17-L18</f>
        <v>79084.7575909069</v>
      </c>
      <c r="M19" s="118" t="n">
        <f aca="false">M17-M18</f>
        <v>79346.3501844622</v>
      </c>
      <c r="N19" s="118" t="n">
        <f aca="false">N17-N18</f>
        <v>79672.7165688637</v>
      </c>
    </row>
    <row r="20" customFormat="false" ht="13.5" hidden="false" customHeight="false" outlineLevel="0" collapsed="false">
      <c r="A20" s="0" t="s">
        <v>124</v>
      </c>
      <c r="B20" s="120" t="n">
        <f aca="false">Assumptions!D19</f>
        <v>0.385</v>
      </c>
      <c r="D20" s="121" t="n">
        <f aca="false">D19*$B$20</f>
        <v>30074.9116412772</v>
      </c>
      <c r="E20" s="121" t="n">
        <f aca="false">E19*$B$20</f>
        <v>29897.2161956943</v>
      </c>
      <c r="F20" s="121" t="n">
        <f aca="false">F19*$B$20</f>
        <v>30031.557896292</v>
      </c>
      <c r="G20" s="121" t="n">
        <f aca="false">G19*$B$20</f>
        <v>30137.2571378178</v>
      </c>
      <c r="H20" s="121" t="n">
        <f aca="false">H19*$B$20</f>
        <v>30218.9683679978</v>
      </c>
      <c r="I20" s="121" t="n">
        <f aca="false">I19*$B$20</f>
        <v>30280.2494951267</v>
      </c>
      <c r="J20" s="121" t="n">
        <f aca="false">J19*$B$20</f>
        <v>30324.1653744121</v>
      </c>
      <c r="K20" s="121" t="n">
        <f aca="false">K19*$B$20</f>
        <v>30373.118622774</v>
      </c>
      <c r="L20" s="121" t="n">
        <f aca="false">L19*$B$20</f>
        <v>30447.6316724992</v>
      </c>
      <c r="M20" s="121" t="n">
        <f aca="false">M19*$B$20</f>
        <v>30548.344821018</v>
      </c>
      <c r="N20" s="121" t="n">
        <f aca="false">N19*$B$20</f>
        <v>30673.9958790125</v>
      </c>
    </row>
    <row r="21" customFormat="false" ht="13.5" hidden="false" customHeight="false" outlineLevel="0" collapsed="false">
      <c r="A21" s="114" t="s">
        <v>125</v>
      </c>
      <c r="B21" s="115"/>
      <c r="C21" s="115"/>
      <c r="D21" s="116" t="n">
        <f aca="false">D19-D20</f>
        <v>48041.7419724298</v>
      </c>
      <c r="E21" s="116" t="n">
        <f aca="false">E19-E20</f>
        <v>47757.8908061091</v>
      </c>
      <c r="F21" s="116" t="n">
        <f aca="false">F19-F20</f>
        <v>47972.4885875833</v>
      </c>
      <c r="G21" s="116" t="n">
        <f aca="false">G19-G20</f>
        <v>48141.3328305401</v>
      </c>
      <c r="H21" s="122" t="n">
        <f aca="false">H19-H20</f>
        <v>48271.8585618667</v>
      </c>
      <c r="I21" s="116" t="n">
        <f aca="false">I19-I20</f>
        <v>48369.7491935141</v>
      </c>
      <c r="J21" s="116" t="n">
        <f aca="false">J19-J20</f>
        <v>48439.9005331518</v>
      </c>
      <c r="K21" s="116" t="n">
        <f aca="false">K19-K20</f>
        <v>48518.0985792364</v>
      </c>
      <c r="L21" s="116" t="n">
        <f aca="false">L19-L20</f>
        <v>48637.1259184077</v>
      </c>
      <c r="M21" s="118" t="n">
        <f aca="false">M19-M20</f>
        <v>48798.0053634443</v>
      </c>
      <c r="N21" s="118" t="n">
        <f aca="false">N19-N20</f>
        <v>48998.7206898512</v>
      </c>
    </row>
    <row r="22" customFormat="false" ht="12.75" hidden="false" customHeight="false" outlineLevel="0" collapsed="false">
      <c r="B22" s="12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customFormat="false" ht="12.75" hidden="false" customHeight="false" outlineLevel="0" collapsed="false"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customFormat="false" ht="15" hidden="false" customHeight="false" outlineLevel="0" collapsed="false">
      <c r="A24" s="0" t="s">
        <v>126</v>
      </c>
      <c r="B24" s="123" t="n">
        <v>0</v>
      </c>
      <c r="D24" s="117" t="n">
        <f aca="false">+(D21-D22)*$B$16</f>
        <v>0</v>
      </c>
      <c r="E24" s="117" t="n">
        <f aca="false">+(E21-E22)*$B$16</f>
        <v>0</v>
      </c>
      <c r="F24" s="117" t="n">
        <f aca="false">+(F21-F22)*$B$16</f>
        <v>0</v>
      </c>
      <c r="G24" s="117" t="n">
        <f aca="false">+(G21-G22)*$B$16</f>
        <v>0</v>
      </c>
      <c r="H24" s="117" t="n">
        <f aca="false">+(H21-H22)*$B$16</f>
        <v>0</v>
      </c>
      <c r="I24" s="117" t="n">
        <f aca="false">+(I21-I22)*$B$16</f>
        <v>0</v>
      </c>
      <c r="J24" s="117" t="n">
        <f aca="false">+(J21-J22)*$B$16</f>
        <v>0</v>
      </c>
      <c r="K24" s="117" t="n">
        <f aca="false">+(K21-K22)*$B$16</f>
        <v>0</v>
      </c>
      <c r="L24" s="117" t="n">
        <f aca="false">+(L21-L22)*$B$16</f>
        <v>0</v>
      </c>
      <c r="M24" s="117" t="n">
        <f aca="false">+(M21-M22)*$B$16</f>
        <v>0</v>
      </c>
      <c r="N24" s="117" t="n">
        <f aca="false">+(N21-N22)*$B$16</f>
        <v>0</v>
      </c>
      <c r="O24" s="124" t="s">
        <v>118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</row>
    <row r="25" customFormat="false" ht="12.75" hidden="false" customHeight="false" outlineLevel="0" collapsed="false">
      <c r="A25" s="0" t="s">
        <v>127</v>
      </c>
      <c r="D25" s="32" t="n">
        <f aca="false">+D21-D24</f>
        <v>48041.7419724298</v>
      </c>
      <c r="E25" s="32" t="n">
        <f aca="false">+E21-E24</f>
        <v>47757.8908061091</v>
      </c>
      <c r="F25" s="32" t="n">
        <f aca="false">+F21-F24</f>
        <v>47972.4885875833</v>
      </c>
      <c r="G25" s="32" t="n">
        <f aca="false">+G21-G24</f>
        <v>48141.3328305401</v>
      </c>
      <c r="H25" s="32" t="n">
        <f aca="false">+H21-H24</f>
        <v>48271.8585618667</v>
      </c>
      <c r="I25" s="32" t="n">
        <f aca="false">+I21-I24</f>
        <v>48369.7491935141</v>
      </c>
      <c r="J25" s="32" t="n">
        <f aca="false">+J21-J24</f>
        <v>48439.9005331518</v>
      </c>
      <c r="K25" s="32" t="n">
        <f aca="false">+K21-K24</f>
        <v>48518.0985792364</v>
      </c>
      <c r="L25" s="32" t="n">
        <f aca="false">+L21-L24</f>
        <v>48637.1259184077</v>
      </c>
      <c r="M25" s="32" t="n">
        <f aca="false">+M21-M24</f>
        <v>48798.0053634443</v>
      </c>
      <c r="N25" s="32" t="n">
        <f aca="false">+N21-N24</f>
        <v>48998.7206898512</v>
      </c>
      <c r="O25" s="124" t="s">
        <v>128</v>
      </c>
    </row>
    <row r="26" customFormat="false" ht="12.75" hidden="false" customHeight="false" outlineLevel="0" collapsed="false">
      <c r="A26" s="125" t="s">
        <v>129</v>
      </c>
      <c r="B26" s="126"/>
      <c r="C26" s="126"/>
      <c r="D26" s="127" t="n">
        <f aca="false">IF(D25/D46&lt;0,"NA ",D25/D46)</f>
        <v>0.131700481747858</v>
      </c>
      <c r="E26" s="127" t="n">
        <f aca="false">IF(E25/E46&lt;0,"NA ",E25/E46)</f>
        <v>0.136679714872493</v>
      </c>
      <c r="F26" s="127" t="n">
        <f aca="false">IF(F25/F46&lt;0,"NA ",F25/F46)</f>
        <v>0.143325430804609</v>
      </c>
      <c r="G26" s="127" t="n">
        <f aca="false">IF(G25/G46&lt;0,"NA ",G25/G46)</f>
        <v>0.150179000164555</v>
      </c>
      <c r="H26" s="127" t="n">
        <f aca="false">IF(H25/H46&lt;0,"NA ",H25/H46)</f>
        <v>0.157298386881453</v>
      </c>
      <c r="I26" s="127" t="n">
        <f aca="false">IF(I25/I46&lt;0,"NA ",I25/I46)</f>
        <v>0.164745478803424</v>
      </c>
      <c r="J26" s="127" t="n">
        <f aca="false">IF(J25/J46&lt;0,"NA ",J25/J46)</f>
        <v>0.172870819376218</v>
      </c>
      <c r="K26" s="127" t="n">
        <f aca="false">IF(K25/K46&lt;0,"NA ",K25/K46)</f>
        <v>0.182245191453139</v>
      </c>
      <c r="L26" s="127" t="n">
        <f aca="false">IF(L25/L46&lt;0,"NA ",L25/L46)</f>
        <v>0.193284398341503</v>
      </c>
      <c r="M26" s="127" t="n">
        <f aca="false">IF(M25/M46&lt;0,"NA ",M25/M46)</f>
        <v>0.206360239006579</v>
      </c>
      <c r="N26" s="127" t="n">
        <f aca="false">IF(N25/N46&lt;0,"NA ",N25/N46)</f>
        <v>0.22201499057275</v>
      </c>
      <c r="O26" s="128" t="n">
        <f aca="false">O28/N14</f>
        <v>8</v>
      </c>
    </row>
    <row r="27" customFormat="false" ht="12.75" hidden="false" customHeight="false" outlineLevel="0" collapsed="false">
      <c r="B27" s="121"/>
      <c r="C27" s="129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</row>
    <row r="28" customFormat="false" ht="12.75" hidden="false" customHeight="false" outlineLevel="0" collapsed="false">
      <c r="A28" s="13" t="s">
        <v>130</v>
      </c>
      <c r="D28" s="32" t="n">
        <f aca="false">D21+D15+'Unlev. Consolid'!G27</f>
        <v>96039.1505967945</v>
      </c>
      <c r="E28" s="32" t="n">
        <f aca="false">E21+E15+'Unlev. Consolid'!H27</f>
        <v>113766.101518816</v>
      </c>
      <c r="F28" s="32" t="n">
        <f aca="false">F21+F15+'Unlev. Consolid'!I27</f>
        <v>112327.454909418</v>
      </c>
      <c r="G28" s="32" t="n">
        <f aca="false">G21+G15+'Unlev. Consolid'!J27</f>
        <v>111111.70975291</v>
      </c>
      <c r="H28" s="32" t="n">
        <f aca="false">H21+H15+'Unlev. Consolid'!K27</f>
        <v>110063.008756898</v>
      </c>
      <c r="I28" s="32" t="n">
        <f aca="false">I21+I15+'Unlev. Consolid'!L27</f>
        <v>109158.576280692</v>
      </c>
      <c r="J28" s="32" t="n">
        <f aca="false">J21+J15+'Unlev. Consolid'!M27</f>
        <v>109519.484854185</v>
      </c>
      <c r="K28" s="32" t="n">
        <f aca="false">K21+K15+'Unlev. Consolid'!N27</f>
        <v>111072.99611027</v>
      </c>
      <c r="L28" s="32" t="n">
        <f aca="false">L21+L15+'Unlev. Consolid'!O27</f>
        <v>112704.294664082</v>
      </c>
      <c r="M28" s="32" t="n">
        <f aca="false">M21+M15+'Unlev. Consolid'!P27</f>
        <v>114304.591683477</v>
      </c>
      <c r="N28" s="32" t="n">
        <f aca="false">N21+N15+'Unlev. Consolid'!Q27</f>
        <v>116017.578224525</v>
      </c>
      <c r="O28" s="32" t="n">
        <f aca="false">'Unlev. Consolid'!R39</f>
        <v>1344560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</row>
    <row r="29" customFormat="false" ht="12.75" hidden="false" customHeight="false" outlineLevel="0" collapsed="false">
      <c r="A29" s="0" t="s">
        <v>131</v>
      </c>
      <c r="D29" s="32" t="n">
        <f aca="false">'Unlev. Consolid'!G34</f>
        <v>27594</v>
      </c>
      <c r="E29" s="32" t="n">
        <f aca="false">'Unlev. Consolid'!H34</f>
        <v>27594</v>
      </c>
      <c r="F29" s="32" t="n">
        <f aca="false">'Unlev. Consolid'!I34</f>
        <v>27594</v>
      </c>
      <c r="G29" s="32" t="n">
        <f aca="false">'Unlev. Consolid'!J34</f>
        <v>27594</v>
      </c>
      <c r="H29" s="32" t="n">
        <f aca="false">'Unlev. Consolid'!K34</f>
        <v>27594</v>
      </c>
      <c r="I29" s="32" t="n">
        <f aca="false">'Unlev. Consolid'!L34</f>
        <v>27594</v>
      </c>
      <c r="J29" s="32" t="n">
        <f aca="false">'Unlev. Consolid'!M34</f>
        <v>27594</v>
      </c>
      <c r="K29" s="32" t="n">
        <f aca="false">'Unlev. Consolid'!N34</f>
        <v>27594</v>
      </c>
      <c r="L29" s="32" t="n">
        <f aca="false">'Unlev. Consolid'!O34</f>
        <v>27594</v>
      </c>
      <c r="M29" s="32" t="n">
        <f aca="false">'Unlev. Consolid'!P34</f>
        <v>27594</v>
      </c>
      <c r="N29" s="32" t="n">
        <f aca="false">'Unlev. Consolid'!Q34</f>
        <v>27594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customFormat="false" ht="12.75" hidden="false" customHeight="false" outlineLevel="0" collapsed="false">
      <c r="A30" s="0" t="s">
        <v>132</v>
      </c>
      <c r="B30" s="131"/>
      <c r="D30" s="32" t="n">
        <f aca="false">D44</f>
        <v>12242.0451746188</v>
      </c>
      <c r="E30" s="32" t="n">
        <f aca="false">E44</f>
        <v>23048.5264276243</v>
      </c>
      <c r="F30" s="32" t="n">
        <f aca="false">F44</f>
        <v>22056.5797931009</v>
      </c>
      <c r="G30" s="32" t="n">
        <f aca="false">G44</f>
        <v>21225.8261534221</v>
      </c>
      <c r="H30" s="32" t="n">
        <f aca="false">H44</f>
        <v>20518.2901170189</v>
      </c>
      <c r="I30" s="32" t="n">
        <f aca="false">I44</f>
        <v>19916.896252307</v>
      </c>
      <c r="J30" s="32" t="n">
        <f aca="false">J44</f>
        <v>20091.3505926199</v>
      </c>
      <c r="K30" s="32" t="n">
        <f aca="false">K44</f>
        <v>20976.53851862</v>
      </c>
      <c r="L30" s="32" t="n">
        <f aca="false">L44</f>
        <v>21883.9012474043</v>
      </c>
      <c r="M30" s="32" t="n">
        <f aca="false">M44</f>
        <v>22747.5517920199</v>
      </c>
      <c r="N30" s="32" t="n">
        <f aca="false">N44</f>
        <v>23654.9145208045</v>
      </c>
      <c r="O30" s="132" t="n">
        <f aca="false">N43</f>
        <v>331050.082902816</v>
      </c>
    </row>
    <row r="31" customFormat="false" ht="12.75" hidden="false" customHeight="false" outlineLevel="0" collapsed="false">
      <c r="A31" s="125" t="s">
        <v>133</v>
      </c>
      <c r="B31" s="133"/>
      <c r="C31" s="115"/>
      <c r="D31" s="116" t="n">
        <f aca="false">(D28-D29-D30)</f>
        <v>56203.1054221757</v>
      </c>
      <c r="E31" s="116" t="n">
        <f aca="false">(E28-E29-E30)</f>
        <v>63123.5750911919</v>
      </c>
      <c r="F31" s="116" t="n">
        <f aca="false">(F28-F29-F30)</f>
        <v>62676.8751163172</v>
      </c>
      <c r="G31" s="116" t="n">
        <f aca="false">(G28-G29-G30)</f>
        <v>62291.8835994882</v>
      </c>
      <c r="H31" s="116" t="n">
        <f aca="false">(H28-H29-H30)</f>
        <v>61950.7186398793</v>
      </c>
      <c r="I31" s="116" t="n">
        <f aca="false">(I28-I29-I30)</f>
        <v>61647.6800283855</v>
      </c>
      <c r="J31" s="116" t="n">
        <f aca="false">(J28-J29-J30)</f>
        <v>61834.1342615651</v>
      </c>
      <c r="K31" s="116" t="n">
        <f aca="false">(K28-K29-K30)</f>
        <v>62502.4575916497</v>
      </c>
      <c r="L31" s="116" t="n">
        <f aca="false">(L28-L29-L30)</f>
        <v>63226.3934166774</v>
      </c>
      <c r="M31" s="116" t="n">
        <f aca="false">(M28-M29-M30)</f>
        <v>63963.0398914576</v>
      </c>
      <c r="N31" s="116" t="n">
        <f aca="false">(N28-N29-N30)</f>
        <v>64768.6637037207</v>
      </c>
      <c r="O31" s="116" t="n">
        <f aca="false">(O28-O29-O30)</f>
        <v>1013509.91709718</v>
      </c>
    </row>
    <row r="32" customFormat="false" ht="12.75" hidden="false" customHeight="false" outlineLevel="0" collapsed="false">
      <c r="A32" s="0" t="s">
        <v>134</v>
      </c>
      <c r="B32" s="26" t="n">
        <f aca="false">Assumptions!D8</f>
        <v>1</v>
      </c>
      <c r="C32" s="134" t="n">
        <f aca="false">-C9</f>
        <v>-372941.668994918</v>
      </c>
      <c r="D32" s="134" t="n">
        <f aca="false">$B$32*D31</f>
        <v>56203.1054221757</v>
      </c>
      <c r="E32" s="134" t="n">
        <f aca="false">$B$32*E31</f>
        <v>63123.5750911919</v>
      </c>
      <c r="F32" s="134" t="n">
        <f aca="false">$B$32*F31</f>
        <v>62676.8751163172</v>
      </c>
      <c r="G32" s="134" t="n">
        <f aca="false">$B$32*G31</f>
        <v>62291.8835994882</v>
      </c>
      <c r="H32" s="134" t="n">
        <f aca="false">$B$32*H31</f>
        <v>61950.7186398793</v>
      </c>
      <c r="I32" s="134" t="n">
        <f aca="false">$B$32*I31</f>
        <v>61647.6800283855</v>
      </c>
      <c r="J32" s="134" t="n">
        <f aca="false">$B$32*J31</f>
        <v>61834.1342615651</v>
      </c>
      <c r="K32" s="134" t="n">
        <f aca="false">$B$32*K31</f>
        <v>62502.4575916497</v>
      </c>
      <c r="L32" s="134" t="n">
        <f aca="false">$B$32*L31</f>
        <v>63226.3934166774</v>
      </c>
      <c r="M32" s="134" t="n">
        <f aca="false">$B$32*M31</f>
        <v>63963.0398914576</v>
      </c>
      <c r="N32" s="134" t="n">
        <f aca="false">$B$32*N31</f>
        <v>64768.6637037207</v>
      </c>
      <c r="O32" s="134" t="n">
        <f aca="false">$B$32*O31</f>
        <v>1013509.91709718</v>
      </c>
    </row>
    <row r="33" customFormat="false" ht="12.75" hidden="false" customHeight="false" outlineLevel="0" collapsed="false">
      <c r="B33" s="26"/>
      <c r="C33" s="134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customFormat="false" ht="12.75" hidden="false" customHeight="false" outlineLevel="0" collapsed="false">
      <c r="C34" s="134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customFormat="false" ht="12.75" hidden="false" customHeight="false" outlineLevel="0" collapsed="false">
      <c r="A35" s="136"/>
      <c r="B35" s="137"/>
      <c r="C35" s="134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customFormat="false" ht="12.75" hidden="false" customHeight="false" outlineLevel="0" collapsed="false">
      <c r="A36" s="21"/>
      <c r="B36" s="138"/>
      <c r="C36" s="13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customFormat="false" ht="12.75" hidden="false" customHeight="false" outlineLevel="0" collapsed="false">
      <c r="A37" s="9" t="s">
        <v>135</v>
      </c>
      <c r="C37" s="27"/>
      <c r="J37" s="32"/>
      <c r="K37" s="32"/>
      <c r="L37" s="26"/>
      <c r="M37" s="26"/>
      <c r="N37" s="26"/>
      <c r="O37" s="26"/>
      <c r="P37" s="26"/>
      <c r="Q37" s="26"/>
      <c r="R37" s="26"/>
      <c r="S37" s="26"/>
      <c r="T37" s="26"/>
      <c r="U37" s="32"/>
    </row>
    <row r="38" customFormat="false" ht="12.75" hidden="false" customHeight="false" outlineLevel="0" collapsed="false">
      <c r="A38" s="0" t="s">
        <v>136</v>
      </c>
      <c r="C38" s="27"/>
      <c r="D38" s="32" t="n">
        <f aca="false">D42-D30</f>
        <v>547170.458317758</v>
      </c>
      <c r="E38" s="32" t="n">
        <f aca="false">E42-E30</f>
        <v>524121.931890134</v>
      </c>
      <c r="F38" s="32" t="n">
        <f aca="false">F42-F30</f>
        <v>502065.352097033</v>
      </c>
      <c r="G38" s="32" t="n">
        <f aca="false">G42-G30</f>
        <v>480839.525943611</v>
      </c>
      <c r="H38" s="32" t="n">
        <f aca="false">H42-H30</f>
        <v>460321.235826592</v>
      </c>
      <c r="I38" s="32" t="n">
        <f aca="false">I42-I30</f>
        <v>440404.339574285</v>
      </c>
      <c r="J38" s="32" t="n">
        <f aca="false">J42-J30</f>
        <v>420312.988981665</v>
      </c>
      <c r="K38" s="32" t="n">
        <f aca="false">K42-K30</f>
        <v>399336.450463045</v>
      </c>
      <c r="L38" s="32" t="n">
        <f aca="false">L42-L30</f>
        <v>377452.54921564</v>
      </c>
      <c r="M38" s="32" t="n">
        <f aca="false">M42-M30</f>
        <v>354704.997423621</v>
      </c>
      <c r="N38" s="32" t="n">
        <f aca="false">N42-N30</f>
        <v>331050.082902816</v>
      </c>
      <c r="O38" s="32"/>
      <c r="P38" s="32"/>
      <c r="Q38" s="32"/>
      <c r="R38" s="32"/>
      <c r="S38" s="32"/>
      <c r="T38" s="32"/>
      <c r="U38" s="32"/>
    </row>
    <row r="39" customFormat="false" ht="12.75" hidden="false" customHeight="false" outlineLevel="0" collapsed="false">
      <c r="A39" s="0" t="s">
        <v>137</v>
      </c>
      <c r="D39" s="32" t="n">
        <f aca="false">$C$9+D25-D31</f>
        <v>364780.305545172</v>
      </c>
      <c r="E39" s="32" t="n">
        <f aca="false">E45+E25-E31</f>
        <v>349414.621260089</v>
      </c>
      <c r="F39" s="32" t="n">
        <f aca="false">F45+F25-F31</f>
        <v>334710.234731355</v>
      </c>
      <c r="G39" s="32" t="n">
        <f aca="false">G45+G25-G31</f>
        <v>320559.683962407</v>
      </c>
      <c r="H39" s="32" t="n">
        <f aca="false">H45+H25-H31</f>
        <v>306880.823884394</v>
      </c>
      <c r="I39" s="32" t="n">
        <f aca="false">I45+I25-I31</f>
        <v>293602.893049523</v>
      </c>
      <c r="J39" s="32" t="n">
        <f aca="false">J45+J25-J31</f>
        <v>280208.65932111</v>
      </c>
      <c r="K39" s="32" t="n">
        <f aca="false">K45+K25-K31</f>
        <v>266224.300308697</v>
      </c>
      <c r="L39" s="32" t="n">
        <f aca="false">L45+L25-L31</f>
        <v>251635.032810427</v>
      </c>
      <c r="M39" s="32" t="n">
        <f aca="false">M45+M25-M31</f>
        <v>236469.998282414</v>
      </c>
      <c r="N39" s="32" t="n">
        <f aca="false">N45+N25-N31</f>
        <v>220700.055268544</v>
      </c>
      <c r="O39" s="32"/>
      <c r="P39" s="32"/>
      <c r="Q39" s="32"/>
      <c r="R39" s="32"/>
      <c r="S39" s="32"/>
      <c r="T39" s="32"/>
    </row>
    <row r="40" customFormat="false" ht="12.75" hidden="false" customHeight="false" outlineLevel="0" collapsed="false">
      <c r="A40" s="54" t="s">
        <v>138</v>
      </c>
      <c r="D40" s="32" t="n">
        <f aca="false">D38+D39</f>
        <v>911950.76386293</v>
      </c>
      <c r="E40" s="32" t="n">
        <f aca="false">E38+E39</f>
        <v>873536.553150223</v>
      </c>
      <c r="F40" s="32" t="n">
        <f aca="false">F38+F39</f>
        <v>836775.586828388</v>
      </c>
      <c r="G40" s="32" t="n">
        <f aca="false">G38+G39</f>
        <v>801399.209906018</v>
      </c>
      <c r="H40" s="32" t="n">
        <f aca="false">H38+H39</f>
        <v>767202.059710986</v>
      </c>
      <c r="I40" s="32" t="n">
        <f aca="false">I38+I39</f>
        <v>734007.232623808</v>
      </c>
      <c r="J40" s="32" t="n">
        <f aca="false">J38+J39</f>
        <v>700521.648302775</v>
      </c>
      <c r="K40" s="32" t="n">
        <f aca="false">K38+K39</f>
        <v>665560.750771741</v>
      </c>
      <c r="L40" s="32" t="n">
        <f aca="false">L38+L39</f>
        <v>629087.582026067</v>
      </c>
      <c r="M40" s="32" t="n">
        <f aca="false">M38+M39</f>
        <v>591174.995706034</v>
      </c>
      <c r="N40" s="32" t="n">
        <f aca="false">N38+N39</f>
        <v>551750.13817136</v>
      </c>
      <c r="O40" s="32"/>
      <c r="P40" s="32"/>
      <c r="Q40" s="32"/>
      <c r="R40" s="32"/>
      <c r="S40" s="32"/>
      <c r="T40" s="32"/>
    </row>
    <row r="42" customFormat="false" ht="12.75" hidden="false" customHeight="false" outlineLevel="0" collapsed="false">
      <c r="A42" s="0" t="s">
        <v>139</v>
      </c>
      <c r="D42" s="32" t="n">
        <f aca="false">C8</f>
        <v>559412.503492377</v>
      </c>
      <c r="E42" s="32" t="n">
        <f aca="false">D43</f>
        <v>547170.458317758</v>
      </c>
      <c r="F42" s="32" t="n">
        <f aca="false">E43</f>
        <v>524121.931890134</v>
      </c>
      <c r="G42" s="32" t="n">
        <f aca="false">F43</f>
        <v>502065.352097033</v>
      </c>
      <c r="H42" s="32" t="n">
        <f aca="false">G43</f>
        <v>480839.525943611</v>
      </c>
      <c r="I42" s="32" t="n">
        <f aca="false">H43</f>
        <v>460321.235826592</v>
      </c>
      <c r="J42" s="32" t="n">
        <f aca="false">I43</f>
        <v>440404.339574285</v>
      </c>
      <c r="K42" s="32" t="n">
        <f aca="false">J43</f>
        <v>420312.988981665</v>
      </c>
      <c r="L42" s="32" t="n">
        <f aca="false">K43</f>
        <v>399336.450463045</v>
      </c>
      <c r="M42" s="32" t="n">
        <f aca="false">L43</f>
        <v>377452.54921564</v>
      </c>
      <c r="N42" s="32" t="n">
        <f aca="false">M43</f>
        <v>354704.997423621</v>
      </c>
      <c r="O42" s="32"/>
      <c r="P42" s="32"/>
      <c r="Q42" s="32"/>
      <c r="R42" s="32"/>
      <c r="S42" s="32"/>
      <c r="T42" s="32"/>
    </row>
    <row r="43" customFormat="false" ht="12.75" hidden="false" customHeight="false" outlineLevel="0" collapsed="false">
      <c r="A43" s="0" t="s">
        <v>140</v>
      </c>
      <c r="D43" s="32" t="n">
        <f aca="false">D40*$B$8</f>
        <v>547170.458317758</v>
      </c>
      <c r="E43" s="32" t="n">
        <f aca="false">E40*$B$8</f>
        <v>524121.931890134</v>
      </c>
      <c r="F43" s="32" t="n">
        <f aca="false">F40*$B$8</f>
        <v>502065.352097033</v>
      </c>
      <c r="G43" s="32" t="n">
        <f aca="false">G40*$B$8</f>
        <v>480839.525943611</v>
      </c>
      <c r="H43" s="32" t="n">
        <f aca="false">H40*$B$8</f>
        <v>460321.235826592</v>
      </c>
      <c r="I43" s="32" t="n">
        <f aca="false">I40*$B$8</f>
        <v>440404.339574285</v>
      </c>
      <c r="J43" s="32" t="n">
        <f aca="false">J40*$B$8</f>
        <v>420312.988981665</v>
      </c>
      <c r="K43" s="32" t="n">
        <f aca="false">K40*$B$8</f>
        <v>399336.450463045</v>
      </c>
      <c r="L43" s="32" t="n">
        <f aca="false">L40*$B$8</f>
        <v>377452.54921564</v>
      </c>
      <c r="M43" s="32" t="n">
        <f aca="false">M40*$B$8</f>
        <v>354704.997423621</v>
      </c>
      <c r="N43" s="32" t="n">
        <f aca="false">N40*$B$8</f>
        <v>331050.082902816</v>
      </c>
      <c r="O43" s="140"/>
      <c r="P43" s="32"/>
      <c r="Q43" s="32"/>
      <c r="R43" s="32"/>
      <c r="S43" s="32"/>
      <c r="T43" s="32"/>
    </row>
    <row r="44" customFormat="false" ht="12.75" hidden="false" customHeight="false" outlineLevel="0" collapsed="false">
      <c r="A44" s="0" t="s">
        <v>132</v>
      </c>
      <c r="D44" s="32" t="n">
        <f aca="false">D42-D43</f>
        <v>12242.0451746188</v>
      </c>
      <c r="E44" s="32" t="n">
        <f aca="false">E42-E43</f>
        <v>23048.5264276243</v>
      </c>
      <c r="F44" s="32" t="n">
        <f aca="false">F42-F43</f>
        <v>22056.5797931009</v>
      </c>
      <c r="G44" s="32" t="n">
        <f aca="false">G42-G43</f>
        <v>21225.8261534221</v>
      </c>
      <c r="H44" s="32" t="n">
        <f aca="false">H42-H43</f>
        <v>20518.2901170189</v>
      </c>
      <c r="I44" s="32" t="n">
        <f aca="false">I42-I43</f>
        <v>19916.896252307</v>
      </c>
      <c r="J44" s="32" t="n">
        <f aca="false">J42-J43</f>
        <v>20091.3505926199</v>
      </c>
      <c r="K44" s="32" t="n">
        <f aca="false">K42-K43</f>
        <v>20976.53851862</v>
      </c>
      <c r="L44" s="32" t="n">
        <f aca="false">L42-L43</f>
        <v>21883.9012474043</v>
      </c>
      <c r="M44" s="32" t="n">
        <f aca="false">M42-M43</f>
        <v>22747.5517920199</v>
      </c>
      <c r="N44" s="32" t="n">
        <f aca="false">N42-N43</f>
        <v>23654.9145208045</v>
      </c>
      <c r="O44" s="32"/>
      <c r="P44" s="32"/>
      <c r="Q44" s="32"/>
      <c r="R44" s="32"/>
      <c r="S44" s="32"/>
      <c r="T44" s="32"/>
    </row>
    <row r="45" customFormat="false" ht="12.75" hidden="false" customHeight="false" outlineLevel="0" collapsed="false">
      <c r="A45" s="0" t="s">
        <v>141</v>
      </c>
      <c r="D45" s="32" t="n">
        <f aca="false">$C$9</f>
        <v>372941.668994918</v>
      </c>
      <c r="E45" s="32" t="n">
        <f aca="false">D46</f>
        <v>364780.305545172</v>
      </c>
      <c r="F45" s="32" t="n">
        <f aca="false">E46</f>
        <v>349414.621260089</v>
      </c>
      <c r="G45" s="32" t="n">
        <f aca="false">F46</f>
        <v>334710.234731355</v>
      </c>
      <c r="H45" s="32" t="n">
        <f aca="false">G46</f>
        <v>320559.683962407</v>
      </c>
      <c r="I45" s="32" t="n">
        <f aca="false">H46</f>
        <v>306880.823884394</v>
      </c>
      <c r="J45" s="32" t="n">
        <f aca="false">I46</f>
        <v>293602.893049523</v>
      </c>
      <c r="K45" s="32" t="n">
        <f aca="false">J46</f>
        <v>280208.65932111</v>
      </c>
      <c r="L45" s="32" t="n">
        <f aca="false">K46</f>
        <v>266224.300308697</v>
      </c>
      <c r="M45" s="32" t="n">
        <f aca="false">L46</f>
        <v>251635.032810427</v>
      </c>
      <c r="N45" s="32" t="n">
        <f aca="false">M46</f>
        <v>236469.998282414</v>
      </c>
      <c r="O45" s="32"/>
      <c r="P45" s="32"/>
      <c r="Q45" s="32"/>
      <c r="R45" s="32"/>
      <c r="S45" s="32"/>
      <c r="T45" s="32"/>
    </row>
    <row r="46" customFormat="false" ht="12.75" hidden="false" customHeight="false" outlineLevel="0" collapsed="false">
      <c r="A46" s="0" t="s">
        <v>142</v>
      </c>
      <c r="D46" s="32" t="n">
        <f aca="false">D40*(1-$B$8)</f>
        <v>364780.305545172</v>
      </c>
      <c r="E46" s="32" t="n">
        <f aca="false">E40*(1-$B$8)</f>
        <v>349414.621260089</v>
      </c>
      <c r="F46" s="32" t="n">
        <f aca="false">F40*(1-$B$8)</f>
        <v>334710.234731355</v>
      </c>
      <c r="G46" s="32" t="n">
        <f aca="false">G40*(1-$B$8)</f>
        <v>320559.683962407</v>
      </c>
      <c r="H46" s="32" t="n">
        <f aca="false">H40*(1-$B$8)</f>
        <v>306880.823884394</v>
      </c>
      <c r="I46" s="32" t="n">
        <f aca="false">I40*(1-$B$8)</f>
        <v>293602.893049523</v>
      </c>
      <c r="J46" s="32" t="n">
        <f aca="false">J40*(1-$B$8)</f>
        <v>280208.65932111</v>
      </c>
      <c r="K46" s="32" t="n">
        <f aca="false">K40*(1-$B$8)</f>
        <v>266224.300308697</v>
      </c>
      <c r="L46" s="32" t="n">
        <f aca="false">L40*(1-$B$8)</f>
        <v>251635.032810427</v>
      </c>
      <c r="M46" s="32" t="n">
        <f aca="false">M40*(1-$B$8)</f>
        <v>236469.998282414</v>
      </c>
      <c r="N46" s="32" t="n">
        <f aca="false">N40*(1-$B$8)</f>
        <v>220700.055268544</v>
      </c>
      <c r="O46" s="32"/>
      <c r="P46" s="32"/>
      <c r="Q46" s="32"/>
      <c r="R46" s="32"/>
      <c r="S46" s="32"/>
      <c r="T46" s="32"/>
    </row>
    <row r="48" customFormat="false" ht="12.75" hidden="false" customHeight="false" outlineLevel="0" collapsed="false">
      <c r="A48" s="0" t="s">
        <v>143</v>
      </c>
      <c r="B48" s="134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P48" s="142"/>
      <c r="Q48" s="142"/>
      <c r="R48" s="142"/>
      <c r="S48" s="142"/>
      <c r="T48" s="142"/>
    </row>
    <row r="49" customFormat="false" ht="12.75" hidden="false" customHeight="false" outlineLevel="0" collapsed="false">
      <c r="A49" s="54" t="s">
        <v>144</v>
      </c>
      <c r="B49" s="134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P49" s="142"/>
      <c r="Q49" s="142"/>
      <c r="R49" s="142"/>
      <c r="S49" s="142"/>
      <c r="T49" s="142"/>
      <c r="U49" s="142"/>
    </row>
    <row r="51" customFormat="false" ht="12.75" hidden="false" customHeight="false" outlineLevel="0" collapsed="false">
      <c r="A51" s="12" t="s">
        <v>145</v>
      </c>
      <c r="B51" s="12"/>
      <c r="D51" s="26" t="n">
        <f aca="false">D43/D40</f>
        <v>0.6</v>
      </c>
      <c r="E51" s="26" t="n">
        <f aca="false">E43/E40</f>
        <v>0.6</v>
      </c>
      <c r="F51" s="26" t="n">
        <f aca="false">F43/F40</f>
        <v>0.6</v>
      </c>
      <c r="G51" s="26" t="n">
        <f aca="false">G43/G40</f>
        <v>0.6</v>
      </c>
      <c r="H51" s="26" t="n">
        <f aca="false">H43/H40</f>
        <v>0.6</v>
      </c>
      <c r="I51" s="26" t="n">
        <f aca="false">I43/I40</f>
        <v>0.6</v>
      </c>
      <c r="J51" s="26" t="n">
        <f aca="false">J43/J40</f>
        <v>0.6</v>
      </c>
      <c r="K51" s="26" t="n">
        <f aca="false">K43/K40</f>
        <v>0.6</v>
      </c>
      <c r="L51" s="26" t="n">
        <f aca="false">L43/L40</f>
        <v>0.6</v>
      </c>
      <c r="M51" s="26" t="n">
        <f aca="false">M43/M40</f>
        <v>0.6</v>
      </c>
      <c r="N51" s="26" t="n">
        <f aca="false">N43/N40</f>
        <v>0.6</v>
      </c>
      <c r="P51" s="26"/>
      <c r="Q51" s="26"/>
      <c r="R51" s="26"/>
      <c r="S51" s="26"/>
      <c r="T51" s="26"/>
    </row>
    <row r="52" customFormat="false" ht="12.75" hidden="false" customHeight="false" outlineLevel="0" collapsed="false">
      <c r="A52" s="143" t="s">
        <v>133</v>
      </c>
      <c r="B52" s="12"/>
      <c r="D52" s="134" t="n">
        <f aca="false">$C$9-D46+D25</f>
        <v>56203.1054221757</v>
      </c>
      <c r="E52" s="134" t="n">
        <f aca="false">E45-E46+E25</f>
        <v>63123.575091192</v>
      </c>
      <c r="F52" s="134" t="n">
        <f aca="false">F45-F46+F25</f>
        <v>62676.8751163172</v>
      </c>
      <c r="G52" s="134" t="n">
        <f aca="false">G45-G46+G25</f>
        <v>62291.8835994882</v>
      </c>
      <c r="H52" s="134" t="n">
        <f aca="false">H45-H46+H25</f>
        <v>61950.7186398793</v>
      </c>
      <c r="I52" s="134" t="n">
        <f aca="false">I45-I46+I25</f>
        <v>61647.6800283854</v>
      </c>
      <c r="J52" s="134" t="n">
        <f aca="false">J45-J46+J25</f>
        <v>61834.1342615651</v>
      </c>
      <c r="K52" s="134" t="n">
        <f aca="false">K45-K46+K25</f>
        <v>62502.4575916497</v>
      </c>
      <c r="L52" s="134" t="n">
        <f aca="false">L45-L46+L25</f>
        <v>63226.3934166773</v>
      </c>
      <c r="M52" s="134" t="n">
        <f aca="false">M45-M46+M25</f>
        <v>63963.0398914576</v>
      </c>
      <c r="N52" s="134" t="n">
        <f aca="false">N45-N46+N25</f>
        <v>64768.6637037208</v>
      </c>
      <c r="O52" s="32"/>
      <c r="P52" s="32"/>
      <c r="Q52" s="32"/>
      <c r="R52" s="32"/>
      <c r="S52" s="32"/>
      <c r="T52" s="32"/>
    </row>
    <row r="56" customFormat="false" ht="15.75" hidden="false" customHeight="false" outlineLevel="0" collapsed="false">
      <c r="D56" s="68" t="s">
        <v>146</v>
      </c>
    </row>
    <row r="57" customFormat="false" ht="13.5" hidden="false" customHeight="false" outlineLevel="0" collapsed="false"/>
    <row r="58" customFormat="false" ht="12.75" hidden="false" customHeight="false" outlineLevel="0" collapsed="false">
      <c r="D58" s="57"/>
      <c r="E58" s="17" t="s">
        <v>147</v>
      </c>
      <c r="F58" s="17"/>
      <c r="G58" s="15"/>
    </row>
    <row r="59" customFormat="false" ht="12.75" hidden="false" customHeight="false" outlineLevel="0" collapsed="false">
      <c r="D59" s="144" t="s">
        <v>148</v>
      </c>
      <c r="E59" s="145" t="n">
        <f aca="false">F6</f>
        <v>0.1</v>
      </c>
      <c r="F59" s="145" t="n">
        <f aca="false">G6</f>
        <v>0.125</v>
      </c>
      <c r="G59" s="146" t="n">
        <f aca="false">H6</f>
        <v>0.15</v>
      </c>
    </row>
    <row r="60" customFormat="false" ht="12.75" hidden="false" customHeight="false" outlineLevel="0" collapsed="false">
      <c r="D60" s="147" t="n">
        <f aca="false">B8</f>
        <v>0.6</v>
      </c>
      <c r="E60" s="148" t="n">
        <f aca="false">F7</f>
        <v>28285.8469998876</v>
      </c>
      <c r="F60" s="148" t="n">
        <f aca="false">G7</f>
        <v>680551.208171294</v>
      </c>
      <c r="G60" s="149" t="n">
        <f aca="false">H7</f>
        <v>612085.935387732</v>
      </c>
    </row>
    <row r="61" customFormat="false" ht="12.75" hidden="false" customHeight="false" outlineLevel="0" collapsed="false">
      <c r="D61" s="150" t="n">
        <v>0.2</v>
      </c>
      <c r="E61" s="98" t="n">
        <f aca="true">TABLE(E$60,$B$8,$D61)</f>
        <v>28285.8469998876</v>
      </c>
      <c r="F61" s="98" t="n">
        <f aca="true">TABLE(F$60,$B$8,$D61)</f>
        <v>680551.208171294</v>
      </c>
      <c r="G61" s="151" t="n">
        <f aca="true">TABLE(G$60,$B$8,$D61)</f>
        <v>612085.935387732</v>
      </c>
    </row>
    <row r="62" customFormat="false" ht="12.75" hidden="false" customHeight="false" outlineLevel="0" collapsed="false">
      <c r="D62" s="150" t="n">
        <f aca="false">D61+10%</f>
        <v>0.3</v>
      </c>
      <c r="E62" s="98" t="n">
        <f aca="true">TABLE(E$60,$B$8,$D62)</f>
        <v>28285.8469998876</v>
      </c>
      <c r="F62" s="98" t="n">
        <f aca="true">TABLE(F$60,$B$8,$D62)</f>
        <v>680551.208171294</v>
      </c>
      <c r="G62" s="151" t="n">
        <f aca="true">TABLE(G$60,$B$8,$D62)</f>
        <v>612085.935387732</v>
      </c>
    </row>
    <row r="63" customFormat="false" ht="12.75" hidden="false" customHeight="false" outlineLevel="0" collapsed="false">
      <c r="D63" s="150" t="n">
        <f aca="false">D62+10%</f>
        <v>0.4</v>
      </c>
      <c r="E63" s="98" t="n">
        <f aca="true">TABLE(E$60,$B$8,$D63)</f>
        <v>28285.8469998876</v>
      </c>
      <c r="F63" s="98" t="n">
        <f aca="true">TABLE(F$60,$B$8,$D63)</f>
        <v>680551.208171294</v>
      </c>
      <c r="G63" s="151" t="n">
        <f aca="true">TABLE(G$60,$B$8,$D63)</f>
        <v>612085.935387732</v>
      </c>
    </row>
    <row r="64" customFormat="false" ht="12.75" hidden="false" customHeight="false" outlineLevel="0" collapsed="false">
      <c r="D64" s="150" t="n">
        <f aca="false">D63+10%</f>
        <v>0.5</v>
      </c>
      <c r="E64" s="98" t="n">
        <f aca="true">TABLE(E$60,$B$8,$D64)</f>
        <v>28285.8469998876</v>
      </c>
      <c r="F64" s="98" t="n">
        <f aca="true">TABLE(F$60,$B$8,$D64)</f>
        <v>680551.208171294</v>
      </c>
      <c r="G64" s="151" t="n">
        <f aca="true">TABLE(G$60,$B$8,$D64)</f>
        <v>612085.935387732</v>
      </c>
    </row>
    <row r="65" customFormat="false" ht="12.75" hidden="false" customHeight="false" outlineLevel="0" collapsed="false">
      <c r="D65" s="150" t="n">
        <v>0.6</v>
      </c>
      <c r="E65" s="98" t="n">
        <f aca="true">TABLE(E$60,$B$8,$D65)</f>
        <v>28285.8469998876</v>
      </c>
      <c r="F65" s="98" t="n">
        <f aca="true">TABLE(F$60,$B$8,$D65)</f>
        <v>680551.208171294</v>
      </c>
      <c r="G65" s="151" t="n">
        <f aca="true">TABLE(G$60,$B$8,$D65)</f>
        <v>612085.935387732</v>
      </c>
    </row>
    <row r="66" customFormat="false" ht="12.75" hidden="false" customHeight="false" outlineLevel="0" collapsed="false">
      <c r="D66" s="150" t="n">
        <f aca="false">D65+10%</f>
        <v>0.7</v>
      </c>
      <c r="E66" s="98" t="n">
        <f aca="true">TABLE(E$60,$B$8,$D66)</f>
        <v>28285.8469998876</v>
      </c>
      <c r="F66" s="98" t="n">
        <f aca="true">TABLE(F$60,$B$8,$D66)</f>
        <v>680551.208171294</v>
      </c>
      <c r="G66" s="151" t="n">
        <f aca="true">TABLE(G$60,$B$8,$D66)</f>
        <v>612085.935387732</v>
      </c>
    </row>
    <row r="67" customFormat="false" ht="12.75" hidden="false" customHeight="false" outlineLevel="0" collapsed="false">
      <c r="D67" s="150" t="n">
        <f aca="false">D66+10%</f>
        <v>0.8</v>
      </c>
      <c r="E67" s="98" t="n">
        <f aca="true">TABLE(E$60,$B$8,$D67)</f>
        <v>28285.8469998876</v>
      </c>
      <c r="F67" s="98" t="n">
        <f aca="true">TABLE(F$60,$B$8,$D67)</f>
        <v>680551.208171294</v>
      </c>
      <c r="G67" s="151" t="n">
        <f aca="true">TABLE(G$60,$B$8,$D67)</f>
        <v>612085.935387732</v>
      </c>
    </row>
    <row r="68" customFormat="false" ht="12.75" hidden="false" customHeight="false" outlineLevel="0" collapsed="false">
      <c r="D68" s="150" t="n">
        <f aca="false">D67+10%</f>
        <v>0.9</v>
      </c>
      <c r="E68" s="98" t="n">
        <f aca="true">TABLE(E$60,$B$8,$D68)</f>
        <v>28285.8469998876</v>
      </c>
      <c r="F68" s="98" t="n">
        <f aca="true">TABLE(F$60,$B$8,$D68)</f>
        <v>680551.208171294</v>
      </c>
      <c r="G68" s="151" t="n">
        <f aca="true">TABLE(G$60,$B$8,$D68)</f>
        <v>612085.935387732</v>
      </c>
    </row>
    <row r="69" customFormat="false" ht="13.5" hidden="false" customHeight="false" outlineLevel="0" collapsed="false">
      <c r="D69" s="152" t="n">
        <v>0.99</v>
      </c>
      <c r="E69" s="107" t="n">
        <f aca="true">TABLE(E$60,$B$8,$D69)</f>
        <v>28285.8469998876</v>
      </c>
      <c r="F69" s="107" t="n">
        <f aca="true">TABLE(F$60,$B$8,$D69)</f>
        <v>680551.208171294</v>
      </c>
      <c r="G69" s="153" t="n">
        <f aca="true">TABLE(G$60,$B$8,$D69)</f>
        <v>612085.935387732</v>
      </c>
    </row>
  </sheetData>
  <conditionalFormatting sqref="D51:N51">
    <cfRule type="cellIs" priority="2" operator="notEqual" aboveAverage="0" equalAverage="0" bottom="0" percent="0" rank="0" text="" dxfId="0">
      <formula>A$8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true" showOutlineSymbols="true" defaultGridColor="true" view="normal" topLeftCell="A8" colorId="64" zoomScale="75" zoomScaleNormal="75" zoomScalePageLayoutView="100" workbookViewId="0">
      <selection pane="topLeft" activeCell="J55" activeCellId="0" sqref="J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14.85"/>
    <col collapsed="false" customWidth="true" hidden="false" outlineLevel="0" max="3" min="3" style="0" width="13.7"/>
    <col collapsed="false" customWidth="true" hidden="false" outlineLevel="0" max="4" min="4" style="0" width="10.99"/>
    <col collapsed="false" customWidth="true" hidden="false" outlineLevel="0" max="5" min="5" style="0" width="13.85"/>
    <col collapsed="false" customWidth="true" hidden="false" outlineLevel="0" max="6" min="6" style="21" width="14.14"/>
    <col collapsed="false" customWidth="true" hidden="false" outlineLevel="0" max="7" min="7" style="0" width="11.28"/>
    <col collapsed="false" customWidth="true" hidden="false" outlineLevel="0" max="10" min="8" style="0" width="12.28"/>
    <col collapsed="false" customWidth="true" hidden="false" outlineLevel="0" max="11" min="11" style="0" width="12.85"/>
    <col collapsed="false" customWidth="true" hidden="false" outlineLevel="0" max="12" min="12" style="0" width="14.99"/>
    <col collapsed="false" customWidth="true" hidden="false" outlineLevel="0" max="13" min="13" style="0" width="12.85"/>
    <col collapsed="false" customWidth="true" hidden="false" outlineLevel="0" max="14" min="14" style="0" width="12.28"/>
    <col collapsed="false" customWidth="true" hidden="false" outlineLevel="0" max="15" min="15" style="0" width="12.85"/>
    <col collapsed="false" customWidth="true" hidden="false" outlineLevel="0" max="16" min="16" style="0" width="12.28"/>
    <col collapsed="false" customWidth="true" hidden="false" outlineLevel="0" max="17" min="17" style="0" width="12.85"/>
    <col collapsed="false" customWidth="true" hidden="false" outlineLevel="0" max="18" min="18" style="0" width="12.28"/>
    <col collapsed="false" customWidth="true" hidden="false" outlineLevel="0" max="19" min="19" style="0" width="11.28"/>
  </cols>
  <sheetData>
    <row r="1" customFormat="false" ht="18.75" hidden="false" customHeight="false" outlineLevel="0" collapsed="false">
      <c r="A1" s="154" t="str">
        <f aca="false">Assumptions!D5</f>
        <v>PG&amp;E Gas Transmission</v>
      </c>
      <c r="B1" s="21"/>
    </row>
    <row r="2" customFormat="false" ht="15.75" hidden="false" customHeight="false" outlineLevel="0" collapsed="false">
      <c r="A2" s="155" t="s">
        <v>149</v>
      </c>
      <c r="B2" s="156"/>
      <c r="C2" s="157"/>
      <c r="E2" s="14" t="s">
        <v>45</v>
      </c>
      <c r="F2" s="158"/>
      <c r="G2" s="17"/>
      <c r="H2" s="17"/>
      <c r="I2" s="17"/>
      <c r="J2" s="15"/>
    </row>
    <row r="3" customFormat="false" ht="12.75" hidden="false" customHeight="false" outlineLevel="0" collapsed="false">
      <c r="A3" s="143"/>
      <c r="B3" s="157"/>
      <c r="C3" s="157"/>
      <c r="E3" s="18" t="str">
        <f aca="false">IF(J56="","","Warning: Check the Consolidated Purchase Price and the separate Asset Purchase Price")</f>
        <v/>
      </c>
      <c r="G3" s="21"/>
      <c r="H3" s="21"/>
      <c r="I3" s="21"/>
      <c r="J3" s="97"/>
    </row>
    <row r="4" customFormat="false" ht="13.5" hidden="false" customHeight="false" outlineLevel="0" collapsed="false">
      <c r="A4" s="159"/>
      <c r="E4" s="160" t="str">
        <f aca="false">IF(CLoop&lt;&gt;0,"Run Macro","")</f>
        <v/>
      </c>
      <c r="F4" s="161"/>
      <c r="G4" s="162"/>
      <c r="H4" s="163"/>
      <c r="I4" s="34"/>
      <c r="J4" s="24"/>
    </row>
    <row r="5" customFormat="false" ht="12.75" hidden="false" customHeight="false" outlineLevel="0" collapsed="false">
      <c r="A5" s="159"/>
      <c r="E5" s="164"/>
      <c r="F5" s="165"/>
      <c r="G5" s="164"/>
      <c r="H5" s="166"/>
      <c r="I5" s="21"/>
      <c r="J5" s="21"/>
    </row>
    <row r="6" customFormat="false" ht="12.75" hidden="false" customHeight="false" outlineLevel="0" collapsed="false">
      <c r="A6" s="45" t="s">
        <v>150</v>
      </c>
      <c r="E6" s="167"/>
      <c r="F6" s="168" t="n">
        <f aca="false">G6-1</f>
        <v>2000</v>
      </c>
      <c r="G6" s="110" t="n">
        <f aca="false">Assumptions!$D$12</f>
        <v>2001</v>
      </c>
      <c r="H6" s="110" t="n">
        <f aca="false">G6+1</f>
        <v>2002</v>
      </c>
      <c r="I6" s="110" t="n">
        <f aca="false">H6+1</f>
        <v>2003</v>
      </c>
      <c r="J6" s="110" t="n">
        <f aca="false">I6+1</f>
        <v>2004</v>
      </c>
      <c r="K6" s="110" t="n">
        <f aca="false">J6+1</f>
        <v>2005</v>
      </c>
      <c r="L6" s="110" t="n">
        <f aca="false">K6+1</f>
        <v>2006</v>
      </c>
      <c r="M6" s="110" t="n">
        <f aca="false">L6+1</f>
        <v>2007</v>
      </c>
      <c r="N6" s="110" t="n">
        <f aca="false">M6+1</f>
        <v>2008</v>
      </c>
      <c r="O6" s="110" t="n">
        <f aca="false">N6+1</f>
        <v>2009</v>
      </c>
      <c r="P6" s="110" t="n">
        <f aca="false">O6+1</f>
        <v>2010</v>
      </c>
      <c r="Q6" s="110" t="n">
        <f aca="false">P6+1</f>
        <v>2011</v>
      </c>
    </row>
    <row r="7" customFormat="false" ht="12.75" hidden="false" customHeight="false" outlineLevel="0" collapsed="false">
      <c r="A7" s="169" t="s">
        <v>151</v>
      </c>
      <c r="B7" s="136" t="s">
        <v>152</v>
      </c>
      <c r="E7" s="170"/>
      <c r="F7" s="171"/>
    </row>
    <row r="8" customFormat="false" ht="12.75" hidden="false" customHeight="false" outlineLevel="0" collapsed="false">
      <c r="A8" s="0" t="str">
        <f aca="false">'Asset 1'!A2</f>
        <v>  Asset 1- Cash Flow Analysis</v>
      </c>
      <c r="B8" s="172" t="n">
        <f aca="false">Assumptions!$C$37</f>
        <v>1</v>
      </c>
      <c r="C8" s="39"/>
      <c r="E8" s="173"/>
      <c r="F8" s="174" t="n">
        <f aca="false">'Asset 1'!F11*$B$8</f>
        <v>222700</v>
      </c>
      <c r="G8" s="32" t="n">
        <f aca="false">'Asset 1'!G11*$B$8</f>
        <v>222700</v>
      </c>
      <c r="H8" s="32" t="n">
        <f aca="false">'Asset 1'!H11*$B$8</f>
        <v>222700</v>
      </c>
      <c r="I8" s="32" t="n">
        <f aca="false">'Asset 1'!I11*$B$8</f>
        <v>222700</v>
      </c>
      <c r="J8" s="32" t="n">
        <f aca="false">'Asset 1'!J11*$B$8</f>
        <v>222700</v>
      </c>
      <c r="K8" s="32" t="n">
        <f aca="false">'Asset 1'!K11*$B$8</f>
        <v>222700</v>
      </c>
      <c r="L8" s="32" t="n">
        <f aca="false">'Asset 1'!L11*$B$8</f>
        <v>222700</v>
      </c>
      <c r="M8" s="32" t="n">
        <f aca="false">'Asset 1'!M11*$B$8</f>
        <v>222700</v>
      </c>
      <c r="N8" s="32" t="n">
        <f aca="false">'Asset 1'!N11*$B$8</f>
        <v>222700</v>
      </c>
      <c r="O8" s="32" t="n">
        <f aca="false">'Asset 1'!O11*$B$8</f>
        <v>222700</v>
      </c>
      <c r="P8" s="32" t="n">
        <f aca="false">'Asset 1'!P11*$B$8</f>
        <v>222700</v>
      </c>
      <c r="Q8" s="32" t="n">
        <f aca="false">'Asset 1'!Q11*$B$8</f>
        <v>222700</v>
      </c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customFormat="false" ht="12.75" hidden="false" customHeight="false" outlineLevel="0" collapsed="false">
      <c r="A9" s="0" t="str">
        <f aca="false">'Asset 2'!A2</f>
        <v>  Asset 2-Cash Flow Analysis</v>
      </c>
      <c r="B9" s="172" t="n">
        <f aca="false">Assumptions!$C$40</f>
        <v>0</v>
      </c>
      <c r="C9" s="39"/>
      <c r="E9" s="173"/>
      <c r="F9" s="174" t="n">
        <f aca="false">'Asset 2'!F9*$B$9</f>
        <v>0</v>
      </c>
      <c r="G9" s="32" t="n">
        <f aca="false">'Asset 2'!G9*$B$9</f>
        <v>0</v>
      </c>
      <c r="H9" s="32" t="n">
        <f aca="false">'Asset 2'!H9*$B$9</f>
        <v>0</v>
      </c>
      <c r="I9" s="32" t="n">
        <f aca="false">'Asset 2'!I9*$B$9</f>
        <v>0</v>
      </c>
      <c r="J9" s="32" t="n">
        <f aca="false">'Asset 2'!J9*$B$9</f>
        <v>0</v>
      </c>
      <c r="K9" s="32" t="n">
        <f aca="false">'Asset 2'!K9*$B$9</f>
        <v>0</v>
      </c>
      <c r="L9" s="32" t="n">
        <f aca="false">'Asset 2'!L9*$B$9</f>
        <v>0</v>
      </c>
      <c r="M9" s="32" t="n">
        <f aca="false">'Asset 2'!M9*$B$9</f>
        <v>0</v>
      </c>
      <c r="N9" s="32" t="n">
        <f aca="false">'Asset 2'!N9*$B$9</f>
        <v>0</v>
      </c>
      <c r="O9" s="32" t="n">
        <f aca="false">'Asset 2'!O9*$B$9</f>
        <v>0</v>
      </c>
      <c r="P9" s="32" t="n">
        <f aca="false">'Asset 2'!P9*$B$9</f>
        <v>0</v>
      </c>
      <c r="Q9" s="32" t="n">
        <f aca="false">'Asset 2'!Q9*$B$9</f>
        <v>0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customFormat="false" ht="12.75" hidden="false" customHeight="false" outlineLevel="0" collapsed="false">
      <c r="A10" s="0" t="str">
        <f aca="false">'Asset 3'!A2</f>
        <v>  Asset 3- Cash Flow Analysis</v>
      </c>
      <c r="B10" s="172" t="n">
        <f aca="false">Assumptions!$C$43</f>
        <v>0</v>
      </c>
      <c r="C10" s="39"/>
      <c r="E10" s="173"/>
      <c r="F10" s="175" t="n">
        <f aca="false">'Asset 3'!F9*$B$10</f>
        <v>0</v>
      </c>
      <c r="G10" s="32" t="n">
        <f aca="false">'Asset 3'!G9*$B$10</f>
        <v>0</v>
      </c>
      <c r="H10" s="32" t="n">
        <f aca="false">'Asset 3'!H9*$B$10</f>
        <v>0</v>
      </c>
      <c r="I10" s="32" t="n">
        <f aca="false">'Asset 3'!I9*$B$10</f>
        <v>0</v>
      </c>
      <c r="J10" s="32" t="n">
        <f aca="false">'Asset 3'!J9*$B$10</f>
        <v>0</v>
      </c>
      <c r="K10" s="32" t="n">
        <f aca="false">'Asset 3'!K9*$B$10</f>
        <v>0</v>
      </c>
      <c r="L10" s="32" t="n">
        <f aca="false">'Asset 3'!L9*$B$10</f>
        <v>0</v>
      </c>
      <c r="M10" s="32" t="n">
        <f aca="false">'Asset 3'!M9*$B$10</f>
        <v>0</v>
      </c>
      <c r="N10" s="32" t="n">
        <f aca="false">'Asset 3'!N9*$B$10</f>
        <v>0</v>
      </c>
      <c r="O10" s="32" t="n">
        <f aca="false">'Asset 3'!O9*$B$10</f>
        <v>0</v>
      </c>
      <c r="P10" s="32" t="n">
        <f aca="false">'Asset 3'!P9*$B$10</f>
        <v>0</v>
      </c>
      <c r="Q10" s="32" t="n">
        <f aca="false">'Asset 3'!Q9*$B$10</f>
        <v>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customFormat="false" ht="12.75" hidden="false" customHeight="false" outlineLevel="0" collapsed="false">
      <c r="A11" s="176" t="s">
        <v>153</v>
      </c>
      <c r="B11" s="115"/>
      <c r="C11" s="115"/>
      <c r="D11" s="115"/>
      <c r="E11" s="177"/>
      <c r="F11" s="178" t="n">
        <f aca="false">SUM(F8:F10)</f>
        <v>222700</v>
      </c>
      <c r="G11" s="116" t="n">
        <f aca="false">SUM(G8:G10)</f>
        <v>222700</v>
      </c>
      <c r="H11" s="116" t="n">
        <f aca="false">SUM(H8:H10)</f>
        <v>222700</v>
      </c>
      <c r="I11" s="116" t="n">
        <f aca="false">SUM(I8:I10)</f>
        <v>222700</v>
      </c>
      <c r="J11" s="116" t="n">
        <f aca="false">SUM(J8:J10)</f>
        <v>222700</v>
      </c>
      <c r="K11" s="116" t="n">
        <f aca="false">SUM(K8:K10)</f>
        <v>222700</v>
      </c>
      <c r="L11" s="116" t="n">
        <f aca="false">SUM(L8:L10)</f>
        <v>222700</v>
      </c>
      <c r="M11" s="116" t="n">
        <f aca="false">SUM(M8:M10)</f>
        <v>222700</v>
      </c>
      <c r="N11" s="116" t="n">
        <f aca="false">SUM(N8:N10)</f>
        <v>222700</v>
      </c>
      <c r="O11" s="116" t="n">
        <f aca="false">SUM(O8:O10)</f>
        <v>222700</v>
      </c>
      <c r="P11" s="116" t="n">
        <f aca="false">SUM(P8:P10)</f>
        <v>222700</v>
      </c>
      <c r="Q11" s="116" t="n">
        <f aca="false">SUM(Q8:Q10)</f>
        <v>222700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customFormat="false" ht="12.75" hidden="false" customHeight="false" outlineLevel="0" collapsed="false">
      <c r="E12" s="179"/>
      <c r="F12" s="180"/>
      <c r="G12" s="181"/>
      <c r="H12" s="181"/>
      <c r="I12" s="182"/>
      <c r="J12" s="182"/>
      <c r="K12" s="182"/>
      <c r="L12" s="182"/>
      <c r="M12" s="182"/>
      <c r="N12" s="182"/>
      <c r="O12" s="182"/>
      <c r="P12" s="182"/>
      <c r="Q12" s="182"/>
    </row>
    <row r="13" customFormat="false" ht="12.75" hidden="false" customHeight="false" outlineLevel="0" collapsed="false">
      <c r="A13" s="169" t="s">
        <v>154</v>
      </c>
      <c r="B13" s="136" t="s">
        <v>152</v>
      </c>
      <c r="E13" s="183"/>
      <c r="F13" s="184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customFormat="false" ht="12.75" hidden="false" customHeight="false" outlineLevel="0" collapsed="false">
      <c r="A14" s="0" t="str">
        <f aca="false">A8</f>
        <v>  Asset 1- Cash Flow Analysis</v>
      </c>
      <c r="B14" s="172" t="n">
        <f aca="false">Assumptions!$C$37</f>
        <v>1</v>
      </c>
      <c r="E14" s="185"/>
      <c r="F14" s="184" t="n">
        <f aca="false">'Asset 1'!F14*$B$14</f>
        <v>60700</v>
      </c>
      <c r="G14" s="121" t="n">
        <f aca="false">'Asset 1'!G14*$B$14</f>
        <v>54630</v>
      </c>
      <c r="H14" s="121" t="n">
        <f aca="false">'Asset 1'!H14*$B$14</f>
        <v>54630</v>
      </c>
      <c r="I14" s="121" t="n">
        <f aca="false">'Asset 1'!I14*$B$14</f>
        <v>54630</v>
      </c>
      <c r="J14" s="121" t="n">
        <f aca="false">'Asset 1'!J14*$B$14</f>
        <v>54630</v>
      </c>
      <c r="K14" s="121" t="n">
        <f aca="false">'Asset 1'!K14*$B$14</f>
        <v>54630</v>
      </c>
      <c r="L14" s="121" t="n">
        <f aca="false">'Asset 1'!L14*$B$14</f>
        <v>54630</v>
      </c>
      <c r="M14" s="121" t="n">
        <f aca="false">'Asset 1'!M14*$B$14</f>
        <v>54630</v>
      </c>
      <c r="N14" s="121" t="n">
        <f aca="false">'Asset 1'!N14*$B$14</f>
        <v>54630</v>
      </c>
      <c r="O14" s="121" t="n">
        <f aca="false">'Asset 1'!O14*$B$14</f>
        <v>54630</v>
      </c>
      <c r="P14" s="121" t="n">
        <f aca="false">'Asset 1'!P14*$B$14</f>
        <v>54630</v>
      </c>
      <c r="Q14" s="121" t="n">
        <f aca="false">'Asset 1'!Q14*$B$14</f>
        <v>54630</v>
      </c>
    </row>
    <row r="15" customFormat="false" ht="12.75" hidden="false" customHeight="false" outlineLevel="0" collapsed="false">
      <c r="A15" s="0" t="str">
        <f aca="false">A9</f>
        <v>  Asset 2-Cash Flow Analysis</v>
      </c>
      <c r="B15" s="172" t="n">
        <f aca="false">Assumptions!$C$40</f>
        <v>0</v>
      </c>
      <c r="E15" s="185"/>
      <c r="F15" s="184" t="n">
        <f aca="false">'Asset 2'!F12*$B$15</f>
        <v>0</v>
      </c>
      <c r="G15" s="121" t="n">
        <f aca="false">'Asset 2'!G12*$B$15</f>
        <v>0</v>
      </c>
      <c r="H15" s="121" t="n">
        <f aca="false">'Asset 2'!H12*$B$15</f>
        <v>0</v>
      </c>
      <c r="I15" s="121" t="n">
        <f aca="false">'Asset 2'!I12*$B$15</f>
        <v>0</v>
      </c>
      <c r="J15" s="121" t="n">
        <f aca="false">'Asset 2'!J12*$B$15</f>
        <v>0</v>
      </c>
      <c r="K15" s="121" t="n">
        <f aca="false">'Asset 2'!K12*$B$15</f>
        <v>0</v>
      </c>
      <c r="L15" s="121" t="n">
        <f aca="false">'Asset 2'!L12*$B$15</f>
        <v>0</v>
      </c>
      <c r="M15" s="121" t="n">
        <f aca="false">'Asset 2'!M12*$B$15</f>
        <v>0</v>
      </c>
      <c r="N15" s="121" t="n">
        <f aca="false">'Asset 2'!N12*$B$15</f>
        <v>0</v>
      </c>
      <c r="O15" s="121" t="n">
        <f aca="false">'Asset 2'!O12*$B$15</f>
        <v>0</v>
      </c>
      <c r="P15" s="121" t="n">
        <f aca="false">'Asset 2'!P12*$B$15</f>
        <v>0</v>
      </c>
      <c r="Q15" s="121" t="n">
        <f aca="false">'Asset 2'!Q12*$B$15</f>
        <v>0</v>
      </c>
    </row>
    <row r="16" customFormat="false" ht="12.75" hidden="false" customHeight="false" outlineLevel="0" collapsed="false">
      <c r="A16" s="0" t="str">
        <f aca="false">A10</f>
        <v>  Asset 3- Cash Flow Analysis</v>
      </c>
      <c r="B16" s="172" t="n">
        <f aca="false">Assumptions!$C$43</f>
        <v>0</v>
      </c>
      <c r="E16" s="185"/>
      <c r="F16" s="186" t="n">
        <f aca="false">'Asset 3'!F12*$B$16</f>
        <v>0</v>
      </c>
      <c r="G16" s="187" t="n">
        <f aca="false">'Asset 3'!G12*$B$16</f>
        <v>0</v>
      </c>
      <c r="H16" s="188" t="n">
        <f aca="false">'Asset 3'!H12*$B$16</f>
        <v>0</v>
      </c>
      <c r="I16" s="188" t="n">
        <f aca="false">'Asset 3'!I12*$B$16</f>
        <v>0</v>
      </c>
      <c r="J16" s="188" t="n">
        <f aca="false">'Asset 3'!J12*$B$16</f>
        <v>0</v>
      </c>
      <c r="K16" s="188" t="n">
        <f aca="false">'Asset 3'!K12*$B$16</f>
        <v>0</v>
      </c>
      <c r="L16" s="188" t="n">
        <f aca="false">'Asset 3'!L12*$B$16</f>
        <v>0</v>
      </c>
      <c r="M16" s="188" t="n">
        <f aca="false">'Asset 3'!M12*$B$16</f>
        <v>0</v>
      </c>
      <c r="N16" s="188" t="n">
        <f aca="false">'Asset 3'!N12*$B$16</f>
        <v>0</v>
      </c>
      <c r="O16" s="188" t="n">
        <f aca="false">'Asset 3'!O12*$B$16</f>
        <v>0</v>
      </c>
      <c r="P16" s="188" t="n">
        <f aca="false">'Asset 3'!P12*$B$16</f>
        <v>0</v>
      </c>
      <c r="Q16" s="188" t="n">
        <f aca="false">'Asset 3'!Q12*$B$16</f>
        <v>0</v>
      </c>
    </row>
    <row r="17" customFormat="false" ht="12.75" hidden="false" customHeight="false" outlineLevel="0" collapsed="false">
      <c r="A17" s="176" t="str">
        <f aca="false">A11</f>
        <v>TOTAL</v>
      </c>
      <c r="B17" s="115"/>
      <c r="C17" s="115"/>
      <c r="D17" s="115"/>
      <c r="E17" s="177"/>
      <c r="F17" s="186" t="n">
        <f aca="false">SUM(F14:F16)</f>
        <v>60700</v>
      </c>
      <c r="G17" s="188" t="n">
        <f aca="false">SUM(G14:G16)</f>
        <v>54630</v>
      </c>
      <c r="H17" s="188" t="n">
        <f aca="false">SUM(H14:H16)</f>
        <v>54630</v>
      </c>
      <c r="I17" s="188" t="n">
        <f aca="false">SUM(I14:I16)</f>
        <v>54630</v>
      </c>
      <c r="J17" s="188" t="n">
        <f aca="false">SUM(J14:J16)</f>
        <v>54630</v>
      </c>
      <c r="K17" s="188" t="n">
        <f aca="false">SUM(K14:K16)</f>
        <v>54630</v>
      </c>
      <c r="L17" s="188" t="n">
        <f aca="false">SUM(L14:L16)</f>
        <v>54630</v>
      </c>
      <c r="M17" s="188" t="n">
        <f aca="false">SUM(M14:M16)</f>
        <v>54630</v>
      </c>
      <c r="N17" s="188" t="n">
        <f aca="false">SUM(N14:N16)</f>
        <v>54630</v>
      </c>
      <c r="O17" s="188" t="n">
        <f aca="false">SUM(O14:O16)</f>
        <v>54630</v>
      </c>
      <c r="P17" s="188" t="n">
        <f aca="false">SUM(P14:P16)</f>
        <v>54630</v>
      </c>
      <c r="Q17" s="189" t="n">
        <f aca="false">SUM(Q14:Q16)</f>
        <v>54630</v>
      </c>
    </row>
    <row r="18" customFormat="false" ht="12.75" hidden="false" customHeight="false" outlineLevel="0" collapsed="false">
      <c r="A18" s="190"/>
      <c r="B18" s="21"/>
      <c r="C18" s="21"/>
      <c r="D18" s="21"/>
      <c r="E18" s="179"/>
      <c r="F18" s="191"/>
      <c r="G18" s="157"/>
      <c r="H18" s="157"/>
      <c r="I18" s="121"/>
      <c r="J18" s="121"/>
      <c r="K18" s="121"/>
      <c r="L18" s="121"/>
      <c r="M18" s="121"/>
      <c r="N18" s="121"/>
      <c r="O18" s="121"/>
      <c r="P18" s="121"/>
      <c r="Q18" s="121"/>
    </row>
    <row r="19" customFormat="false" ht="12.75" hidden="false" customHeight="false" outlineLevel="0" collapsed="false">
      <c r="A19" s="12" t="s">
        <v>155</v>
      </c>
      <c r="B19" s="12"/>
      <c r="C19" s="12"/>
      <c r="D19" s="192"/>
      <c r="E19" s="193"/>
      <c r="F19" s="194" t="n">
        <f aca="false">F11/F17</f>
        <v>3.66886326194399</v>
      </c>
      <c r="G19" s="195" t="n">
        <f aca="false">G11/G17</f>
        <v>4.07651473549332</v>
      </c>
      <c r="H19" s="195" t="n">
        <f aca="false">H11/H17</f>
        <v>4.07651473549332</v>
      </c>
      <c r="I19" s="195" t="n">
        <f aca="false">I11/I17</f>
        <v>4.07651473549332</v>
      </c>
      <c r="J19" s="195" t="n">
        <f aca="false">J11/J17</f>
        <v>4.07651473549332</v>
      </c>
      <c r="K19" s="195" t="n">
        <f aca="false">K11/K17</f>
        <v>4.07651473549332</v>
      </c>
      <c r="L19" s="195" t="n">
        <f aca="false">L11/L17</f>
        <v>4.07651473549332</v>
      </c>
      <c r="M19" s="195" t="n">
        <f aca="false">M11/M17</f>
        <v>4.07651473549332</v>
      </c>
      <c r="N19" s="195" t="n">
        <f aca="false">N11/N17</f>
        <v>4.07651473549332</v>
      </c>
      <c r="O19" s="195" t="n">
        <f aca="false">O11/O17</f>
        <v>4.07651473549332</v>
      </c>
      <c r="P19" s="195" t="n">
        <f aca="false">P11/P17</f>
        <v>4.07651473549332</v>
      </c>
      <c r="Q19" s="195" t="n">
        <f aca="false">Q11/Q17</f>
        <v>4.07651473549332</v>
      </c>
    </row>
    <row r="20" customFormat="false" ht="12.75" hidden="false" customHeight="false" outlineLevel="0" collapsed="false">
      <c r="A20" s="114" t="s">
        <v>118</v>
      </c>
      <c r="B20" s="115"/>
      <c r="C20" s="115"/>
      <c r="D20" s="115"/>
      <c r="E20" s="178"/>
      <c r="F20" s="175" t="n">
        <f aca="false">F11-F17</f>
        <v>162000</v>
      </c>
      <c r="G20" s="116" t="n">
        <f aca="false">G11-G17</f>
        <v>168070</v>
      </c>
      <c r="H20" s="116" t="n">
        <f aca="false">H11-H17</f>
        <v>168070</v>
      </c>
      <c r="I20" s="116" t="n">
        <f aca="false">I11-I17</f>
        <v>168070</v>
      </c>
      <c r="J20" s="116" t="n">
        <f aca="false">J11-J17</f>
        <v>168070</v>
      </c>
      <c r="K20" s="116" t="n">
        <f aca="false">K11-K17</f>
        <v>168070</v>
      </c>
      <c r="L20" s="116" t="n">
        <f aca="false">L11-L17</f>
        <v>168070</v>
      </c>
      <c r="M20" s="116" t="n">
        <f aca="false">M11-M17</f>
        <v>168070</v>
      </c>
      <c r="N20" s="116" t="n">
        <f aca="false">N11-N17</f>
        <v>168070</v>
      </c>
      <c r="O20" s="116" t="n">
        <f aca="false">O11-O17</f>
        <v>168070</v>
      </c>
      <c r="P20" s="116" t="n">
        <f aca="false">P11-P17</f>
        <v>168070</v>
      </c>
      <c r="Q20" s="118" t="n">
        <f aca="false">Q11-Q17</f>
        <v>168070</v>
      </c>
    </row>
    <row r="21" customFormat="false" ht="12.75" hidden="false" customHeight="false" outlineLevel="0" collapsed="false">
      <c r="E21" s="196"/>
      <c r="F21" s="197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</row>
    <row r="22" customFormat="false" ht="12.75" hidden="false" customHeight="false" outlineLevel="0" collapsed="false">
      <c r="A22" s="0" t="s">
        <v>156</v>
      </c>
      <c r="B22" s="199"/>
      <c r="C22" s="199"/>
      <c r="E22" s="200"/>
      <c r="F22" s="174" t="n">
        <f aca="false">F44</f>
        <v>0</v>
      </c>
      <c r="G22" s="32" t="n">
        <f aca="false">G44</f>
        <v>47997.4086243647</v>
      </c>
      <c r="H22" s="32" t="n">
        <f aca="false">H44</f>
        <v>49377.1086243647</v>
      </c>
      <c r="I22" s="32" t="n">
        <f aca="false">I44</f>
        <v>50756.8086243647</v>
      </c>
      <c r="J22" s="32" t="n">
        <f aca="false">J44</f>
        <v>52136.5086243647</v>
      </c>
      <c r="K22" s="32" t="n">
        <f aca="false">K44</f>
        <v>53516.2086243647</v>
      </c>
      <c r="L22" s="32" t="n">
        <f aca="false">L44</f>
        <v>54895.9086243647</v>
      </c>
      <c r="M22" s="32" t="n">
        <f aca="false">M44</f>
        <v>56275.6086243647</v>
      </c>
      <c r="N22" s="32" t="n">
        <f aca="false">N44</f>
        <v>57655.3086243647</v>
      </c>
      <c r="O22" s="32" t="n">
        <f aca="false">O44</f>
        <v>59035.0086243647</v>
      </c>
      <c r="P22" s="32" t="n">
        <f aca="false">P44</f>
        <v>60414.7086243647</v>
      </c>
      <c r="Q22" s="32" t="n">
        <f aca="false">Q44</f>
        <v>61794.4086243647</v>
      </c>
    </row>
    <row r="23" customFormat="false" ht="15" hidden="false" customHeight="false" outlineLevel="0" collapsed="false">
      <c r="A23" s="0" t="s">
        <v>157</v>
      </c>
      <c r="E23" s="201"/>
      <c r="F23" s="174" t="n">
        <v>0</v>
      </c>
      <c r="G23" s="32" t="n">
        <f aca="false">F23</f>
        <v>0</v>
      </c>
      <c r="H23" s="32" t="n">
        <f aca="false">G23</f>
        <v>0</v>
      </c>
      <c r="I23" s="32" t="n">
        <f aca="false">H23</f>
        <v>0</v>
      </c>
      <c r="J23" s="32" t="n">
        <f aca="false">I23</f>
        <v>0</v>
      </c>
      <c r="K23" s="32" t="n">
        <f aca="false">J23</f>
        <v>0</v>
      </c>
      <c r="L23" s="32" t="n">
        <f aca="false">K23</f>
        <v>0</v>
      </c>
      <c r="M23" s="32" t="n">
        <f aca="false">L23</f>
        <v>0</v>
      </c>
      <c r="N23" s="32" t="n">
        <f aca="false">M23</f>
        <v>0</v>
      </c>
      <c r="O23" s="32" t="n">
        <f aca="false">N23</f>
        <v>0</v>
      </c>
      <c r="P23" s="32" t="n">
        <f aca="false">O23</f>
        <v>0</v>
      </c>
      <c r="Q23" s="32" t="n">
        <f aca="false">P23</f>
        <v>0</v>
      </c>
    </row>
    <row r="24" customFormat="false" ht="12.75" hidden="false" customHeight="false" outlineLevel="0" collapsed="false">
      <c r="A24" s="114" t="s">
        <v>121</v>
      </c>
      <c r="B24" s="115"/>
      <c r="C24" s="115"/>
      <c r="D24" s="115"/>
      <c r="E24" s="202"/>
      <c r="F24" s="203" t="n">
        <f aca="false">F20-F22+F23</f>
        <v>162000</v>
      </c>
      <c r="G24" s="204" t="n">
        <f aca="false">G20-G22+G23</f>
        <v>120072.591375635</v>
      </c>
      <c r="H24" s="204" t="n">
        <f aca="false">H20-H22+H23</f>
        <v>118692.891375635</v>
      </c>
      <c r="I24" s="204" t="n">
        <f aca="false">I20-I22+I23</f>
        <v>117313.191375635</v>
      </c>
      <c r="J24" s="204" t="n">
        <f aca="false">J20-J22+J23</f>
        <v>115933.491375635</v>
      </c>
      <c r="K24" s="204" t="n">
        <f aca="false">K20-K22+K23</f>
        <v>114553.791375635</v>
      </c>
      <c r="L24" s="204" t="n">
        <f aca="false">L20-L22+L23</f>
        <v>113174.091375635</v>
      </c>
      <c r="M24" s="204" t="n">
        <f aca="false">M20-M22+M23</f>
        <v>111794.391375635</v>
      </c>
      <c r="N24" s="204" t="n">
        <f aca="false">N20-N22+N23</f>
        <v>110414.691375635</v>
      </c>
      <c r="O24" s="204" t="n">
        <f aca="false">O20-O22+O23</f>
        <v>109034.991375635</v>
      </c>
      <c r="P24" s="204" t="n">
        <f aca="false">P20-P22+P23</f>
        <v>107655.291375635</v>
      </c>
      <c r="Q24" s="205" t="n">
        <f aca="false">Q20-Q22+Q23</f>
        <v>106275.591375635</v>
      </c>
    </row>
    <row r="25" customFormat="false" ht="12.75" hidden="false" customHeight="false" outlineLevel="0" collapsed="false">
      <c r="E25" s="196"/>
      <c r="F25" s="197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</row>
    <row r="26" customFormat="false" ht="12.75" hidden="false" customHeight="false" outlineLevel="0" collapsed="false">
      <c r="A26" s="32" t="s">
        <v>158</v>
      </c>
      <c r="E26" s="183"/>
      <c r="F26" s="184" t="n">
        <f aca="false">$B$28*(F20-F49)</f>
        <v>62370</v>
      </c>
      <c r="G26" s="121" t="n">
        <f aca="false">$B$28*(G20-G49)</f>
        <v>46227.9476796196</v>
      </c>
      <c r="H26" s="121" t="n">
        <f aca="false">$B$28*(H20-H49)</f>
        <v>29065.6610912772</v>
      </c>
      <c r="I26" s="121" t="n">
        <f aca="false">$B$28*(I20-I49)</f>
        <v>31567.4209821495</v>
      </c>
      <c r="J26" s="121" t="n">
        <f aca="false">$B$28*(J20-J49)</f>
        <v>33800.5258816142</v>
      </c>
      <c r="K26" s="121" t="n">
        <f aca="false">$B$28*(K20-K49)</f>
        <v>35828.2681089527</v>
      </c>
      <c r="L26" s="121" t="n">
        <f aca="false">$B$28*(L20-L49)</f>
        <v>37679.106716806</v>
      </c>
      <c r="M26" s="121" t="n">
        <f aca="false">$B$28*(M20-M49)</f>
        <v>38236.8649829511</v>
      </c>
      <c r="N26" s="121" t="n">
        <f aca="false">$B$28*(N20-N49)</f>
        <v>37610.0672729511</v>
      </c>
      <c r="O26" s="121" t="n">
        <f aca="false">$B$28*(O20-O49)</f>
        <v>36946.3115583103</v>
      </c>
      <c r="P26" s="121" t="n">
        <f aca="false">$B$28*(P20-P49)</f>
        <v>36355.4094839511</v>
      </c>
      <c r="Q26" s="121" t="n">
        <f aca="false">$B$28*(Q20-Q49)</f>
        <v>35691.6537693103</v>
      </c>
    </row>
    <row r="27" customFormat="false" ht="15" hidden="false" customHeight="false" outlineLevel="0" collapsed="false">
      <c r="A27" s="32" t="s">
        <v>159</v>
      </c>
      <c r="E27" s="201"/>
      <c r="F27" s="206" t="n">
        <f aca="false">F28-F26</f>
        <v>0</v>
      </c>
      <c r="G27" s="117" t="n">
        <f aca="false">G28-G26</f>
        <v>0</v>
      </c>
      <c r="H27" s="117" t="n">
        <f aca="false">H28-H26</f>
        <v>16631.1020883424</v>
      </c>
      <c r="I27" s="117" t="n">
        <f aca="false">I28-I26</f>
        <v>13598.1576974701</v>
      </c>
      <c r="J27" s="117" t="n">
        <f aca="false">J28-J26</f>
        <v>10833.8682980054</v>
      </c>
      <c r="K27" s="117" t="n">
        <f aca="false">K28-K26</f>
        <v>8274.94157066684</v>
      </c>
      <c r="L27" s="117" t="n">
        <f aca="false">L28-L26</f>
        <v>5892.91846281358</v>
      </c>
      <c r="M27" s="117" t="n">
        <f aca="false">M28-M26</f>
        <v>4803.97569666847</v>
      </c>
      <c r="N27" s="117" t="n">
        <f aca="false">N28-N26</f>
        <v>4899.58890666848</v>
      </c>
      <c r="O27" s="117" t="n">
        <f aca="false">O28-O26</f>
        <v>5032.16012130924</v>
      </c>
      <c r="P27" s="117" t="n">
        <f aca="false">P28-P26</f>
        <v>5091.87769566847</v>
      </c>
      <c r="Q27" s="117" t="n">
        <f aca="false">Q28-Q26</f>
        <v>5224.44891030924</v>
      </c>
    </row>
    <row r="28" customFormat="false" ht="12.75" hidden="false" customHeight="false" outlineLevel="0" collapsed="false">
      <c r="A28" s="207" t="s">
        <v>153</v>
      </c>
      <c r="B28" s="208" t="n">
        <f aca="false">Assumptions!D19</f>
        <v>0.385</v>
      </c>
      <c r="C28" s="209"/>
      <c r="E28" s="200"/>
      <c r="F28" s="174" t="n">
        <f aca="false">$B$28*F24</f>
        <v>62370</v>
      </c>
      <c r="G28" s="32" t="n">
        <f aca="false">$B$28*G24</f>
        <v>46227.9476796196</v>
      </c>
      <c r="H28" s="32" t="n">
        <f aca="false">$B$28*H24</f>
        <v>45696.7631796196</v>
      </c>
      <c r="I28" s="32" t="n">
        <f aca="false">$B$28*I24</f>
        <v>45165.5786796196</v>
      </c>
      <c r="J28" s="32" t="n">
        <f aca="false">$B$28*J24</f>
        <v>44634.3941796196</v>
      </c>
      <c r="K28" s="32" t="n">
        <f aca="false">$B$28*K24</f>
        <v>44103.2096796196</v>
      </c>
      <c r="L28" s="32" t="n">
        <f aca="false">$B$28*L24</f>
        <v>43572.0251796196</v>
      </c>
      <c r="M28" s="32" t="n">
        <f aca="false">$B$28*M24</f>
        <v>43040.8406796196</v>
      </c>
      <c r="N28" s="32" t="n">
        <f aca="false">$B$28*N24</f>
        <v>42509.6561796196</v>
      </c>
      <c r="O28" s="32" t="n">
        <f aca="false">$B$28*O24</f>
        <v>41978.4716796196</v>
      </c>
      <c r="P28" s="32" t="n">
        <f aca="false">$B$28*P24</f>
        <v>41447.2871796196</v>
      </c>
      <c r="Q28" s="32" t="n">
        <f aca="false">$B$28*Q24</f>
        <v>40916.1026796196</v>
      </c>
    </row>
    <row r="29" customFormat="false" ht="12.75" hidden="false" customHeight="false" outlineLevel="0" collapsed="false">
      <c r="A29" s="32"/>
      <c r="E29" s="210"/>
      <c r="F29" s="171"/>
    </row>
    <row r="30" customFormat="false" ht="12.75" hidden="false" customHeight="false" outlineLevel="0" collapsed="false">
      <c r="A30" s="211" t="s">
        <v>125</v>
      </c>
      <c r="B30" s="115"/>
      <c r="C30" s="115"/>
      <c r="D30" s="115"/>
      <c r="E30" s="202"/>
      <c r="F30" s="203" t="n">
        <f aca="false">F24-F28</f>
        <v>99630</v>
      </c>
      <c r="G30" s="212" t="n">
        <f aca="false">G24-G28</f>
        <v>73844.6436960157</v>
      </c>
      <c r="H30" s="212" t="n">
        <f aca="false">H24-H28</f>
        <v>72996.1281960157</v>
      </c>
      <c r="I30" s="212" t="n">
        <f aca="false">I24-I28</f>
        <v>72147.6126960157</v>
      </c>
      <c r="J30" s="212" t="n">
        <f aca="false">J24-J28</f>
        <v>71299.0971960157</v>
      </c>
      <c r="K30" s="212" t="n">
        <f aca="false">K24-K28</f>
        <v>70450.5816960157</v>
      </c>
      <c r="L30" s="212" t="n">
        <f aca="false">L24-L28</f>
        <v>69602.0661960157</v>
      </c>
      <c r="M30" s="212" t="n">
        <f aca="false">M24-M28</f>
        <v>68753.5506960157</v>
      </c>
      <c r="N30" s="212" t="n">
        <f aca="false">N24-N28</f>
        <v>67905.0351960157</v>
      </c>
      <c r="O30" s="212" t="n">
        <f aca="false">O24-O28</f>
        <v>67056.5196960157</v>
      </c>
      <c r="P30" s="212" t="n">
        <f aca="false">P24-P28</f>
        <v>66208.0041960157</v>
      </c>
      <c r="Q30" s="213" t="n">
        <f aca="false">Q24-Q28</f>
        <v>65359.4886960157</v>
      </c>
    </row>
    <row r="31" customFormat="false" ht="12.75" hidden="false" customHeight="false" outlineLevel="0" collapsed="false">
      <c r="A31" s="32"/>
      <c r="E31" s="196"/>
      <c r="F31" s="197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214"/>
      <c r="S31" s="27"/>
    </row>
    <row r="32" customFormat="false" ht="12.75" hidden="false" customHeight="false" outlineLevel="0" collapsed="false">
      <c r="A32" s="32" t="s">
        <v>160</v>
      </c>
      <c r="E32" s="183"/>
      <c r="F32" s="184" t="n">
        <f aca="false">F30+F27+F22</f>
        <v>99630</v>
      </c>
      <c r="G32" s="121" t="n">
        <f aca="false">G30+G27+G22</f>
        <v>121842.05232038</v>
      </c>
      <c r="H32" s="121" t="n">
        <f aca="false">H30+H27+H22</f>
        <v>139004.338908723</v>
      </c>
      <c r="I32" s="121" t="n">
        <f aca="false">I30+I27+I22</f>
        <v>136502.579017851</v>
      </c>
      <c r="J32" s="121" t="n">
        <f aca="false">J30+J27+J22</f>
        <v>134269.474118386</v>
      </c>
      <c r="K32" s="121" t="n">
        <f aca="false">K30+K27+K22</f>
        <v>132241.731891047</v>
      </c>
      <c r="L32" s="121" t="n">
        <f aca="false">L30+L27+L22</f>
        <v>130390.893283194</v>
      </c>
      <c r="M32" s="121" t="n">
        <f aca="false">M30+M27+M22</f>
        <v>129833.135017049</v>
      </c>
      <c r="N32" s="121" t="n">
        <f aca="false">N30+N27+N22</f>
        <v>130459.932727049</v>
      </c>
      <c r="O32" s="121" t="n">
        <f aca="false">O30+O27+O22</f>
        <v>131123.68844169</v>
      </c>
      <c r="P32" s="121" t="n">
        <f aca="false">P30+P27+P22</f>
        <v>131714.590516049</v>
      </c>
      <c r="Q32" s="121" t="n">
        <f aca="false">Q30+Q27+Q22</f>
        <v>132378.34623069</v>
      </c>
      <c r="S32" s="32"/>
    </row>
    <row r="33" customFormat="false" ht="12.75" hidden="false" customHeight="false" outlineLevel="0" collapsed="false">
      <c r="A33" s="32"/>
      <c r="E33" s="210"/>
      <c r="F33" s="171"/>
      <c r="S33" s="32"/>
    </row>
    <row r="34" customFormat="false" ht="12.75" hidden="false" customHeight="false" outlineLevel="0" collapsed="false">
      <c r="A34" s="32" t="s">
        <v>131</v>
      </c>
      <c r="B34" s="136" t="s">
        <v>152</v>
      </c>
      <c r="E34" s="183"/>
      <c r="F34" s="184" t="n">
        <f aca="false">SUM(F35:F37)</f>
        <v>27594</v>
      </c>
      <c r="G34" s="121" t="n">
        <f aca="false">SUM(G35:G37)</f>
        <v>27594</v>
      </c>
      <c r="H34" s="121" t="n">
        <f aca="false">SUM(H35:H37)</f>
        <v>27594</v>
      </c>
      <c r="I34" s="121" t="n">
        <f aca="false">SUM(I35:I37)</f>
        <v>27594</v>
      </c>
      <c r="J34" s="121" t="n">
        <f aca="false">SUM(J35:J37)</f>
        <v>27594</v>
      </c>
      <c r="K34" s="121" t="n">
        <f aca="false">SUM(K35:K37)</f>
        <v>27594</v>
      </c>
      <c r="L34" s="121" t="n">
        <f aca="false">SUM(L35:L37)</f>
        <v>27594</v>
      </c>
      <c r="M34" s="121" t="n">
        <f aca="false">SUM(M35:M37)</f>
        <v>27594</v>
      </c>
      <c r="N34" s="121" t="n">
        <f aca="false">SUM(N35:N37)</f>
        <v>27594</v>
      </c>
      <c r="O34" s="121" t="n">
        <f aca="false">SUM(O35:O37)</f>
        <v>27594</v>
      </c>
      <c r="P34" s="121" t="n">
        <f aca="false">SUM(P35:P37)</f>
        <v>27594</v>
      </c>
      <c r="Q34" s="121" t="n">
        <f aca="false">SUM(Q35:Q37)</f>
        <v>27594</v>
      </c>
      <c r="S34" s="32"/>
    </row>
    <row r="35" customFormat="false" ht="12.75" hidden="false" customHeight="false" outlineLevel="0" collapsed="false">
      <c r="A35" s="32" t="str">
        <f aca="false">A14</f>
        <v>  Asset 1- Cash Flow Analysis</v>
      </c>
      <c r="B35" s="172" t="n">
        <f aca="false">Assumptions!$C$37</f>
        <v>1</v>
      </c>
      <c r="E35" s="183"/>
      <c r="F35" s="184" t="n">
        <f aca="false">'Asset 1'!F29*$B$35</f>
        <v>27594</v>
      </c>
      <c r="G35" s="121" t="n">
        <f aca="false">'Asset 1'!G29*$B$35</f>
        <v>27594</v>
      </c>
      <c r="H35" s="121" t="n">
        <f aca="false">'Asset 1'!H29*$B$35</f>
        <v>27594</v>
      </c>
      <c r="I35" s="121" t="n">
        <f aca="false">'Asset 1'!I29*$B$35</f>
        <v>27594</v>
      </c>
      <c r="J35" s="121" t="n">
        <f aca="false">'Asset 1'!J29*$B$35</f>
        <v>27594</v>
      </c>
      <c r="K35" s="121" t="n">
        <f aca="false">'Asset 1'!K29*$B$35</f>
        <v>27594</v>
      </c>
      <c r="L35" s="121" t="n">
        <f aca="false">'Asset 1'!L29*$B$35</f>
        <v>27594</v>
      </c>
      <c r="M35" s="121" t="n">
        <f aca="false">'Asset 1'!M29*$B$35</f>
        <v>27594</v>
      </c>
      <c r="N35" s="121" t="n">
        <f aca="false">'Asset 1'!N29*$B$35</f>
        <v>27594</v>
      </c>
      <c r="O35" s="121" t="n">
        <f aca="false">'Asset 1'!O29*$B$35</f>
        <v>27594</v>
      </c>
      <c r="P35" s="121" t="n">
        <f aca="false">'Asset 1'!P29*$B$35</f>
        <v>27594</v>
      </c>
      <c r="Q35" s="121" t="n">
        <f aca="false">'Asset 1'!Q29*$B$35</f>
        <v>27594</v>
      </c>
      <c r="R35" s="214"/>
      <c r="S35" s="32"/>
    </row>
    <row r="36" customFormat="false" ht="12.75" hidden="false" customHeight="false" outlineLevel="0" collapsed="false">
      <c r="A36" s="32" t="str">
        <f aca="false">A15</f>
        <v>  Asset 2-Cash Flow Analysis</v>
      </c>
      <c r="B36" s="172" t="n">
        <f aca="false">Assumptions!$C$40</f>
        <v>0</v>
      </c>
      <c r="E36" s="183"/>
      <c r="F36" s="184" t="n">
        <f aca="false">'Asset 2'!F27*$B$36</f>
        <v>0</v>
      </c>
      <c r="G36" s="121" t="n">
        <f aca="false">'Asset 2'!G27*$B$36</f>
        <v>0</v>
      </c>
      <c r="H36" s="121" t="n">
        <f aca="false">'Asset 2'!H27*$B$36</f>
        <v>0</v>
      </c>
      <c r="I36" s="121" t="n">
        <f aca="false">'Asset 2'!I27*$B$36</f>
        <v>0</v>
      </c>
      <c r="J36" s="121" t="n">
        <f aca="false">'Asset 2'!J27*$B$36</f>
        <v>0</v>
      </c>
      <c r="K36" s="121" t="n">
        <f aca="false">'Asset 2'!K27*$B$36</f>
        <v>0</v>
      </c>
      <c r="L36" s="121" t="n">
        <f aca="false">'Asset 2'!L27*$B$36</f>
        <v>0</v>
      </c>
      <c r="M36" s="121" t="n">
        <f aca="false">'Asset 2'!M27*$B$36</f>
        <v>0</v>
      </c>
      <c r="N36" s="121" t="n">
        <f aca="false">'Asset 2'!N27*$B$36</f>
        <v>0</v>
      </c>
      <c r="O36" s="121" t="n">
        <f aca="false">'Asset 2'!O27*$B$36</f>
        <v>0</v>
      </c>
      <c r="P36" s="121" t="n">
        <f aca="false">'Asset 2'!P27*$B$36</f>
        <v>0</v>
      </c>
      <c r="Q36" s="121" t="n">
        <f aca="false">'Asset 2'!Q27*$B$36</f>
        <v>0</v>
      </c>
      <c r="R36" s="214"/>
      <c r="S36" s="32"/>
    </row>
    <row r="37" customFormat="false" ht="12.75" hidden="false" customHeight="false" outlineLevel="0" collapsed="false">
      <c r="A37" s="32" t="str">
        <f aca="false">A16</f>
        <v>  Asset 3- Cash Flow Analysis</v>
      </c>
      <c r="B37" s="172" t="n">
        <f aca="false">Assumptions!$C$43</f>
        <v>0</v>
      </c>
      <c r="E37" s="183"/>
      <c r="F37" s="184" t="n">
        <f aca="false">'Asset 3'!F27*$B$37</f>
        <v>0</v>
      </c>
      <c r="G37" s="121" t="n">
        <f aca="false">'Asset 3'!G27*$B$37</f>
        <v>0</v>
      </c>
      <c r="H37" s="121" t="n">
        <f aca="false">'Asset 3'!H27*$B$37</f>
        <v>0</v>
      </c>
      <c r="I37" s="121" t="n">
        <f aca="false">'Asset 3'!I27*$B$37</f>
        <v>0</v>
      </c>
      <c r="J37" s="121" t="n">
        <f aca="false">'Asset 3'!J27*$B$37</f>
        <v>0</v>
      </c>
      <c r="K37" s="121" t="n">
        <f aca="false">'Asset 3'!K27*$B$37</f>
        <v>0</v>
      </c>
      <c r="L37" s="121" t="n">
        <f aca="false">'Asset 3'!L27*$B$37</f>
        <v>0</v>
      </c>
      <c r="M37" s="121" t="n">
        <f aca="false">'Asset 3'!M27*$B$37</f>
        <v>0</v>
      </c>
      <c r="N37" s="121" t="n">
        <f aca="false">'Asset 3'!N27*$B$37</f>
        <v>0</v>
      </c>
      <c r="O37" s="121" t="n">
        <f aca="false">'Asset 3'!O27*$B$37</f>
        <v>0</v>
      </c>
      <c r="P37" s="121" t="n">
        <f aca="false">'Asset 3'!P27*$B$37</f>
        <v>0</v>
      </c>
      <c r="Q37" s="121" t="n">
        <f aca="false">'Asset 3'!Q27*$B$37</f>
        <v>0</v>
      </c>
      <c r="R37" s="214"/>
      <c r="S37" s="32"/>
    </row>
    <row r="38" customFormat="false" ht="15" hidden="false" customHeight="false" outlineLevel="0" collapsed="false">
      <c r="A38" s="32"/>
      <c r="E38" s="179"/>
      <c r="F38" s="215"/>
      <c r="G38" s="157"/>
      <c r="H38" s="157"/>
      <c r="I38" s="216"/>
      <c r="J38" s="216"/>
      <c r="K38" s="216"/>
      <c r="L38" s="216"/>
      <c r="M38" s="216"/>
      <c r="N38" s="216"/>
      <c r="O38" s="216"/>
      <c r="P38" s="216"/>
      <c r="Q38" s="216"/>
      <c r="R38" s="217" t="n">
        <f aca="false">R39/Q20</f>
        <v>8</v>
      </c>
      <c r="S38" s="32"/>
    </row>
    <row r="39" customFormat="false" ht="12.75" hidden="false" customHeight="false" outlineLevel="0" collapsed="false">
      <c r="A39" s="218" t="s">
        <v>161</v>
      </c>
      <c r="B39" s="115"/>
      <c r="C39" s="115"/>
      <c r="D39" s="115"/>
      <c r="E39" s="219"/>
      <c r="F39" s="220" t="n">
        <f aca="false">F32-F34</f>
        <v>72036</v>
      </c>
      <c r="G39" s="221" t="n">
        <f aca="false">G32-G34</f>
        <v>94248.0523203804</v>
      </c>
      <c r="H39" s="221" t="n">
        <f aca="false">H32-H34</f>
        <v>111410.338908723</v>
      </c>
      <c r="I39" s="221" t="n">
        <f aca="false">I32-I34</f>
        <v>108908.579017851</v>
      </c>
      <c r="J39" s="221" t="n">
        <f aca="false">J32-J34</f>
        <v>106675.474118386</v>
      </c>
      <c r="K39" s="221" t="n">
        <f aca="false">K32-K34</f>
        <v>104647.731891047</v>
      </c>
      <c r="L39" s="221" t="n">
        <f aca="false">L32-L34</f>
        <v>102796.893283194</v>
      </c>
      <c r="M39" s="221" t="n">
        <f aca="false">M32-M34</f>
        <v>102239.135017049</v>
      </c>
      <c r="N39" s="221" t="n">
        <f aca="false">N32-N34</f>
        <v>102865.932727049</v>
      </c>
      <c r="O39" s="221" t="n">
        <f aca="false">O32-O34</f>
        <v>103529.68844169</v>
      </c>
      <c r="P39" s="221" t="n">
        <f aca="false">P32-P34</f>
        <v>104120.590516049</v>
      </c>
      <c r="Q39" s="221" t="n">
        <f aca="false">Q32-Q34</f>
        <v>104784.34623069</v>
      </c>
      <c r="R39" s="222" t="n">
        <f aca="false">'Asset 1'!R30*Assumptions!$C$37+'Asset 2'!R28*Assumptions!$C$40+'Asset 3'!R28*Assumptions!$C$43</f>
        <v>1344560</v>
      </c>
      <c r="S39" s="32"/>
    </row>
    <row r="40" customFormat="false" ht="12.75" hidden="false" customHeight="false" outlineLevel="0" collapsed="false">
      <c r="A40" s="223"/>
      <c r="E40" s="121"/>
      <c r="F40" s="224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32"/>
      <c r="S40" s="32"/>
    </row>
    <row r="41" customFormat="false" ht="12.75" hidden="false" customHeight="false" outlineLevel="0" collapsed="false">
      <c r="A41" s="225" t="s">
        <v>162</v>
      </c>
      <c r="B41" s="226" t="n">
        <f aca="false">Assumptions!D20</f>
        <v>20</v>
      </c>
      <c r="C41" s="226"/>
      <c r="D41" s="227" t="n">
        <f aca="false">CPurPrice</f>
        <v>932354.172487295</v>
      </c>
      <c r="E41" s="121"/>
      <c r="F41" s="224"/>
      <c r="G41" s="228" t="n">
        <f aca="false">1/B41</f>
        <v>0.05</v>
      </c>
      <c r="H41" s="228" t="n">
        <f aca="false">G41</f>
        <v>0.05</v>
      </c>
      <c r="I41" s="228" t="n">
        <f aca="false">H41</f>
        <v>0.05</v>
      </c>
      <c r="J41" s="228" t="n">
        <f aca="false">I41</f>
        <v>0.05</v>
      </c>
      <c r="K41" s="228" t="n">
        <f aca="false">J41</f>
        <v>0.05</v>
      </c>
      <c r="L41" s="228" t="n">
        <f aca="false">K41</f>
        <v>0.05</v>
      </c>
      <c r="M41" s="228" t="n">
        <f aca="false">L41</f>
        <v>0.05</v>
      </c>
      <c r="N41" s="228" t="n">
        <f aca="false">M41</f>
        <v>0.05</v>
      </c>
      <c r="O41" s="228" t="n">
        <f aca="false">N41</f>
        <v>0.05</v>
      </c>
      <c r="P41" s="228" t="n">
        <f aca="false">O41</f>
        <v>0.05</v>
      </c>
      <c r="Q41" s="229" t="n">
        <f aca="false">P41</f>
        <v>0.05</v>
      </c>
      <c r="R41" s="32"/>
      <c r="S41" s="32"/>
    </row>
    <row r="42" customFormat="false" ht="12.75" hidden="false" customHeight="false" outlineLevel="0" collapsed="false">
      <c r="A42" s="32" t="s">
        <v>163</v>
      </c>
      <c r="D42" s="230"/>
      <c r="E42" s="121"/>
      <c r="F42" s="224"/>
      <c r="G42" s="121" t="n">
        <f aca="false">D41/B41</f>
        <v>46617.7086243647</v>
      </c>
      <c r="H42" s="121" t="n">
        <f aca="false">+G42</f>
        <v>46617.7086243647</v>
      </c>
      <c r="I42" s="121" t="n">
        <f aca="false">+H42</f>
        <v>46617.7086243647</v>
      </c>
      <c r="J42" s="121" t="n">
        <f aca="false">+I42</f>
        <v>46617.7086243647</v>
      </c>
      <c r="K42" s="121" t="n">
        <f aca="false">+J42</f>
        <v>46617.7086243647</v>
      </c>
      <c r="L42" s="121" t="n">
        <f aca="false">+K42</f>
        <v>46617.7086243647</v>
      </c>
      <c r="M42" s="121" t="n">
        <f aca="false">+L42</f>
        <v>46617.7086243647</v>
      </c>
      <c r="N42" s="121" t="n">
        <f aca="false">+M42</f>
        <v>46617.7086243647</v>
      </c>
      <c r="O42" s="121" t="n">
        <f aca="false">+N42</f>
        <v>46617.7086243647</v>
      </c>
      <c r="P42" s="121" t="n">
        <f aca="false">+O42</f>
        <v>46617.7086243647</v>
      </c>
      <c r="Q42" s="121" t="n">
        <f aca="false">+P42</f>
        <v>46617.7086243647</v>
      </c>
      <c r="R42" s="32"/>
      <c r="S42" s="32"/>
    </row>
    <row r="43" customFormat="false" ht="15" hidden="false" customHeight="false" outlineLevel="0" collapsed="false">
      <c r="A43" s="32" t="s">
        <v>164</v>
      </c>
      <c r="E43" s="121"/>
      <c r="F43" s="224"/>
      <c r="G43" s="117" t="n">
        <f aca="false">($G$34*G$41)</f>
        <v>1379.7</v>
      </c>
      <c r="H43" s="117" t="n">
        <f aca="false">($G$34*H41)+($H$34*G41)</f>
        <v>2759.4</v>
      </c>
      <c r="I43" s="117" t="n">
        <f aca="false">($G$34*I41)+($H$34*H41)+($I$34*G41)</f>
        <v>4139.1</v>
      </c>
      <c r="J43" s="117" t="n">
        <f aca="false">($G$34*J41)+($H$34*I41)+($I$34*H41)+($J$34*G41)</f>
        <v>5518.8</v>
      </c>
      <c r="K43" s="117" t="n">
        <f aca="false">($G$34*K41)+($H$34*J41)+($I$34*I41)+($J$34*H41)+($K$34*G41)</f>
        <v>6898.5</v>
      </c>
      <c r="L43" s="117" t="n">
        <f aca="false">($G$34*L41)+($H$34*K41)+($I$34*J41)+($J$34*I41)+($K$34*H41)+($L$34*G41)</f>
        <v>8278.2</v>
      </c>
      <c r="M43" s="117" t="n">
        <f aca="false">($G$34*M41)+($H$34*L41)+($I$34*K41)+($J$34*J41)+($K$34*I41)+($L$34*H41)+($M$34*G41)</f>
        <v>9657.9</v>
      </c>
      <c r="N43" s="117" t="n">
        <f aca="false">($G$34*N41)+($H$34*M41)+($I$34*L41)+($J$34*K41)+($K$34*J41)+($L$34*I41)+($M$34*H41)+($N$34*G41)</f>
        <v>11037.6</v>
      </c>
      <c r="O43" s="117" t="n">
        <f aca="false">($G$34*O41)+($H$34*N41)+($I$34*M41)+($J$34*L41)+($K$34*K41)+($L$34*J41)+($M$34*I41)+($N$34*H41)+($O$34*G41)</f>
        <v>12417.3</v>
      </c>
      <c r="P43" s="117" t="n">
        <f aca="false">($G$34*P41)+($H$34*O41)+($I$34*N41)+($J$34*M41)+($K$34*L41)+($L$34*K41)+($M$34*J41)+($N$34*I41)+($O$34*H41)+($P$34*G41)</f>
        <v>13797</v>
      </c>
      <c r="Q43" s="117" t="n">
        <f aca="false">($G$34*Q41)+($H$34*P41)+($I$34*O41)+($J$34*N41)+($K$34*M41)+($L$34*L41)+($M$34*K41)+($N$34*J41)+($O$34*I41)+($P$34*H41)+($Q$34*G41)</f>
        <v>15176.7</v>
      </c>
      <c r="R43" s="32"/>
      <c r="S43" s="32"/>
    </row>
    <row r="44" customFormat="false" ht="12.75" hidden="false" customHeight="false" outlineLevel="0" collapsed="false">
      <c r="A44" s="52" t="s">
        <v>153</v>
      </c>
      <c r="E44" s="121"/>
      <c r="F44" s="224"/>
      <c r="G44" s="121" t="n">
        <f aca="false">+G42+G43</f>
        <v>47997.4086243647</v>
      </c>
      <c r="H44" s="121" t="n">
        <f aca="false">+H42+H43</f>
        <v>49377.1086243647</v>
      </c>
      <c r="I44" s="121" t="n">
        <f aca="false">+I42+I43</f>
        <v>50756.8086243647</v>
      </c>
      <c r="J44" s="121" t="n">
        <f aca="false">+J42+J43</f>
        <v>52136.5086243647</v>
      </c>
      <c r="K44" s="121" t="n">
        <f aca="false">+K42+K43</f>
        <v>53516.2086243647</v>
      </c>
      <c r="L44" s="121" t="n">
        <f aca="false">+L42+L43</f>
        <v>54895.9086243647</v>
      </c>
      <c r="M44" s="121" t="n">
        <f aca="false">+M42+M43</f>
        <v>56275.6086243647</v>
      </c>
      <c r="N44" s="121" t="n">
        <f aca="false">+N42+N43</f>
        <v>57655.3086243647</v>
      </c>
      <c r="O44" s="121" t="n">
        <f aca="false">+O42+O43</f>
        <v>59035.0086243647</v>
      </c>
      <c r="P44" s="121" t="n">
        <f aca="false">+P42+P43</f>
        <v>60414.7086243647</v>
      </c>
      <c r="Q44" s="121" t="n">
        <f aca="false">+Q42+Q43</f>
        <v>61794.4086243647</v>
      </c>
      <c r="R44" s="32"/>
      <c r="S44" s="32"/>
    </row>
    <row r="45" customFormat="false" ht="12.75" hidden="false" customHeight="false" outlineLevel="0" collapsed="false">
      <c r="A45" s="32"/>
      <c r="E45" s="27"/>
      <c r="F45" s="231"/>
      <c r="R45" s="232"/>
      <c r="S45" s="32"/>
    </row>
    <row r="46" customFormat="false" ht="12.75" hidden="false" customHeight="false" outlineLevel="0" collapsed="false">
      <c r="A46" s="225" t="s">
        <v>165</v>
      </c>
      <c r="E46" s="27"/>
      <c r="F46" s="231"/>
      <c r="G46" s="233" t="n">
        <v>0.05</v>
      </c>
      <c r="H46" s="234" t="n">
        <v>0.095</v>
      </c>
      <c r="I46" s="234" t="n">
        <v>0.0855</v>
      </c>
      <c r="J46" s="234" t="n">
        <v>0.077</v>
      </c>
      <c r="K46" s="234" t="n">
        <v>0.0693</v>
      </c>
      <c r="L46" s="234" t="n">
        <v>0.0623</v>
      </c>
      <c r="M46" s="234" t="n">
        <v>0.059</v>
      </c>
      <c r="N46" s="234" t="n">
        <v>0.059</v>
      </c>
      <c r="O46" s="234" t="n">
        <v>0.0591</v>
      </c>
      <c r="P46" s="234" t="n">
        <v>0.059</v>
      </c>
      <c r="Q46" s="235" t="n">
        <v>0.0591</v>
      </c>
      <c r="R46" s="232"/>
      <c r="S46" s="32"/>
    </row>
    <row r="47" customFormat="false" ht="12.75" hidden="false" customHeight="false" outlineLevel="0" collapsed="false">
      <c r="A47" s="32" t="s">
        <v>163</v>
      </c>
      <c r="B47" s="236"/>
      <c r="C47" s="236"/>
      <c r="E47" s="27"/>
      <c r="F47" s="231"/>
      <c r="G47" s="32" t="n">
        <f aca="false">G46*$D$41</f>
        <v>46617.7086243647</v>
      </c>
      <c r="H47" s="32" t="n">
        <f aca="false">H46*$D$41</f>
        <v>88573.646386293</v>
      </c>
      <c r="I47" s="32" t="n">
        <f aca="false">I46*$D$41</f>
        <v>79716.2817476637</v>
      </c>
      <c r="J47" s="32" t="n">
        <f aca="false">J46*$D$41</f>
        <v>71791.2712815217</v>
      </c>
      <c r="K47" s="32" t="n">
        <f aca="false">K46*$D$41</f>
        <v>64612.1441533695</v>
      </c>
      <c r="L47" s="32" t="n">
        <f aca="false">L46*$D$41</f>
        <v>58085.6649459585</v>
      </c>
      <c r="M47" s="32" t="n">
        <f aca="false">M46*$D$41</f>
        <v>55008.8961767504</v>
      </c>
      <c r="N47" s="32" t="n">
        <f aca="false">N46*$D$41</f>
        <v>55008.8961767504</v>
      </c>
      <c r="O47" s="32" t="n">
        <f aca="false">O46*$D$41</f>
        <v>55102.1315939991</v>
      </c>
      <c r="P47" s="32" t="n">
        <f aca="false">P46*$D$41</f>
        <v>55008.8961767504</v>
      </c>
      <c r="Q47" s="32" t="n">
        <f aca="false">Q46*$D$41</f>
        <v>55102.1315939991</v>
      </c>
    </row>
    <row r="48" customFormat="false" ht="15" hidden="false" customHeight="false" outlineLevel="0" collapsed="false">
      <c r="A48" s="32" t="s">
        <v>164</v>
      </c>
      <c r="B48" s="199"/>
      <c r="C48" s="199"/>
      <c r="E48" s="27"/>
      <c r="F48" s="231"/>
      <c r="G48" s="117" t="n">
        <f aca="false">($G$34*G$46)</f>
        <v>1379.7</v>
      </c>
      <c r="H48" s="117" t="n">
        <f aca="false">($G$34*H46)+($H$34*G46)</f>
        <v>4001.13</v>
      </c>
      <c r="I48" s="117" t="n">
        <f aca="false">($G$34*I46)+($H$34*H46)+($I$34*G46)</f>
        <v>6360.417</v>
      </c>
      <c r="J48" s="117" t="n">
        <f aca="false">($G$34*J46)+($H$34*I46)+($I$34*H46)+($J$34*G46)</f>
        <v>8485.155</v>
      </c>
      <c r="K48" s="117" t="n">
        <f aca="false">($G$34*K46)+($H$34*J46)+($I$34*I46)+($J$34*H46)+($K$34*G46)</f>
        <v>10397.4192</v>
      </c>
      <c r="L48" s="117" t="n">
        <f aca="false">($G$34*L46)+($H$34*K46)+($I$34*J46)+($J$34*I46)+($K$34*H46)+($L$34*G46)</f>
        <v>12116.5254</v>
      </c>
      <c r="M48" s="117" t="n">
        <f aca="false">($G$34*M46)+($H$34*L46)+($I$34*K46)+($J$34*J46)+($K$34*I46)+($L$34*H46)+($M$34*G46)</f>
        <v>13744.5714</v>
      </c>
      <c r="N48" s="117" t="n">
        <f aca="false">($G$34*N46)+($H$34*M46)+($I$34*L46)+($J$34*K46)+($K$34*J46)+($L$34*I46)+($M$34*H46)+($N$34*G46)</f>
        <v>15372.6174</v>
      </c>
      <c r="O48" s="117" t="n">
        <f aca="false">($G$34*O46)+($H$34*N46)+($I$34*M46)+($J$34*L46)+($K$34*K46)+($L$34*J46)+($M$34*I46)+($N$34*H46)+($O$34*G46)</f>
        <v>17003.4228</v>
      </c>
      <c r="P48" s="117" t="n">
        <f aca="false">($G$34*P46)+($H$34*O46)+($I$34*N46)+($J$34*M46)+($K$34*L46)+($L$34*K46)+($M$34*J46)+($N$34*I46)+($O$34*H46)+($P$34*G46)</f>
        <v>18631.4688</v>
      </c>
      <c r="Q48" s="117" t="n">
        <f aca="false">($G$34*Q46)+($H$34*P46)+($I$34*O46)+($J$34*N46)+($K$34*M46)+($L$34*L46)+($M$34*K46)+($N$34*J46)+($O$34*I46)+($P$34*H46)+($Q$34*G46)</f>
        <v>20262.2742</v>
      </c>
    </row>
    <row r="49" customFormat="false" ht="12.75" hidden="false" customHeight="false" outlineLevel="0" collapsed="false">
      <c r="A49" s="52" t="s">
        <v>153</v>
      </c>
      <c r="E49" s="27"/>
      <c r="F49" s="231"/>
      <c r="G49" s="32" t="n">
        <f aca="false">SUM(G47:G48)</f>
        <v>47997.4086243647</v>
      </c>
      <c r="H49" s="32" t="n">
        <f aca="false">SUM(H47:H48)</f>
        <v>92574.776386293</v>
      </c>
      <c r="I49" s="32" t="n">
        <f aca="false">SUM(I47:I48)</f>
        <v>86076.6987476637</v>
      </c>
      <c r="J49" s="32" t="n">
        <f aca="false">SUM(J47:J48)</f>
        <v>80276.4262815217</v>
      </c>
      <c r="K49" s="32" t="n">
        <f aca="false">SUM(K47:K48)</f>
        <v>75009.5633533695</v>
      </c>
      <c r="L49" s="32" t="n">
        <f aca="false">SUM(L47:L48)</f>
        <v>70202.1903459585</v>
      </c>
      <c r="M49" s="32" t="n">
        <f aca="false">SUM(M47:M48)</f>
        <v>68753.4675767504</v>
      </c>
      <c r="N49" s="32" t="n">
        <f aca="false">SUM(N47:N48)</f>
        <v>70381.5135767504</v>
      </c>
      <c r="O49" s="32" t="n">
        <f aca="false">SUM(O47:O48)</f>
        <v>72105.5543939991</v>
      </c>
      <c r="P49" s="32" t="n">
        <f aca="false">SUM(P47:P48)</f>
        <v>73640.3649767504</v>
      </c>
      <c r="Q49" s="32" t="n">
        <f aca="false">SUM(Q47:Q48)</f>
        <v>75364.4057939991</v>
      </c>
    </row>
    <row r="50" customFormat="false" ht="12.75" hidden="false" customHeight="false" outlineLevel="0" collapsed="false">
      <c r="A50" s="52"/>
      <c r="E50" s="27"/>
      <c r="F50" s="166"/>
    </row>
    <row r="51" customFormat="false" ht="13.5" hidden="false" customHeight="false" outlineLevel="0" collapsed="false"/>
    <row r="52" customFormat="false" ht="15" hidden="false" customHeight="false" outlineLevel="0" collapsed="false">
      <c r="J52" s="237" t="s">
        <v>166</v>
      </c>
      <c r="K52" s="238" t="str">
        <f aca="false">(Assumptions!D12-1&amp;" EBITDA")</f>
        <v>2000 EBITDA</v>
      </c>
      <c r="L52" s="239"/>
      <c r="M52" s="240" t="s">
        <v>167</v>
      </c>
      <c r="N52" s="240"/>
      <c r="O52" s="240"/>
    </row>
    <row r="53" customFormat="false" ht="15" hidden="false" customHeight="false" outlineLevel="0" collapsed="false">
      <c r="J53" s="241" t="s">
        <v>168</v>
      </c>
      <c r="K53" s="242" t="s">
        <v>169</v>
      </c>
      <c r="L53" s="243" t="s">
        <v>170</v>
      </c>
      <c r="M53" s="244" t="n">
        <f aca="false">CDRate-0.025</f>
        <v>0.1</v>
      </c>
      <c r="N53" s="245" t="n">
        <f aca="false">Assumptions!D21</f>
        <v>0.125</v>
      </c>
      <c r="O53" s="246" t="n">
        <f aca="false">CDRate+0.025</f>
        <v>0.15</v>
      </c>
    </row>
    <row r="54" customFormat="false" ht="13.5" hidden="false" customHeight="false" outlineLevel="0" collapsed="false">
      <c r="I54" s="247" t="s">
        <v>171</v>
      </c>
      <c r="J54" s="248"/>
      <c r="K54" s="249"/>
      <c r="L54" s="250"/>
      <c r="M54" s="248"/>
      <c r="N54" s="249"/>
      <c r="O54" s="251"/>
    </row>
    <row r="55" customFormat="false" ht="13.5" hidden="false" customHeight="false" outlineLevel="0" collapsed="false">
      <c r="I55" s="54" t="n">
        <f aca="false">IF(ABS(J55-N55)&lt;0.05,0,1)</f>
        <v>0</v>
      </c>
      <c r="J55" s="252" t="n">
        <v>932354.172487295</v>
      </c>
      <c r="K55" s="253" t="n">
        <f aca="false">J55/F20</f>
        <v>5.75527266967466</v>
      </c>
      <c r="L55" s="254" t="str">
        <f aca="false">Assumptions!D6</f>
        <v>ETS</v>
      </c>
      <c r="M55" s="255" t="n">
        <f aca="false">NPV(M53,$G39:$R39)</f>
        <v>1105091.06841423</v>
      </c>
      <c r="N55" s="256" t="n">
        <f aca="false">NPV(N53,$G39:$R39)</f>
        <v>932354.211338646</v>
      </c>
      <c r="O55" s="257" t="n">
        <f aca="false">NPV(O53,$G39:$R39)</f>
        <v>796328.321993282</v>
      </c>
    </row>
    <row r="56" customFormat="false" ht="12.75" hidden="false" customHeight="false" outlineLevel="0" collapsed="false">
      <c r="I56" s="258"/>
      <c r="J56" s="259" t="str">
        <f aca="false">IF(ABS(Asset1PurPrice*Assumptions!$C$37+MethPurPrice*Assumptions!$C$40+OBLPurPrice*Assumptions!$C$43-CPurPrice)&gt;1,CPurPrice-(Asset1PurPrice*Assumptions!$C$37+MethPurPrice*Assumptions!$C$40+OBLPurPrice*Assumptions!$C$43),"")</f>
        <v/>
      </c>
      <c r="K56" s="260"/>
      <c r="L56" s="27"/>
      <c r="M56" s="261"/>
      <c r="N56" s="261"/>
      <c r="O56" s="261"/>
    </row>
    <row r="57" customFormat="false" ht="13.5" hidden="false" customHeight="false" outlineLevel="0" collapsed="false"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</row>
    <row r="58" customFormat="false" ht="13.5" hidden="false" customHeight="false" outlineLevel="0" collapsed="false">
      <c r="J58" s="262" t="s">
        <v>172</v>
      </c>
      <c r="K58" s="263" t="e">
        <f aca="false">IRR(H39:R39)+G39</f>
        <v>#N/A</v>
      </c>
    </row>
  </sheetData>
  <mergeCells count="1">
    <mergeCell ref="M52:O52"/>
  </mergeCells>
  <conditionalFormatting sqref="D19">
    <cfRule type="cellIs" priority="2" operator="notBetween" aboveAverage="0" equalAverage="0" bottom="0" percent="0" rank="0" text="" dxfId="1">
      <formula>0.25</formula>
      <formula>-0.25</formula>
    </cfRule>
  </conditionalFormatting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36" activeCellId="0" sqref="F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13.99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7" width="9.14"/>
    <col collapsed="false" customWidth="true" hidden="false" outlineLevel="0" max="6" min="6" style="27" width="12.99"/>
    <col collapsed="false" customWidth="true" hidden="false" outlineLevel="0" max="7" min="7" style="0" width="12.28"/>
    <col collapsed="false" customWidth="true" hidden="false" outlineLevel="0" max="9" min="8" style="0" width="14.14"/>
    <col collapsed="false" customWidth="true" hidden="false" outlineLevel="0" max="11" min="10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.75" hidden="false" customHeight="false" outlineLevel="0" collapsed="false">
      <c r="A1" s="154" t="str">
        <f aca="false">Assumptions!D5</f>
        <v>PG&amp;E Gas Transmission</v>
      </c>
      <c r="B1" s="21"/>
      <c r="E1" s="264"/>
    </row>
    <row r="2" customFormat="false" ht="15.75" hidden="false" customHeight="false" outlineLevel="0" collapsed="false">
      <c r="A2" s="265" t="s">
        <v>173</v>
      </c>
      <c r="B2" s="266"/>
      <c r="E2" s="36"/>
      <c r="F2" s="267" t="s">
        <v>45</v>
      </c>
      <c r="G2" s="268"/>
      <c r="H2" s="269"/>
      <c r="I2" s="190"/>
      <c r="R2" s="27"/>
    </row>
    <row r="3" customFormat="false" ht="12.75" hidden="false" customHeight="false" outlineLevel="0" collapsed="false">
      <c r="A3" s="270"/>
      <c r="B3" s="266"/>
      <c r="E3" s="36"/>
      <c r="F3" s="271" t="str">
        <f aca="false">IF(Asset1Loop&lt;&gt;0,"Run Macro","")</f>
        <v/>
      </c>
      <c r="G3" s="190"/>
      <c r="H3" s="272"/>
      <c r="I3" s="190"/>
      <c r="R3" s="27"/>
    </row>
    <row r="4" customFormat="false" ht="13.5" hidden="false" customHeight="false" outlineLevel="0" collapsed="false">
      <c r="A4" s="270"/>
      <c r="B4" s="266"/>
      <c r="E4" s="36"/>
      <c r="F4" s="273"/>
      <c r="G4" s="274"/>
      <c r="H4" s="275"/>
      <c r="I4" s="190"/>
      <c r="R4" s="27"/>
    </row>
    <row r="5" customFormat="false" ht="12.75" hidden="false" customHeight="false" outlineLevel="0" collapsed="false">
      <c r="A5" s="270"/>
      <c r="B5" s="266"/>
      <c r="E5" s="36"/>
      <c r="G5" s="190"/>
      <c r="H5" s="190"/>
      <c r="I5" s="190"/>
      <c r="R5" s="27"/>
    </row>
    <row r="6" customFormat="false" ht="12.75" hidden="false" customHeight="false" outlineLevel="0" collapsed="false">
      <c r="A6" s="270"/>
      <c r="B6" s="266"/>
      <c r="E6" s="36"/>
      <c r="G6" s="190"/>
      <c r="H6" s="190"/>
      <c r="I6" s="190"/>
      <c r="R6" s="27"/>
    </row>
    <row r="7" customFormat="false" ht="12.75" hidden="false" customHeight="false" outlineLevel="0" collapsed="false">
      <c r="E7" s="276"/>
      <c r="F7" s="277" t="n">
        <f aca="false">G7-1</f>
        <v>2000</v>
      </c>
      <c r="G7" s="110" t="n">
        <f aca="false">Assumptions!$D$12</f>
        <v>2001</v>
      </c>
      <c r="H7" s="110" t="n">
        <f aca="false">G7+1</f>
        <v>2002</v>
      </c>
      <c r="I7" s="110" t="n">
        <f aca="false">H7+1</f>
        <v>2003</v>
      </c>
      <c r="J7" s="110" t="n">
        <f aca="false">I7+1</f>
        <v>2004</v>
      </c>
      <c r="K7" s="110" t="n">
        <f aca="false">J7+1</f>
        <v>2005</v>
      </c>
      <c r="L7" s="110" t="n">
        <f aca="false">K7+1</f>
        <v>2006</v>
      </c>
      <c r="M7" s="110" t="n">
        <f aca="false">L7+1</f>
        <v>2007</v>
      </c>
      <c r="N7" s="110" t="n">
        <f aca="false">M7+1</f>
        <v>2008</v>
      </c>
      <c r="O7" s="110" t="n">
        <f aca="false">N7+1</f>
        <v>2009</v>
      </c>
      <c r="P7" s="110" t="n">
        <f aca="false">O7+1</f>
        <v>2010</v>
      </c>
      <c r="Q7" s="110" t="n">
        <f aca="false">P7+1</f>
        <v>2011</v>
      </c>
      <c r="R7" s="27"/>
    </row>
    <row r="8" customFormat="false" ht="12.75" hidden="false" customHeight="false" outlineLevel="0" collapsed="false">
      <c r="A8" s="45" t="s">
        <v>150</v>
      </c>
      <c r="E8" s="36"/>
      <c r="F8" s="27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</row>
    <row r="9" customFormat="false" ht="12.75" hidden="false" customHeight="false" outlineLevel="0" collapsed="false">
      <c r="E9" s="36"/>
      <c r="F9" s="278"/>
      <c r="H9" s="32"/>
      <c r="I9" s="32"/>
      <c r="J9" s="32"/>
      <c r="K9" s="32"/>
      <c r="L9" s="32"/>
      <c r="M9" s="32"/>
      <c r="N9" s="32"/>
      <c r="O9" s="32"/>
      <c r="P9" s="32"/>
      <c r="Q9" s="32"/>
      <c r="R9" s="27"/>
    </row>
    <row r="10" customFormat="false" ht="12.75" hidden="false" customHeight="false" outlineLevel="0" collapsed="false">
      <c r="D10" s="279"/>
      <c r="E10" s="36"/>
      <c r="F10" s="278"/>
      <c r="G10" s="232" t="str">
        <f aca="false">IF(C43=1,A46,IF(C43=2,A51,A54))</f>
        <v>1. Base Case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7"/>
    </row>
    <row r="11" customFormat="false" ht="12.75" hidden="false" customHeight="false" outlineLevel="0" collapsed="false">
      <c r="A11" s="280" t="s">
        <v>174</v>
      </c>
      <c r="B11" s="281"/>
      <c r="C11" s="282"/>
      <c r="D11" s="282"/>
      <c r="E11" s="283"/>
      <c r="F11" s="278" t="n">
        <f aca="false">F43</f>
        <v>222700</v>
      </c>
      <c r="G11" s="32" t="n">
        <f aca="false">G43</f>
        <v>222700</v>
      </c>
      <c r="H11" s="32" t="n">
        <f aca="false">H43</f>
        <v>222700</v>
      </c>
      <c r="I11" s="32" t="n">
        <f aca="false">I43</f>
        <v>222700</v>
      </c>
      <c r="J11" s="32" t="n">
        <f aca="false">J43</f>
        <v>222700</v>
      </c>
      <c r="K11" s="32" t="n">
        <f aca="false">K43</f>
        <v>222700</v>
      </c>
      <c r="L11" s="32" t="n">
        <f aca="false">L43</f>
        <v>222700</v>
      </c>
      <c r="M11" s="32" t="n">
        <f aca="false">M43</f>
        <v>222700</v>
      </c>
      <c r="N11" s="32" t="n">
        <f aca="false">N43</f>
        <v>222700</v>
      </c>
      <c r="O11" s="32" t="n">
        <f aca="false">O43</f>
        <v>222700</v>
      </c>
      <c r="P11" s="32" t="n">
        <f aca="false">P43</f>
        <v>222700</v>
      </c>
      <c r="Q11" s="32" t="n">
        <f aca="false">Q43</f>
        <v>222700</v>
      </c>
      <c r="R11" s="27"/>
    </row>
    <row r="12" customFormat="false" ht="12.75" hidden="false" customHeight="false" outlineLevel="0" collapsed="false">
      <c r="E12" s="36"/>
      <c r="F12" s="28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27"/>
    </row>
    <row r="13" customFormat="false" ht="12.75" hidden="false" customHeight="false" outlineLevel="0" collapsed="false">
      <c r="D13" s="279"/>
      <c r="E13" s="285"/>
      <c r="F13" s="278"/>
      <c r="G13" s="232" t="str">
        <f aca="false">IF(C60=1,A63,IF(C60=2,A69,A72))</f>
        <v>1. Base Case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27"/>
    </row>
    <row r="14" customFormat="false" ht="12.75" hidden="false" customHeight="false" outlineLevel="0" collapsed="false">
      <c r="A14" s="21" t="s">
        <v>175</v>
      </c>
      <c r="B14" s="286"/>
      <c r="C14" s="21"/>
      <c r="D14" s="282"/>
      <c r="E14" s="287"/>
      <c r="F14" s="278" t="n">
        <f aca="false">F60</f>
        <v>60700</v>
      </c>
      <c r="G14" s="32" t="n">
        <f aca="false">G60</f>
        <v>54630</v>
      </c>
      <c r="H14" s="32" t="n">
        <f aca="false">H60</f>
        <v>54630</v>
      </c>
      <c r="I14" s="32" t="n">
        <f aca="false">I60</f>
        <v>54630</v>
      </c>
      <c r="J14" s="32" t="n">
        <f aca="false">J60</f>
        <v>54630</v>
      </c>
      <c r="K14" s="32" t="n">
        <f aca="false">K60</f>
        <v>54630</v>
      </c>
      <c r="L14" s="32" t="n">
        <f aca="false">L60</f>
        <v>54630</v>
      </c>
      <c r="M14" s="32" t="n">
        <f aca="false">M60</f>
        <v>54630</v>
      </c>
      <c r="N14" s="32" t="n">
        <f aca="false">N60</f>
        <v>54630</v>
      </c>
      <c r="O14" s="32" t="n">
        <f aca="false">O60</f>
        <v>54630</v>
      </c>
      <c r="P14" s="32" t="n">
        <f aca="false">P60</f>
        <v>54630</v>
      </c>
      <c r="Q14" s="32" t="n">
        <f aca="false">Q60</f>
        <v>54630</v>
      </c>
      <c r="R14" s="27"/>
    </row>
    <row r="15" customFormat="false" ht="12.75" hidden="false" customHeight="false" outlineLevel="0" collapsed="false">
      <c r="A15" s="12" t="s">
        <v>155</v>
      </c>
      <c r="B15" s="12"/>
      <c r="C15" s="12"/>
      <c r="D15" s="192"/>
      <c r="E15" s="288"/>
      <c r="F15" s="289" t="n">
        <f aca="false">F11/F14</f>
        <v>3.66886326194399</v>
      </c>
      <c r="G15" s="195" t="n">
        <f aca="false">G11/G14</f>
        <v>4.07651473549332</v>
      </c>
      <c r="H15" s="195" t="n">
        <f aca="false">H11/H14</f>
        <v>4.07651473549332</v>
      </c>
      <c r="I15" s="195" t="n">
        <f aca="false">I11/I14</f>
        <v>4.07651473549332</v>
      </c>
      <c r="J15" s="195" t="n">
        <f aca="false">J11/J14</f>
        <v>4.07651473549332</v>
      </c>
      <c r="K15" s="195" t="n">
        <f aca="false">K11/K14</f>
        <v>4.07651473549332</v>
      </c>
      <c r="L15" s="195" t="n">
        <f aca="false">L11/L14</f>
        <v>4.07651473549332</v>
      </c>
      <c r="M15" s="195" t="n">
        <f aca="false">M11/M14</f>
        <v>4.07651473549332</v>
      </c>
      <c r="N15" s="195" t="n">
        <f aca="false">N11/N14</f>
        <v>4.07651473549332</v>
      </c>
      <c r="O15" s="195" t="n">
        <f aca="false">O11/O14</f>
        <v>4.07651473549332</v>
      </c>
      <c r="P15" s="195" t="n">
        <f aca="false">P11/P14</f>
        <v>4.07651473549332</v>
      </c>
      <c r="Q15" s="195" t="n">
        <f aca="false">Q11/Q14</f>
        <v>4.07651473549332</v>
      </c>
      <c r="R15" s="27"/>
    </row>
    <row r="16" customFormat="false" ht="12.75" hidden="false" customHeight="false" outlineLevel="0" collapsed="false">
      <c r="A16" s="114" t="s">
        <v>118</v>
      </c>
      <c r="B16" s="115"/>
      <c r="C16" s="115"/>
      <c r="D16" s="115"/>
      <c r="E16" s="290"/>
      <c r="F16" s="291" t="n">
        <f aca="false">(F11-F14)</f>
        <v>162000</v>
      </c>
      <c r="G16" s="116" t="n">
        <f aca="false">(G11-G14)</f>
        <v>168070</v>
      </c>
      <c r="H16" s="116" t="n">
        <f aca="false">(H11-H14)</f>
        <v>168070</v>
      </c>
      <c r="I16" s="116" t="n">
        <f aca="false">(I11-I14)</f>
        <v>168070</v>
      </c>
      <c r="J16" s="116" t="n">
        <f aca="false">(J11-J14)</f>
        <v>168070</v>
      </c>
      <c r="K16" s="116" t="n">
        <f aca="false">(K11-K14)</f>
        <v>168070</v>
      </c>
      <c r="L16" s="116" t="n">
        <f aca="false">(L11-L14)</f>
        <v>168070</v>
      </c>
      <c r="M16" s="116" t="n">
        <f aca="false">(M11-M14)</f>
        <v>168070</v>
      </c>
      <c r="N16" s="116" t="n">
        <f aca="false">(N11-N14)</f>
        <v>168070</v>
      </c>
      <c r="O16" s="116" t="n">
        <f aca="false">(O11-O14)</f>
        <v>168070</v>
      </c>
      <c r="P16" s="116" t="n">
        <f aca="false">(P11-P14)</f>
        <v>168070</v>
      </c>
      <c r="Q16" s="118" t="n">
        <f aca="false">(Q11-Q14)</f>
        <v>168070</v>
      </c>
      <c r="R16" s="182"/>
    </row>
    <row r="17" customFormat="false" ht="12.75" hidden="false" customHeight="false" outlineLevel="0" collapsed="false">
      <c r="E17" s="36"/>
      <c r="F17" s="278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7"/>
    </row>
    <row r="18" customFormat="false" ht="12.75" hidden="false" customHeight="false" outlineLevel="0" collapsed="false">
      <c r="A18" s="0" t="s">
        <v>156</v>
      </c>
      <c r="B18" s="199"/>
      <c r="E18" s="36"/>
      <c r="F18" s="278" t="n">
        <v>0</v>
      </c>
      <c r="G18" s="121" t="n">
        <f aca="false">G85</f>
        <v>47997.4086243647</v>
      </c>
      <c r="H18" s="121" t="n">
        <f aca="false">H85</f>
        <v>49377.1086243647</v>
      </c>
      <c r="I18" s="121" t="n">
        <f aca="false">I85</f>
        <v>50756.8086243647</v>
      </c>
      <c r="J18" s="121" t="n">
        <f aca="false">J85</f>
        <v>52136.5086243647</v>
      </c>
      <c r="K18" s="121" t="n">
        <f aca="false">K85</f>
        <v>53516.2086243647</v>
      </c>
      <c r="L18" s="121" t="n">
        <f aca="false">L85</f>
        <v>54895.9086243647</v>
      </c>
      <c r="M18" s="121" t="n">
        <f aca="false">M85</f>
        <v>56275.6086243647</v>
      </c>
      <c r="N18" s="121" t="n">
        <f aca="false">N85</f>
        <v>57655.3086243647</v>
      </c>
      <c r="O18" s="121" t="n">
        <f aca="false">O85</f>
        <v>59035.0086243647</v>
      </c>
      <c r="P18" s="121" t="n">
        <f aca="false">P85</f>
        <v>60414.7086243647</v>
      </c>
      <c r="Q18" s="121" t="n">
        <f aca="false">Q85</f>
        <v>61794.4086243647</v>
      </c>
      <c r="R18" s="27"/>
    </row>
    <row r="19" customFormat="false" ht="12.75" hidden="false" customHeight="false" outlineLevel="0" collapsed="false">
      <c r="E19" s="36"/>
      <c r="F19" s="27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/>
    </row>
    <row r="20" customFormat="false" ht="12.75" hidden="false" customHeight="false" outlineLevel="0" collapsed="false">
      <c r="A20" s="114" t="s">
        <v>121</v>
      </c>
      <c r="B20" s="115"/>
      <c r="C20" s="115"/>
      <c r="D20" s="115"/>
      <c r="E20" s="290"/>
      <c r="F20" s="291" t="n">
        <f aca="false">F16-F18</f>
        <v>162000</v>
      </c>
      <c r="G20" s="116" t="n">
        <f aca="false">G16-G18</f>
        <v>120072.591375635</v>
      </c>
      <c r="H20" s="116" t="n">
        <f aca="false">H16-H18</f>
        <v>118692.891375635</v>
      </c>
      <c r="I20" s="116" t="n">
        <f aca="false">I16-I18</f>
        <v>117313.191375635</v>
      </c>
      <c r="J20" s="116" t="n">
        <f aca="false">J16-J18</f>
        <v>115933.491375635</v>
      </c>
      <c r="K20" s="116" t="n">
        <f aca="false">K16-K18</f>
        <v>114553.791375635</v>
      </c>
      <c r="L20" s="116" t="n">
        <f aca="false">L16-L18</f>
        <v>113174.091375635</v>
      </c>
      <c r="M20" s="116" t="n">
        <f aca="false">M16-M18</f>
        <v>111794.391375635</v>
      </c>
      <c r="N20" s="116" t="n">
        <f aca="false">N16-N18</f>
        <v>110414.691375635</v>
      </c>
      <c r="O20" s="116" t="n">
        <f aca="false">O16-O18</f>
        <v>109034.991375635</v>
      </c>
      <c r="P20" s="116" t="n">
        <f aca="false">P16-P18</f>
        <v>107655.291375635</v>
      </c>
      <c r="Q20" s="118" t="n">
        <f aca="false">Q16-Q18</f>
        <v>106275.591375635</v>
      </c>
      <c r="R20" s="27"/>
    </row>
    <row r="21" customFormat="false" ht="12.75" hidden="false" customHeight="false" outlineLevel="0" collapsed="false">
      <c r="E21" s="36"/>
      <c r="F21" s="278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7"/>
    </row>
    <row r="22" customFormat="false" ht="12.75" hidden="false" customHeight="false" outlineLevel="0" collapsed="false">
      <c r="A22" s="32" t="s">
        <v>158</v>
      </c>
      <c r="E22" s="214"/>
      <c r="F22" s="278"/>
      <c r="G22" s="32" t="n">
        <f aca="false">$B$24*(G16-G90)</f>
        <v>46227.9476796196</v>
      </c>
      <c r="H22" s="32" t="n">
        <f aca="false">$B$24*(H16-H90)</f>
        <v>29065.6610912772</v>
      </c>
      <c r="I22" s="32" t="n">
        <f aca="false">$B$24*(I16-I90)</f>
        <v>31567.4209821495</v>
      </c>
      <c r="J22" s="32" t="n">
        <f aca="false">$B$24*(J16-J90)</f>
        <v>33800.5258816142</v>
      </c>
      <c r="K22" s="32" t="n">
        <f aca="false">$B$24*(K16-K90)</f>
        <v>35828.2681089527</v>
      </c>
      <c r="L22" s="32" t="n">
        <f aca="false">$B$24*(L16-L90)</f>
        <v>37679.106716806</v>
      </c>
      <c r="M22" s="32" t="n">
        <f aca="false">$B$24*(M16-M90)</f>
        <v>38236.8649829511</v>
      </c>
      <c r="N22" s="32" t="n">
        <f aca="false">$B$24*(N16-N90)</f>
        <v>37610.0672729511</v>
      </c>
      <c r="O22" s="32" t="n">
        <f aca="false">$B$24*(O16-O90)</f>
        <v>36946.3115583103</v>
      </c>
      <c r="P22" s="32" t="n">
        <f aca="false">$B$24*(P16-P90)</f>
        <v>36355.4094839511</v>
      </c>
      <c r="Q22" s="32" t="n">
        <f aca="false">$B$24*(Q16-Q90)</f>
        <v>35691.6537693103</v>
      </c>
      <c r="R22" s="27"/>
    </row>
    <row r="23" customFormat="false" ht="15" hidden="false" customHeight="false" outlineLevel="0" collapsed="false">
      <c r="A23" s="32" t="s">
        <v>159</v>
      </c>
      <c r="E23" s="292"/>
      <c r="F23" s="293"/>
      <c r="G23" s="117" t="n">
        <f aca="false">G24-G22</f>
        <v>0</v>
      </c>
      <c r="H23" s="117" t="n">
        <f aca="false">H24-H22</f>
        <v>16631.1020883424</v>
      </c>
      <c r="I23" s="117" t="n">
        <f aca="false">I24-I22</f>
        <v>13598.1576974701</v>
      </c>
      <c r="J23" s="117" t="n">
        <f aca="false">J24-J22</f>
        <v>10833.8682980054</v>
      </c>
      <c r="K23" s="117" t="n">
        <f aca="false">K24-K22</f>
        <v>8274.94157066684</v>
      </c>
      <c r="L23" s="117" t="n">
        <f aca="false">L24-L22</f>
        <v>5892.91846281358</v>
      </c>
      <c r="M23" s="117" t="n">
        <f aca="false">M24-M22</f>
        <v>4803.97569666847</v>
      </c>
      <c r="N23" s="117" t="n">
        <f aca="false">N24-N22</f>
        <v>4899.58890666848</v>
      </c>
      <c r="O23" s="117" t="n">
        <f aca="false">O24-O22</f>
        <v>5032.16012130924</v>
      </c>
      <c r="P23" s="117" t="n">
        <f aca="false">P24-P22</f>
        <v>5091.87769566847</v>
      </c>
      <c r="Q23" s="117" t="n">
        <f aca="false">Q24-Q22</f>
        <v>5224.44891030924</v>
      </c>
      <c r="R23" s="27"/>
    </row>
    <row r="24" customFormat="false" ht="12.75" hidden="false" customHeight="false" outlineLevel="0" collapsed="false">
      <c r="A24" s="207" t="s">
        <v>153</v>
      </c>
      <c r="B24" s="294" t="n">
        <f aca="false">Assumptions!D19</f>
        <v>0.385</v>
      </c>
      <c r="E24" s="214"/>
      <c r="F24" s="278" t="n">
        <v>0</v>
      </c>
      <c r="G24" s="32" t="n">
        <f aca="false">$B$24*G20</f>
        <v>46227.9476796196</v>
      </c>
      <c r="H24" s="32" t="n">
        <f aca="false">$B$24*H20</f>
        <v>45696.7631796196</v>
      </c>
      <c r="I24" s="32" t="n">
        <f aca="false">$B$24*I20</f>
        <v>45165.5786796196</v>
      </c>
      <c r="J24" s="32" t="n">
        <f aca="false">$B$24*J20</f>
        <v>44634.3941796196</v>
      </c>
      <c r="K24" s="32" t="n">
        <f aca="false">$B$24*K20</f>
        <v>44103.2096796196</v>
      </c>
      <c r="L24" s="32" t="n">
        <f aca="false">$B$24*L20</f>
        <v>43572.0251796196</v>
      </c>
      <c r="M24" s="32" t="n">
        <f aca="false">$B$24*M20</f>
        <v>43040.8406796196</v>
      </c>
      <c r="N24" s="32" t="n">
        <f aca="false">$B$24*N20</f>
        <v>42509.6561796196</v>
      </c>
      <c r="O24" s="32" t="n">
        <f aca="false">$B$24*O20</f>
        <v>41978.4716796196</v>
      </c>
      <c r="P24" s="32" t="n">
        <f aca="false">$B$24*P20</f>
        <v>41447.2871796196</v>
      </c>
      <c r="Q24" s="32" t="n">
        <f aca="false">$B$24*Q20</f>
        <v>40916.1026796196</v>
      </c>
      <c r="R24" s="27"/>
    </row>
    <row r="25" customFormat="false" ht="12.75" hidden="false" customHeight="false" outlineLevel="0" collapsed="false">
      <c r="A25" s="32"/>
      <c r="E25" s="36"/>
      <c r="F25" s="27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7"/>
    </row>
    <row r="26" customFormat="false" ht="12.75" hidden="false" customHeight="false" outlineLevel="0" collapsed="false">
      <c r="A26" s="295" t="s">
        <v>125</v>
      </c>
      <c r="B26" s="115"/>
      <c r="C26" s="115"/>
      <c r="D26" s="115"/>
      <c r="E26" s="296"/>
      <c r="F26" s="291" t="n">
        <f aca="false">F20-F24</f>
        <v>162000</v>
      </c>
      <c r="G26" s="116" t="n">
        <f aca="false">G20-G24</f>
        <v>73844.6436960157</v>
      </c>
      <c r="H26" s="116" t="n">
        <f aca="false">H20-H24</f>
        <v>72996.1281960157</v>
      </c>
      <c r="I26" s="116" t="n">
        <f aca="false">I20-I24</f>
        <v>72147.6126960157</v>
      </c>
      <c r="J26" s="116" t="n">
        <f aca="false">J20-J24</f>
        <v>71299.0971960157</v>
      </c>
      <c r="K26" s="116" t="n">
        <f aca="false">K20-K24</f>
        <v>70450.5816960157</v>
      </c>
      <c r="L26" s="116" t="n">
        <f aca="false">L20-L24</f>
        <v>69602.0661960157</v>
      </c>
      <c r="M26" s="116" t="n">
        <f aca="false">M20-M24</f>
        <v>68753.5506960157</v>
      </c>
      <c r="N26" s="116" t="n">
        <f aca="false">N20-N24</f>
        <v>67905.0351960157</v>
      </c>
      <c r="O26" s="116" t="n">
        <f aca="false">O20-O24</f>
        <v>67056.5196960157</v>
      </c>
      <c r="P26" s="116" t="n">
        <f aca="false">P20-P24</f>
        <v>66208.0041960157</v>
      </c>
      <c r="Q26" s="118" t="n">
        <f aca="false">Q20-Q24</f>
        <v>65359.4886960157</v>
      </c>
    </row>
    <row r="27" customFormat="false" ht="12.75" hidden="false" customHeight="false" outlineLevel="0" collapsed="false">
      <c r="A27" s="32"/>
      <c r="E27" s="36"/>
      <c r="F27" s="278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297" t="s">
        <v>118</v>
      </c>
    </row>
    <row r="28" customFormat="false" ht="12.75" hidden="false" customHeight="false" outlineLevel="0" collapsed="false">
      <c r="A28" s="32" t="s">
        <v>160</v>
      </c>
      <c r="E28" s="36"/>
      <c r="F28" s="278" t="n">
        <f aca="false">F26+F23+F18</f>
        <v>162000</v>
      </c>
      <c r="G28" s="32" t="n">
        <f aca="false">G26+G23+G18</f>
        <v>121842.05232038</v>
      </c>
      <c r="H28" s="32" t="n">
        <f aca="false">H26+H23+H18</f>
        <v>139004.338908723</v>
      </c>
      <c r="I28" s="32" t="n">
        <f aca="false">I26+I23+I18</f>
        <v>136502.579017851</v>
      </c>
      <c r="J28" s="32" t="n">
        <f aca="false">J26+J23+J18</f>
        <v>134269.474118386</v>
      </c>
      <c r="K28" s="32" t="n">
        <f aca="false">K26+K23+K18</f>
        <v>132241.731891047</v>
      </c>
      <c r="L28" s="32" t="n">
        <f aca="false">L26+L23+L18</f>
        <v>130390.893283194</v>
      </c>
      <c r="M28" s="32" t="n">
        <f aca="false">M26+M23+M18</f>
        <v>129833.135017049</v>
      </c>
      <c r="N28" s="32" t="n">
        <f aca="false">N26+N23+N18</f>
        <v>130459.932727049</v>
      </c>
      <c r="O28" s="32" t="n">
        <f aca="false">O26+O23+O18</f>
        <v>131123.68844169</v>
      </c>
      <c r="P28" s="32" t="n">
        <f aca="false">P26+P23+P18</f>
        <v>131714.590516049</v>
      </c>
      <c r="Q28" s="32" t="n">
        <f aca="false">Q26+Q23+Q18</f>
        <v>132378.34623069</v>
      </c>
      <c r="R28" s="297" t="s">
        <v>176</v>
      </c>
    </row>
    <row r="29" customFormat="false" ht="12.75" hidden="false" customHeight="false" outlineLevel="0" collapsed="false">
      <c r="A29" s="32" t="s">
        <v>131</v>
      </c>
      <c r="B29" s="298" t="n">
        <f aca="false">Assumptions!C44</f>
        <v>1</v>
      </c>
      <c r="E29" s="36"/>
      <c r="F29" s="278" t="n">
        <f aca="false">F78</f>
        <v>27594</v>
      </c>
      <c r="G29" s="32" t="n">
        <f aca="false">G78</f>
        <v>27594</v>
      </c>
      <c r="H29" s="32" t="n">
        <f aca="false">H78</f>
        <v>27594</v>
      </c>
      <c r="I29" s="32" t="n">
        <f aca="false">I78</f>
        <v>27594</v>
      </c>
      <c r="J29" s="32" t="n">
        <f aca="false">J78</f>
        <v>27594</v>
      </c>
      <c r="K29" s="32" t="n">
        <f aca="false">K78</f>
        <v>27594</v>
      </c>
      <c r="L29" s="32" t="n">
        <f aca="false">L78</f>
        <v>27594</v>
      </c>
      <c r="M29" s="32" t="n">
        <f aca="false">M78</f>
        <v>27594</v>
      </c>
      <c r="N29" s="32" t="n">
        <f aca="false">N78</f>
        <v>27594</v>
      </c>
      <c r="O29" s="32" t="n">
        <f aca="false">O78</f>
        <v>27594</v>
      </c>
      <c r="P29" s="32" t="n">
        <f aca="false">P78</f>
        <v>27594</v>
      </c>
      <c r="Q29" s="32" t="n">
        <f aca="false">Q78</f>
        <v>27594</v>
      </c>
      <c r="R29" s="299" t="n">
        <f aca="false">Assumptions!E37</f>
        <v>8</v>
      </c>
    </row>
    <row r="30" customFormat="false" ht="12.75" hidden="false" customHeight="false" outlineLevel="0" collapsed="false">
      <c r="A30" s="300" t="s">
        <v>161</v>
      </c>
      <c r="B30" s="115"/>
      <c r="C30" s="115"/>
      <c r="D30" s="115"/>
      <c r="E30" s="290"/>
      <c r="F30" s="291" t="n">
        <f aca="false">F28-F29</f>
        <v>134406</v>
      </c>
      <c r="G30" s="116" t="n">
        <f aca="false">G28-G29</f>
        <v>94248.0523203804</v>
      </c>
      <c r="H30" s="116" t="n">
        <f aca="false">H28-H29</f>
        <v>111410.338908723</v>
      </c>
      <c r="I30" s="116" t="n">
        <f aca="false">I28-I29</f>
        <v>108908.579017851</v>
      </c>
      <c r="J30" s="116" t="n">
        <f aca="false">J28-J29</f>
        <v>106675.474118386</v>
      </c>
      <c r="K30" s="116" t="n">
        <f aca="false">K28-K29</f>
        <v>104647.731891047</v>
      </c>
      <c r="L30" s="116" t="n">
        <f aca="false">L28-L29</f>
        <v>102796.893283194</v>
      </c>
      <c r="M30" s="116" t="n">
        <f aca="false">M28-M29</f>
        <v>102239.135017049</v>
      </c>
      <c r="N30" s="116" t="n">
        <f aca="false">N28-N29</f>
        <v>102865.932727049</v>
      </c>
      <c r="O30" s="116" t="n">
        <f aca="false">O28-O29</f>
        <v>103529.68844169</v>
      </c>
      <c r="P30" s="116" t="n">
        <f aca="false">P28-P29</f>
        <v>104120.590516049</v>
      </c>
      <c r="Q30" s="116" t="n">
        <f aca="false">Q28-Q29</f>
        <v>104784.34623069</v>
      </c>
      <c r="R30" s="118" t="n">
        <f aca="false">Q16*$R$29</f>
        <v>1344560</v>
      </c>
    </row>
    <row r="31" customFormat="false" ht="12.75" hidden="false" customHeight="false" outlineLevel="0" collapsed="false">
      <c r="A31" s="207"/>
      <c r="D31" s="52" t="s">
        <v>101</v>
      </c>
      <c r="E31" s="301" t="n">
        <f aca="false">IRR(F31:R31)</f>
        <v>0.125000006362501</v>
      </c>
      <c r="F31" s="278" t="n">
        <f aca="false">-Asset1PurPrice</f>
        <v>-932354.172487295</v>
      </c>
      <c r="G31" s="32" t="n">
        <f aca="false">G30</f>
        <v>94248.0523203804</v>
      </c>
      <c r="H31" s="32" t="n">
        <f aca="false">H30</f>
        <v>111410.338908723</v>
      </c>
      <c r="I31" s="32" t="n">
        <f aca="false">I30</f>
        <v>108908.579017851</v>
      </c>
      <c r="J31" s="32" t="n">
        <f aca="false">J30</f>
        <v>106675.474118386</v>
      </c>
      <c r="K31" s="32" t="n">
        <f aca="false">K30</f>
        <v>104647.731891047</v>
      </c>
      <c r="L31" s="32" t="n">
        <f aca="false">L30</f>
        <v>102796.893283194</v>
      </c>
      <c r="M31" s="32" t="n">
        <f aca="false">M30</f>
        <v>102239.135017049</v>
      </c>
      <c r="N31" s="32" t="n">
        <f aca="false">N30</f>
        <v>102865.932727049</v>
      </c>
      <c r="O31" s="32" t="n">
        <f aca="false">O30</f>
        <v>103529.68844169</v>
      </c>
      <c r="P31" s="32" t="n">
        <f aca="false">P30</f>
        <v>104120.590516049</v>
      </c>
      <c r="Q31" s="32" t="n">
        <f aca="false">Q30</f>
        <v>104784.34623069</v>
      </c>
      <c r="R31" s="32" t="n">
        <f aca="false">R30</f>
        <v>1344560</v>
      </c>
    </row>
    <row r="32" customFormat="false" ht="13.5" hidden="false" customHeight="false" outlineLevel="0" collapsed="false">
      <c r="R32" s="32"/>
    </row>
    <row r="33" customFormat="false" ht="15" hidden="false" customHeight="false" outlineLevel="0" collapsed="false">
      <c r="F33" s="0"/>
      <c r="G33" s="302" t="s">
        <v>166</v>
      </c>
      <c r="H33" s="303" t="str">
        <f aca="false">(Assumptions!D12-1&amp;" EBITDA")</f>
        <v>2000 EBITDA</v>
      </c>
      <c r="I33" s="303" t="s">
        <v>177</v>
      </c>
      <c r="J33" s="304"/>
      <c r="K33" s="305" t="s">
        <v>167</v>
      </c>
      <c r="L33" s="305"/>
      <c r="M33" s="305"/>
      <c r="P33" s="32"/>
      <c r="Q33" s="32"/>
      <c r="R33" s="32"/>
    </row>
    <row r="34" customFormat="false" ht="15" hidden="false" customHeight="false" outlineLevel="0" collapsed="false">
      <c r="F34" s="0"/>
      <c r="G34" s="306" t="s">
        <v>168</v>
      </c>
      <c r="H34" s="307" t="s">
        <v>169</v>
      </c>
      <c r="I34" s="307" t="s">
        <v>178</v>
      </c>
      <c r="J34" s="308"/>
      <c r="K34" s="309" t="n">
        <f aca="false">Asset1Drate-0.025</f>
        <v>0.1</v>
      </c>
      <c r="L34" s="309" t="n">
        <f aca="false">Assumptions!H37</f>
        <v>0.125</v>
      </c>
      <c r="M34" s="310" t="n">
        <f aca="false">Asset1Drate+0.025</f>
        <v>0.15</v>
      </c>
      <c r="P34" s="32"/>
      <c r="Q34" s="32"/>
      <c r="R34" s="32"/>
    </row>
    <row r="35" customFormat="false" ht="12.75" hidden="false" customHeight="false" outlineLevel="0" collapsed="false">
      <c r="F35" s="52" t="s">
        <v>171</v>
      </c>
      <c r="G35" s="248"/>
      <c r="H35" s="311"/>
      <c r="I35" s="311"/>
      <c r="J35" s="249"/>
      <c r="K35" s="249"/>
      <c r="L35" s="249"/>
      <c r="M35" s="251"/>
      <c r="P35" s="32"/>
      <c r="Q35" s="32"/>
      <c r="R35" s="32"/>
    </row>
    <row r="36" customFormat="false" ht="13.5" hidden="false" customHeight="false" outlineLevel="0" collapsed="false">
      <c r="F36" s="0" t="n">
        <f aca="false">IF(ABS(G36-L36)&lt;0.05,0,1)</f>
        <v>0</v>
      </c>
      <c r="G36" s="312" t="n">
        <v>932354.172487295</v>
      </c>
      <c r="H36" s="313" t="n">
        <f aca="false">G36/F16</f>
        <v>5.75527266967466</v>
      </c>
      <c r="I36" s="314" t="str">
        <f aca="false">Assumptions!D40</f>
        <v>ETS</v>
      </c>
      <c r="J36" s="315"/>
      <c r="K36" s="316" t="n">
        <f aca="false">NPV(K34,$G$30:$R$30)</f>
        <v>1105091.06841423</v>
      </c>
      <c r="L36" s="317" t="n">
        <f aca="false">NPV(L34,$G$30:$R$30)</f>
        <v>932354.211338646</v>
      </c>
      <c r="M36" s="318" t="n">
        <f aca="false">NPV(M34,$G$30:$R$30)</f>
        <v>796328.321993282</v>
      </c>
      <c r="P36" s="32"/>
      <c r="Q36" s="32"/>
      <c r="R36" s="32"/>
    </row>
    <row r="37" customFormat="false" ht="12.75" hidden="false" customHeight="false" outlineLevel="0" collapsed="false">
      <c r="F37" s="0"/>
      <c r="G37" s="32"/>
      <c r="H37" s="319"/>
      <c r="I37" s="319"/>
      <c r="J37" s="32"/>
      <c r="K37" s="32"/>
      <c r="L37" s="32"/>
      <c r="M37" s="32"/>
      <c r="P37" s="32"/>
      <c r="Q37" s="32"/>
      <c r="R37" s="32"/>
    </row>
    <row r="38" customFormat="false" ht="12.75" hidden="false" customHeight="false" outlineLevel="0" collapsed="false">
      <c r="F38" s="32"/>
      <c r="G38" s="32"/>
      <c r="H38" s="32"/>
      <c r="I38" s="32"/>
      <c r="J38" s="32"/>
      <c r="K38" s="32"/>
      <c r="L38" s="32"/>
      <c r="N38" s="32"/>
      <c r="O38" s="32"/>
      <c r="P38" s="32"/>
      <c r="Q38" s="32"/>
    </row>
    <row r="39" customFormat="false" ht="12.75" hidden="false" customHeight="false" outlineLevel="0" collapsed="false">
      <c r="E39" s="32"/>
      <c r="F39" s="32"/>
      <c r="G39" s="32"/>
      <c r="I39" s="27"/>
      <c r="J39" s="27"/>
      <c r="K39" s="27"/>
      <c r="L39" s="27"/>
      <c r="M39" s="27"/>
      <c r="N39" s="27"/>
      <c r="O39" s="27"/>
      <c r="P39" s="27"/>
      <c r="Q39" s="27"/>
    </row>
    <row r="40" customFormat="false" ht="12.75" hidden="false" customHeight="false" outlineLevel="0" collapsed="false">
      <c r="E40" s="32"/>
      <c r="F40" s="32"/>
      <c r="G40" s="32"/>
      <c r="H40" s="32"/>
      <c r="I40" s="27"/>
      <c r="J40" s="27"/>
      <c r="K40" s="27"/>
      <c r="L40" s="27"/>
      <c r="M40" s="27"/>
      <c r="N40" s="27"/>
      <c r="O40" s="27"/>
      <c r="P40" s="27"/>
      <c r="Q40" s="27"/>
    </row>
    <row r="41" customFormat="false" ht="13.5" hidden="false" customHeight="false" outlineLevel="0" collapsed="false">
      <c r="A41" s="13" t="s">
        <v>179</v>
      </c>
    </row>
    <row r="42" customFormat="false" ht="13.5" hidden="false" customHeight="false" outlineLevel="0" collapsed="false">
      <c r="B42" s="320" t="s">
        <v>180</v>
      </c>
      <c r="C42" s="321" t="s">
        <v>181</v>
      </c>
      <c r="F42" s="322" t="n">
        <f aca="false">G42-1</f>
        <v>2000</v>
      </c>
      <c r="G42" s="13" t="n">
        <f aca="false">Assumptions!D12</f>
        <v>2001</v>
      </c>
      <c r="H42" s="13" t="n">
        <f aca="false">G42+1</f>
        <v>2002</v>
      </c>
      <c r="I42" s="13" t="n">
        <f aca="false">H42+1</f>
        <v>2003</v>
      </c>
      <c r="J42" s="13" t="n">
        <f aca="false">I42+1</f>
        <v>2004</v>
      </c>
      <c r="K42" s="13" t="n">
        <f aca="false">J42+1</f>
        <v>2005</v>
      </c>
      <c r="L42" s="13" t="n">
        <f aca="false">K42+1</f>
        <v>2006</v>
      </c>
      <c r="M42" s="13" t="n">
        <f aca="false">L42+1</f>
        <v>2007</v>
      </c>
      <c r="N42" s="13" t="n">
        <f aca="false">M42+1</f>
        <v>2008</v>
      </c>
      <c r="O42" s="13" t="n">
        <f aca="false">N42+1</f>
        <v>2009</v>
      </c>
      <c r="P42" s="13" t="n">
        <f aca="false">O42+1</f>
        <v>2010</v>
      </c>
      <c r="Q42" s="13" t="n">
        <f aca="false">P42+1</f>
        <v>2011</v>
      </c>
    </row>
    <row r="43" customFormat="false" ht="13.5" hidden="false" customHeight="false" outlineLevel="0" collapsed="false">
      <c r="A43" s="323" t="str">
        <f aca="false">A2</f>
        <v>  Asset 1- Cash Flow Analysis</v>
      </c>
      <c r="B43" s="324" t="n">
        <f aca="false">Assumptions!C44</f>
        <v>1</v>
      </c>
      <c r="C43" s="325" t="n">
        <v>1</v>
      </c>
      <c r="D43" s="115"/>
      <c r="E43" s="326"/>
      <c r="F43" s="291" t="n">
        <f aca="false">F48*$B$43</f>
        <v>222700</v>
      </c>
      <c r="G43" s="116" t="n">
        <f aca="false">CHOOSE($C$43,G48,G51,G54)*$B$43+G44</f>
        <v>222700</v>
      </c>
      <c r="H43" s="116" t="n">
        <f aca="false">CHOOSE($C$43,H48,H51,H54)*$B$43+H44</f>
        <v>222700</v>
      </c>
      <c r="I43" s="116" t="n">
        <f aca="false">CHOOSE($C$43,I48,I51,I54)*$B$43+I44</f>
        <v>222700</v>
      </c>
      <c r="J43" s="116" t="n">
        <f aca="false">CHOOSE($C$43,J48,J51,J54)*$B$43+J44</f>
        <v>222700</v>
      </c>
      <c r="K43" s="116" t="n">
        <f aca="false">CHOOSE($C$43,K48,K51,K54)*$B$43+K44</f>
        <v>222700</v>
      </c>
      <c r="L43" s="116" t="n">
        <f aca="false">CHOOSE($C$43,L48,L51,L54)*$B$43+L44</f>
        <v>222700</v>
      </c>
      <c r="M43" s="116" t="n">
        <f aca="false">CHOOSE($C$43,M48,M51,M54)*$B$43+M44</f>
        <v>222700</v>
      </c>
      <c r="N43" s="116" t="n">
        <f aca="false">CHOOSE($C$43,N48,N51,N54)*$B$43+N44</f>
        <v>222700</v>
      </c>
      <c r="O43" s="116" t="n">
        <f aca="false">CHOOSE($C$43,O48,O51,O54)*$B$43+O44</f>
        <v>222700</v>
      </c>
      <c r="P43" s="116" t="n">
        <f aca="false">CHOOSE($C$43,P48,P51,P54)*$B$43+P44</f>
        <v>222700</v>
      </c>
      <c r="Q43" s="118" t="n">
        <f aca="false">CHOOSE($C$43,Q48,Q51,Q54)*$B$43+Q44</f>
        <v>222700</v>
      </c>
    </row>
    <row r="44" customFormat="false" ht="12.75" hidden="false" customHeight="false" outlineLevel="0" collapsed="false">
      <c r="C44" s="327"/>
      <c r="F44" s="284" t="s">
        <v>182</v>
      </c>
      <c r="G44" s="32" t="n">
        <v>0</v>
      </c>
      <c r="H44" s="32" t="n">
        <v>0</v>
      </c>
      <c r="I44" s="32" t="n">
        <v>0</v>
      </c>
      <c r="J44" s="32" t="n">
        <v>0</v>
      </c>
      <c r="K44" s="32" t="n">
        <v>0</v>
      </c>
      <c r="L44" s="32" t="n">
        <v>0</v>
      </c>
      <c r="M44" s="32" t="n">
        <v>0</v>
      </c>
      <c r="N44" s="32" t="n">
        <v>0</v>
      </c>
      <c r="O44" s="32" t="n">
        <v>0</v>
      </c>
      <c r="P44" s="32" t="n">
        <v>0</v>
      </c>
      <c r="Q44" s="32" t="n">
        <v>0</v>
      </c>
    </row>
    <row r="45" customFormat="false" ht="12.75" hidden="false" customHeight="false" outlineLevel="0" collapsed="false">
      <c r="C45" s="328"/>
      <c r="D45" s="279"/>
      <c r="F45" s="207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customFormat="false" ht="12.75" hidden="false" customHeight="false" outlineLevel="0" collapsed="false">
      <c r="A46" s="12" t="str">
        <f aca="false">Assumptions!B50</f>
        <v>1. Base Case</v>
      </c>
      <c r="C46" s="328" t="n">
        <v>1</v>
      </c>
    </row>
    <row r="47" customFormat="false" ht="15" hidden="false" customHeight="false" outlineLevel="0" collapsed="false">
      <c r="A47" s="0" t="s">
        <v>183</v>
      </c>
      <c r="C47" s="328"/>
      <c r="D47" s="329"/>
      <c r="E47" s="36"/>
      <c r="F47" s="293" t="n">
        <v>222700</v>
      </c>
      <c r="G47" s="117" t="n">
        <f aca="false">F47</f>
        <v>222700</v>
      </c>
      <c r="H47" s="117" t="n">
        <f aca="false">G47</f>
        <v>222700</v>
      </c>
      <c r="I47" s="117" t="n">
        <f aca="false">H47</f>
        <v>222700</v>
      </c>
      <c r="J47" s="117" t="n">
        <f aca="false">I47</f>
        <v>222700</v>
      </c>
      <c r="K47" s="117" t="n">
        <f aca="false">J47</f>
        <v>222700</v>
      </c>
      <c r="L47" s="117" t="n">
        <f aca="false">K47</f>
        <v>222700</v>
      </c>
      <c r="M47" s="117" t="n">
        <f aca="false">L47</f>
        <v>222700</v>
      </c>
      <c r="N47" s="117" t="n">
        <f aca="false">M47</f>
        <v>222700</v>
      </c>
      <c r="O47" s="117" t="n">
        <f aca="false">N47</f>
        <v>222700</v>
      </c>
      <c r="P47" s="117" t="n">
        <f aca="false">O47</f>
        <v>222700</v>
      </c>
      <c r="Q47" s="117" t="n">
        <f aca="false">P47</f>
        <v>222700</v>
      </c>
    </row>
    <row r="48" customFormat="false" ht="12.75" hidden="false" customHeight="false" outlineLevel="0" collapsed="false">
      <c r="A48" s="190" t="s">
        <v>153</v>
      </c>
      <c r="B48" s="330" t="n">
        <v>1</v>
      </c>
      <c r="C48" s="328"/>
      <c r="D48" s="282"/>
      <c r="E48" s="283"/>
      <c r="F48" s="278" t="n">
        <f aca="false">SUM(F47)*$B$48</f>
        <v>222700</v>
      </c>
      <c r="G48" s="32" t="n">
        <f aca="false">SUM(G47)*$B$48+G49</f>
        <v>222700</v>
      </c>
      <c r="H48" s="32" t="n">
        <f aca="false">SUM(H47)*$B$48+H49</f>
        <v>222700</v>
      </c>
      <c r="I48" s="32" t="n">
        <f aca="false">SUM(I47)*$B$48+I49</f>
        <v>222700</v>
      </c>
      <c r="J48" s="32" t="n">
        <f aca="false">SUM(J47)*$B$48+J49</f>
        <v>222700</v>
      </c>
      <c r="K48" s="32" t="n">
        <f aca="false">SUM(K47)*$B$48+K49</f>
        <v>222700</v>
      </c>
      <c r="L48" s="32" t="n">
        <f aca="false">SUM(L47)*$B$48+L49</f>
        <v>222700</v>
      </c>
      <c r="M48" s="32" t="n">
        <f aca="false">SUM(M47)*$B$48+M49</f>
        <v>222700</v>
      </c>
      <c r="N48" s="32" t="n">
        <f aca="false">SUM(N47)*$B$48+N49</f>
        <v>222700</v>
      </c>
      <c r="O48" s="32" t="n">
        <f aca="false">SUM(O47)*$B$48+O49</f>
        <v>222700</v>
      </c>
      <c r="P48" s="32" t="n">
        <f aca="false">SUM(P47)*$B$48+P49</f>
        <v>222700</v>
      </c>
      <c r="Q48" s="32" t="n">
        <f aca="false">SUM(Q47)*$B$48+Q49</f>
        <v>222700</v>
      </c>
    </row>
    <row r="49" customFormat="false" ht="12.75" hidden="false" customHeight="false" outlineLevel="0" collapsed="false">
      <c r="C49" s="328"/>
      <c r="F49" s="284" t="s">
        <v>182</v>
      </c>
      <c r="G49" s="32" t="n">
        <v>0</v>
      </c>
      <c r="H49" s="32" t="n">
        <v>0</v>
      </c>
      <c r="I49" s="32" t="n">
        <f aca="false">H49</f>
        <v>0</v>
      </c>
      <c r="J49" s="32" t="n">
        <f aca="false">I49</f>
        <v>0</v>
      </c>
      <c r="K49" s="32" t="n">
        <f aca="false">J49</f>
        <v>0</v>
      </c>
      <c r="L49" s="32" t="n">
        <f aca="false">K49</f>
        <v>0</v>
      </c>
      <c r="M49" s="32" t="n">
        <f aca="false">L49</f>
        <v>0</v>
      </c>
      <c r="N49" s="32" t="n">
        <f aca="false">M49</f>
        <v>0</v>
      </c>
      <c r="O49" s="32" t="n">
        <f aca="false">N49</f>
        <v>0</v>
      </c>
      <c r="P49" s="32" t="n">
        <f aca="false">O49</f>
        <v>0</v>
      </c>
      <c r="Q49" s="32" t="n">
        <f aca="false">P49</f>
        <v>0</v>
      </c>
    </row>
    <row r="50" customFormat="false" ht="12.75" hidden="false" customHeight="false" outlineLevel="0" collapsed="false">
      <c r="C50" s="328"/>
    </row>
    <row r="51" customFormat="false" ht="12.75" hidden="false" customHeight="false" outlineLevel="0" collapsed="false">
      <c r="A51" s="12" t="str">
        <f aca="false">Assumptions!B51</f>
        <v>2. Optimistic</v>
      </c>
      <c r="B51" s="330" t="n">
        <v>1.1</v>
      </c>
      <c r="C51" s="328" t="n">
        <v>2</v>
      </c>
      <c r="D51" s="282"/>
      <c r="F51" s="278" t="n">
        <f aca="false">F48</f>
        <v>222700</v>
      </c>
      <c r="G51" s="134" t="n">
        <f aca="false">F51*$B$51+G52</f>
        <v>244970</v>
      </c>
      <c r="H51" s="134" t="n">
        <f aca="false">G51*$B$51+H52</f>
        <v>269467</v>
      </c>
      <c r="I51" s="134" t="n">
        <f aca="false">H51*$B$51+I52</f>
        <v>296413.7</v>
      </c>
      <c r="J51" s="134" t="n">
        <f aca="false">I51*$B$51+J52</f>
        <v>326055.07</v>
      </c>
      <c r="K51" s="134" t="n">
        <f aca="false">J51*$B$51+K52</f>
        <v>358660.577</v>
      </c>
      <c r="L51" s="134" t="n">
        <f aca="false">K51*$B$51+L52</f>
        <v>394526.6347</v>
      </c>
      <c r="M51" s="134" t="n">
        <f aca="false">L51*$B$51+M52</f>
        <v>433979.29817</v>
      </c>
      <c r="N51" s="134" t="n">
        <f aca="false">M51*$B$51+N52</f>
        <v>477377.227987</v>
      </c>
      <c r="O51" s="134" t="n">
        <f aca="false">N51*$B$51+O52</f>
        <v>525114.950785701</v>
      </c>
      <c r="P51" s="134" t="n">
        <f aca="false">O51*$B$51+P52</f>
        <v>577626.445864271</v>
      </c>
      <c r="Q51" s="134" t="n">
        <f aca="false">P51*$B$51+Q52</f>
        <v>635389.090450698</v>
      </c>
    </row>
    <row r="52" customFormat="false" ht="12.75" hidden="false" customHeight="false" outlineLevel="0" collapsed="false">
      <c r="C52" s="328"/>
      <c r="F52" s="284" t="s">
        <v>182</v>
      </c>
      <c r="G52" s="32" t="n">
        <v>0</v>
      </c>
      <c r="H52" s="32" t="n">
        <v>0</v>
      </c>
      <c r="I52" s="32" t="n">
        <f aca="false">H52</f>
        <v>0</v>
      </c>
      <c r="J52" s="32" t="n">
        <f aca="false">I52</f>
        <v>0</v>
      </c>
      <c r="K52" s="32" t="n">
        <f aca="false">J52</f>
        <v>0</v>
      </c>
      <c r="L52" s="32" t="n">
        <f aca="false">K52</f>
        <v>0</v>
      </c>
      <c r="M52" s="32" t="n">
        <f aca="false">L52</f>
        <v>0</v>
      </c>
      <c r="N52" s="32" t="n">
        <f aca="false">M52</f>
        <v>0</v>
      </c>
      <c r="O52" s="32" t="n">
        <f aca="false">N52</f>
        <v>0</v>
      </c>
      <c r="P52" s="32" t="n">
        <f aca="false">O52</f>
        <v>0</v>
      </c>
      <c r="Q52" s="32" t="n">
        <f aca="false">P52</f>
        <v>0</v>
      </c>
    </row>
    <row r="53" customFormat="false" ht="12.75" hidden="false" customHeight="false" outlineLevel="0" collapsed="false">
      <c r="C53" s="328"/>
    </row>
    <row r="54" customFormat="false" ht="12.75" hidden="false" customHeight="false" outlineLevel="0" collapsed="false">
      <c r="A54" s="12" t="str">
        <f aca="false">Assumptions!B52</f>
        <v>3. Pessimistic</v>
      </c>
      <c r="B54" s="330" t="n">
        <v>1.02</v>
      </c>
      <c r="C54" s="328" t="n">
        <v>3</v>
      </c>
      <c r="D54" s="282"/>
      <c r="F54" s="278" t="n">
        <f aca="false">F48</f>
        <v>222700</v>
      </c>
      <c r="G54" s="134" t="n">
        <f aca="false">G48</f>
        <v>222700</v>
      </c>
      <c r="H54" s="134" t="n">
        <f aca="false">H48</f>
        <v>222700</v>
      </c>
      <c r="I54" s="134" t="n">
        <f aca="false">H54*$B$54+I55</f>
        <v>227154</v>
      </c>
      <c r="J54" s="134" t="n">
        <f aca="false">I54*$B$54+J55</f>
        <v>231697.08</v>
      </c>
      <c r="K54" s="134" t="n">
        <f aca="false">J54*$B$54+K55</f>
        <v>236331.0216</v>
      </c>
      <c r="L54" s="134" t="n">
        <f aca="false">K54*$B$54+L55</f>
        <v>241057.642032</v>
      </c>
      <c r="M54" s="134" t="n">
        <f aca="false">L54*$B$54+M55</f>
        <v>245878.79487264</v>
      </c>
      <c r="N54" s="134" t="n">
        <f aca="false">M54*$B$54+N55</f>
        <v>250796.370770093</v>
      </c>
      <c r="O54" s="134" t="n">
        <f aca="false">N54*$B$54+O55</f>
        <v>255812.298185495</v>
      </c>
      <c r="P54" s="134" t="n">
        <f aca="false">O54*$B$54+P55</f>
        <v>260928.544149205</v>
      </c>
      <c r="Q54" s="134" t="n">
        <f aca="false">P54*$B$54+Q55</f>
        <v>266147.115032189</v>
      </c>
    </row>
    <row r="55" customFormat="false" ht="13.5" hidden="false" customHeight="false" outlineLevel="0" collapsed="false">
      <c r="C55" s="331"/>
      <c r="F55" s="284" t="s">
        <v>182</v>
      </c>
      <c r="G55" s="32" t="n">
        <v>0</v>
      </c>
      <c r="H55" s="32" t="n">
        <v>0</v>
      </c>
      <c r="I55" s="32" t="n">
        <f aca="false">H55</f>
        <v>0</v>
      </c>
      <c r="J55" s="32" t="n">
        <f aca="false">I55</f>
        <v>0</v>
      </c>
      <c r="K55" s="32" t="n">
        <f aca="false">J55</f>
        <v>0</v>
      </c>
      <c r="L55" s="32" t="n">
        <f aca="false">K55</f>
        <v>0</v>
      </c>
      <c r="M55" s="32" t="n">
        <f aca="false">L55</f>
        <v>0</v>
      </c>
      <c r="N55" s="32" t="n">
        <f aca="false">M55</f>
        <v>0</v>
      </c>
      <c r="O55" s="32" t="n">
        <f aca="false">N55</f>
        <v>0</v>
      </c>
      <c r="P55" s="32" t="n">
        <f aca="false">O55</f>
        <v>0</v>
      </c>
      <c r="Q55" s="32" t="n">
        <f aca="false">P55</f>
        <v>0</v>
      </c>
    </row>
    <row r="58" customFormat="false" ht="13.5" hidden="false" customHeight="false" outlineLevel="0" collapsed="false">
      <c r="A58" s="13" t="s">
        <v>184</v>
      </c>
    </row>
    <row r="59" customFormat="false" ht="13.5" hidden="false" customHeight="false" outlineLevel="0" collapsed="false">
      <c r="B59" s="320" t="s">
        <v>180</v>
      </c>
      <c r="C59" s="321" t="s">
        <v>181</v>
      </c>
      <c r="F59" s="322" t="n">
        <f aca="false">G59-1</f>
        <v>2000</v>
      </c>
      <c r="G59" s="13" t="n">
        <f aca="false">Assumptions!D12</f>
        <v>2001</v>
      </c>
      <c r="H59" s="13" t="n">
        <f aca="false">G59+1</f>
        <v>2002</v>
      </c>
      <c r="I59" s="13" t="n">
        <f aca="false">H59+1</f>
        <v>2003</v>
      </c>
      <c r="J59" s="13" t="n">
        <f aca="false">I59+1</f>
        <v>2004</v>
      </c>
      <c r="K59" s="13" t="n">
        <f aca="false">J59+1</f>
        <v>2005</v>
      </c>
      <c r="L59" s="13" t="n">
        <f aca="false">K59+1</f>
        <v>2006</v>
      </c>
      <c r="M59" s="13" t="n">
        <f aca="false">L59+1</f>
        <v>2007</v>
      </c>
      <c r="N59" s="13" t="n">
        <f aca="false">M59+1</f>
        <v>2008</v>
      </c>
      <c r="O59" s="13" t="n">
        <f aca="false">N59+1</f>
        <v>2009</v>
      </c>
      <c r="P59" s="13" t="n">
        <f aca="false">O59+1</f>
        <v>2010</v>
      </c>
      <c r="Q59" s="13" t="n">
        <f aca="false">P59+1</f>
        <v>2011</v>
      </c>
    </row>
    <row r="60" customFormat="false" ht="13.5" hidden="false" customHeight="false" outlineLevel="0" collapsed="false">
      <c r="A60" s="323" t="str">
        <f aca="false">A2</f>
        <v>  Asset 1- Cash Flow Analysis</v>
      </c>
      <c r="B60" s="324" t="n">
        <f aca="false">Assumptions!C44</f>
        <v>1</v>
      </c>
      <c r="C60" s="332" t="n">
        <v>1</v>
      </c>
      <c r="D60" s="115"/>
      <c r="E60" s="326"/>
      <c r="F60" s="333" t="n">
        <f aca="false">F66*$B$60</f>
        <v>60700</v>
      </c>
      <c r="G60" s="116" t="n">
        <f aca="false">CHOOSE($C$60,G66,G69,G72)*$B$60+G61</f>
        <v>54630</v>
      </c>
      <c r="H60" s="116" t="n">
        <f aca="false">CHOOSE($C$60,H66,H69,H72)*$B$60+H61</f>
        <v>54630</v>
      </c>
      <c r="I60" s="116" t="n">
        <f aca="false">CHOOSE($C$60,I66,I69,I72)*$B$60+I61</f>
        <v>54630</v>
      </c>
      <c r="J60" s="116" t="n">
        <f aca="false">CHOOSE($C$60,J66,J69,J72)*$B$60+J61</f>
        <v>54630</v>
      </c>
      <c r="K60" s="116" t="n">
        <f aca="false">CHOOSE($C$60,K66,K69,K72)*$B$60+K61</f>
        <v>54630</v>
      </c>
      <c r="L60" s="116" t="n">
        <f aca="false">CHOOSE($C$60,L66,L69,L72)*$B$60+L61</f>
        <v>54630</v>
      </c>
      <c r="M60" s="116" t="n">
        <f aca="false">CHOOSE($C$60,M66,M69,M72)*$B$60+M61</f>
        <v>54630</v>
      </c>
      <c r="N60" s="116" t="n">
        <f aca="false">CHOOSE($C$60,N66,N69,N72)*$B$60+N61</f>
        <v>54630</v>
      </c>
      <c r="O60" s="116" t="n">
        <f aca="false">CHOOSE($C$60,O66,O69,O72)*$B$60+O61</f>
        <v>54630</v>
      </c>
      <c r="P60" s="116" t="n">
        <f aca="false">CHOOSE($C$60,P66,P69,P72)*$B$60+P61</f>
        <v>54630</v>
      </c>
      <c r="Q60" s="118" t="n">
        <f aca="false">CHOOSE($C$60,Q66,Q69,Q72)*$B$60+Q61</f>
        <v>54630</v>
      </c>
    </row>
    <row r="61" customFormat="false" ht="12.75" hidden="false" customHeight="false" outlineLevel="0" collapsed="false">
      <c r="C61" s="334"/>
      <c r="F61" s="284" t="s">
        <v>182</v>
      </c>
      <c r="G61" s="32" t="n">
        <v>0</v>
      </c>
      <c r="H61" s="32" t="n">
        <v>0</v>
      </c>
      <c r="I61" s="32" t="n">
        <v>0</v>
      </c>
      <c r="J61" s="32" t="n">
        <v>0</v>
      </c>
      <c r="K61" s="32" t="n">
        <v>0</v>
      </c>
      <c r="L61" s="32" t="n">
        <v>0</v>
      </c>
      <c r="M61" s="32" t="n">
        <v>0</v>
      </c>
      <c r="N61" s="32" t="n">
        <v>0</v>
      </c>
      <c r="O61" s="32" t="n">
        <v>0</v>
      </c>
      <c r="P61" s="32" t="n">
        <v>0</v>
      </c>
      <c r="Q61" s="32" t="n">
        <v>0</v>
      </c>
    </row>
    <row r="62" customFormat="false" ht="12.75" hidden="false" customHeight="false" outlineLevel="0" collapsed="false">
      <c r="C62" s="335"/>
      <c r="D62" s="279"/>
      <c r="E62" s="285"/>
    </row>
    <row r="63" customFormat="false" ht="12.75" hidden="false" customHeight="false" outlineLevel="0" collapsed="false">
      <c r="A63" s="12" t="str">
        <f aca="false">Assumptions!B56</f>
        <v>1. Base Case</v>
      </c>
      <c r="C63" s="335"/>
    </row>
    <row r="64" customFormat="false" ht="12.75" hidden="false" customHeight="false" outlineLevel="0" collapsed="false">
      <c r="C64" s="335"/>
    </row>
    <row r="65" customFormat="false" ht="15" hidden="false" customHeight="false" outlineLevel="0" collapsed="false">
      <c r="A65" s="0" t="s">
        <v>185</v>
      </c>
      <c r="C65" s="335"/>
      <c r="D65" s="282"/>
      <c r="E65" s="26"/>
      <c r="F65" s="293" t="n">
        <f aca="false">(102000-41300)</f>
        <v>60700</v>
      </c>
      <c r="G65" s="117" t="n">
        <f aca="false">F65</f>
        <v>60700</v>
      </c>
      <c r="H65" s="336" t="n">
        <f aca="false">G65</f>
        <v>60700</v>
      </c>
      <c r="I65" s="336" t="n">
        <f aca="false">H65</f>
        <v>60700</v>
      </c>
      <c r="J65" s="336" t="n">
        <f aca="false">I65</f>
        <v>60700</v>
      </c>
      <c r="K65" s="336" t="n">
        <f aca="false">J65</f>
        <v>60700</v>
      </c>
      <c r="L65" s="336" t="n">
        <f aca="false">K65</f>
        <v>60700</v>
      </c>
      <c r="M65" s="336" t="n">
        <f aca="false">L65</f>
        <v>60700</v>
      </c>
      <c r="N65" s="336" t="n">
        <f aca="false">M65</f>
        <v>60700</v>
      </c>
      <c r="O65" s="336" t="n">
        <f aca="false">N65</f>
        <v>60700</v>
      </c>
      <c r="P65" s="336" t="n">
        <f aca="false">O65</f>
        <v>60700</v>
      </c>
      <c r="Q65" s="336" t="n">
        <f aca="false">P65</f>
        <v>60700</v>
      </c>
    </row>
    <row r="66" customFormat="false" ht="12.75" hidden="false" customHeight="false" outlineLevel="0" collapsed="false">
      <c r="A66" s="190" t="s">
        <v>153</v>
      </c>
      <c r="B66" s="337" t="n">
        <v>0.9</v>
      </c>
      <c r="C66" s="328" t="n">
        <v>1</v>
      </c>
      <c r="D66" s="282"/>
      <c r="F66" s="338" t="n">
        <f aca="false">SUM(F65)</f>
        <v>60700</v>
      </c>
      <c r="G66" s="132" t="n">
        <f aca="false">SUM(G65)*$B$66+G67</f>
        <v>54630</v>
      </c>
      <c r="H66" s="132" t="n">
        <f aca="false">SUM(H65)*$B$66+H67</f>
        <v>54630</v>
      </c>
      <c r="I66" s="132" t="n">
        <f aca="false">SUM(I65)*$B$66+I67</f>
        <v>54630</v>
      </c>
      <c r="J66" s="132" t="n">
        <f aca="false">SUM(J65)*$B$66+J67</f>
        <v>54630</v>
      </c>
      <c r="K66" s="132" t="n">
        <f aca="false">SUM(K65)*$B$66+K67</f>
        <v>54630</v>
      </c>
      <c r="L66" s="132" t="n">
        <f aca="false">SUM(L65)*$B$66+L67</f>
        <v>54630</v>
      </c>
      <c r="M66" s="132" t="n">
        <f aca="false">SUM(M65)*$B$66+M67</f>
        <v>54630</v>
      </c>
      <c r="N66" s="132" t="n">
        <f aca="false">SUM(N65)*$B$66+N67</f>
        <v>54630</v>
      </c>
      <c r="O66" s="132" t="n">
        <f aca="false">SUM(O65)*$B$66+O67</f>
        <v>54630</v>
      </c>
      <c r="P66" s="132" t="n">
        <f aca="false">SUM(P65)*$B$66+P67</f>
        <v>54630</v>
      </c>
      <c r="Q66" s="132" t="n">
        <f aca="false">SUM(Q65)*$B$66+Q67</f>
        <v>54630</v>
      </c>
    </row>
    <row r="67" customFormat="false" ht="12.75" hidden="false" customHeight="false" outlineLevel="0" collapsed="false">
      <c r="C67" s="335"/>
      <c r="F67" s="284" t="s">
        <v>182</v>
      </c>
      <c r="G67" s="32" t="n">
        <v>0</v>
      </c>
      <c r="H67" s="32" t="n">
        <v>0</v>
      </c>
      <c r="I67" s="32" t="n">
        <v>0</v>
      </c>
      <c r="J67" s="32" t="n">
        <v>0</v>
      </c>
      <c r="K67" s="32" t="n">
        <v>0</v>
      </c>
      <c r="L67" s="32" t="n">
        <v>0</v>
      </c>
      <c r="M67" s="32" t="n">
        <v>0</v>
      </c>
      <c r="N67" s="32" t="n">
        <v>0</v>
      </c>
      <c r="O67" s="32" t="n">
        <v>0</v>
      </c>
      <c r="P67" s="32" t="n">
        <v>0</v>
      </c>
      <c r="Q67" s="32" t="n">
        <v>0</v>
      </c>
    </row>
    <row r="68" customFormat="false" ht="12.75" hidden="false" customHeight="false" outlineLevel="0" collapsed="false">
      <c r="C68" s="335"/>
    </row>
    <row r="69" customFormat="false" ht="12.75" hidden="false" customHeight="false" outlineLevel="0" collapsed="false">
      <c r="A69" s="12" t="str">
        <f aca="false">Assumptions!B57</f>
        <v>2. Optimistic</v>
      </c>
      <c r="B69" s="337" t="n">
        <v>1</v>
      </c>
      <c r="C69" s="328" t="n">
        <v>2</v>
      </c>
      <c r="D69" s="282"/>
      <c r="F69" s="338" t="n">
        <f aca="false">F66</f>
        <v>60700</v>
      </c>
      <c r="G69" s="134" t="n">
        <f aca="false">F69*$B$69+G70</f>
        <v>60700</v>
      </c>
      <c r="H69" s="134" t="n">
        <f aca="false">G69*$B$69+H70</f>
        <v>60700</v>
      </c>
      <c r="I69" s="134" t="n">
        <f aca="false">H69*$B$69+I70</f>
        <v>60700</v>
      </c>
      <c r="J69" s="134" t="n">
        <f aca="false">I69*$B$69+J70</f>
        <v>60700</v>
      </c>
      <c r="K69" s="134" t="n">
        <f aca="false">J69*$B$69+K70</f>
        <v>60700</v>
      </c>
      <c r="L69" s="134" t="n">
        <f aca="false">K69*$B$69+L70</f>
        <v>60700</v>
      </c>
      <c r="M69" s="134" t="n">
        <f aca="false">L69*$B$69+M70</f>
        <v>60700</v>
      </c>
      <c r="N69" s="134" t="n">
        <f aca="false">M69*$B$69+N70</f>
        <v>60700</v>
      </c>
      <c r="O69" s="134" t="n">
        <f aca="false">N69*$B$69+O70</f>
        <v>60700</v>
      </c>
      <c r="P69" s="134" t="n">
        <f aca="false">O69*$B$69+P70</f>
        <v>60700</v>
      </c>
      <c r="Q69" s="134" t="n">
        <f aca="false">P69*$B$69+Q70</f>
        <v>60700</v>
      </c>
    </row>
    <row r="70" customFormat="false" ht="12.75" hidden="false" customHeight="false" outlineLevel="0" collapsed="false">
      <c r="C70" s="339"/>
      <c r="F70" s="284" t="s">
        <v>182</v>
      </c>
      <c r="G70" s="32" t="n">
        <v>0</v>
      </c>
      <c r="H70" s="32" t="n">
        <v>0</v>
      </c>
      <c r="I70" s="32" t="n">
        <f aca="false">H70</f>
        <v>0</v>
      </c>
      <c r="J70" s="32" t="n">
        <f aca="false">I70</f>
        <v>0</v>
      </c>
      <c r="K70" s="32" t="n">
        <f aca="false">J70</f>
        <v>0</v>
      </c>
      <c r="L70" s="32" t="n">
        <f aca="false">K70</f>
        <v>0</v>
      </c>
      <c r="M70" s="32" t="n">
        <f aca="false">L70</f>
        <v>0</v>
      </c>
      <c r="N70" s="32" t="n">
        <f aca="false">M70</f>
        <v>0</v>
      </c>
      <c r="O70" s="32" t="n">
        <f aca="false">N70</f>
        <v>0</v>
      </c>
      <c r="P70" s="32" t="n">
        <f aca="false">O70</f>
        <v>0</v>
      </c>
      <c r="Q70" s="32" t="n">
        <f aca="false">P70</f>
        <v>0</v>
      </c>
    </row>
    <row r="71" customFormat="false" ht="12.75" hidden="false" customHeight="false" outlineLevel="0" collapsed="false">
      <c r="C71" s="339"/>
    </row>
    <row r="72" customFormat="false" ht="12.75" hidden="false" customHeight="false" outlineLevel="0" collapsed="false">
      <c r="A72" s="12" t="str">
        <f aca="false">Assumptions!B58</f>
        <v>3. Pessimistic</v>
      </c>
      <c r="B72" s="337" t="n">
        <v>1.01</v>
      </c>
      <c r="C72" s="328" t="n">
        <v>3</v>
      </c>
      <c r="D72" s="282"/>
      <c r="F72" s="338" t="n">
        <f aca="false">F66</f>
        <v>60700</v>
      </c>
      <c r="G72" s="134" t="n">
        <f aca="false">G66</f>
        <v>54630</v>
      </c>
      <c r="H72" s="134" t="n">
        <f aca="false">H66</f>
        <v>54630</v>
      </c>
      <c r="I72" s="134" t="n">
        <f aca="false">H72*$B$72+I73</f>
        <v>55176.3</v>
      </c>
      <c r="J72" s="134" t="n">
        <f aca="false">I72*$B$72+J73</f>
        <v>55728.063</v>
      </c>
      <c r="K72" s="134" t="n">
        <f aca="false">J72*$B$72+K73</f>
        <v>56285.34363</v>
      </c>
      <c r="L72" s="134" t="n">
        <f aca="false">K72*$B$72+L73</f>
        <v>56848.1970663</v>
      </c>
      <c r="M72" s="134" t="n">
        <f aca="false">L72*$B$72+M73</f>
        <v>57416.679036963</v>
      </c>
      <c r="N72" s="134" t="n">
        <f aca="false">M72*$B$72+N73</f>
        <v>57990.8458273326</v>
      </c>
      <c r="O72" s="134" t="n">
        <f aca="false">N72*$B$72+O73</f>
        <v>58570.754285606</v>
      </c>
      <c r="P72" s="134" t="n">
        <f aca="false">O72*$B$72+P73</f>
        <v>59156.461828462</v>
      </c>
      <c r="Q72" s="134" t="n">
        <f aca="false">P72*$B$72+Q73</f>
        <v>59748.0264467466</v>
      </c>
    </row>
    <row r="73" customFormat="false" ht="13.5" hidden="false" customHeight="false" outlineLevel="0" collapsed="false">
      <c r="C73" s="331"/>
      <c r="F73" s="284" t="s">
        <v>182</v>
      </c>
      <c r="G73" s="32" t="n">
        <v>0</v>
      </c>
      <c r="H73" s="32" t="n">
        <v>0</v>
      </c>
      <c r="I73" s="32" t="n">
        <f aca="false">H73</f>
        <v>0</v>
      </c>
      <c r="J73" s="32" t="n">
        <f aca="false">I73</f>
        <v>0</v>
      </c>
      <c r="K73" s="32" t="n">
        <f aca="false">J73</f>
        <v>0</v>
      </c>
      <c r="L73" s="32" t="n">
        <f aca="false">K73</f>
        <v>0</v>
      </c>
      <c r="M73" s="32" t="n">
        <f aca="false">L73</f>
        <v>0</v>
      </c>
      <c r="N73" s="32" t="n">
        <f aca="false">M73</f>
        <v>0</v>
      </c>
      <c r="O73" s="32" t="n">
        <f aca="false">N73</f>
        <v>0</v>
      </c>
      <c r="P73" s="32" t="n">
        <f aca="false">O73</f>
        <v>0</v>
      </c>
      <c r="Q73" s="32" t="n">
        <f aca="false">P73</f>
        <v>0</v>
      </c>
    </row>
    <row r="74" customFormat="false" ht="12.75" hidden="false" customHeight="false" outlineLevel="0" collapsed="false">
      <c r="C74" s="21"/>
      <c r="F74" s="284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customFormat="false" ht="12.75" hidden="false" customHeight="false" outlineLevel="0" collapsed="false">
      <c r="A75" s="13" t="s">
        <v>131</v>
      </c>
      <c r="C75" s="21"/>
      <c r="F75" s="284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customFormat="false" ht="12.75" hidden="false" customHeight="false" outlineLevel="0" collapsed="false">
      <c r="A76" s="0" t="s">
        <v>186</v>
      </c>
      <c r="C76" s="21"/>
      <c r="F76" s="284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customFormat="false" ht="12.75" hidden="false" customHeight="false" outlineLevel="0" collapsed="false">
      <c r="A77" s="0" t="s">
        <v>187</v>
      </c>
      <c r="C77" s="21"/>
      <c r="F77" s="284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customFormat="false" ht="12.75" hidden="false" customHeight="false" outlineLevel="0" collapsed="false">
      <c r="A78" s="52" t="s">
        <v>153</v>
      </c>
      <c r="F78" s="132" t="n">
        <v>27594</v>
      </c>
      <c r="G78" s="134" t="n">
        <f aca="false">F78</f>
        <v>27594</v>
      </c>
      <c r="H78" s="134" t="n">
        <f aca="false">G78</f>
        <v>27594</v>
      </c>
      <c r="I78" s="134" t="n">
        <f aca="false">H78</f>
        <v>27594</v>
      </c>
      <c r="J78" s="134" t="n">
        <f aca="false">I78</f>
        <v>27594</v>
      </c>
      <c r="K78" s="134" t="n">
        <f aca="false">J78</f>
        <v>27594</v>
      </c>
      <c r="L78" s="134" t="n">
        <f aca="false">K78</f>
        <v>27594</v>
      </c>
      <c r="M78" s="134" t="n">
        <f aca="false">L78</f>
        <v>27594</v>
      </c>
      <c r="N78" s="134" t="n">
        <f aca="false">M78</f>
        <v>27594</v>
      </c>
      <c r="O78" s="134" t="n">
        <f aca="false">N78</f>
        <v>27594</v>
      </c>
      <c r="P78" s="134" t="n">
        <f aca="false">O78</f>
        <v>27594</v>
      </c>
      <c r="Q78" s="134" t="n">
        <f aca="false">P78</f>
        <v>27594</v>
      </c>
    </row>
    <row r="79" customFormat="false" ht="12.75" hidden="false" customHeight="false" outlineLevel="0" collapsed="false">
      <c r="A79" s="52"/>
    </row>
    <row r="80" customFormat="false" ht="12.75" hidden="false" customHeight="false" outlineLevel="0" collapsed="false">
      <c r="A80" s="52"/>
    </row>
    <row r="81" customFormat="false" ht="12.75" hidden="false" customHeight="false" outlineLevel="0" collapsed="false">
      <c r="A81" s="13" t="s">
        <v>188</v>
      </c>
    </row>
    <row r="82" customFormat="false" ht="12.75" hidden="false" customHeight="false" outlineLevel="0" collapsed="false">
      <c r="A82" s="225" t="s">
        <v>162</v>
      </c>
      <c r="B82" s="54" t="n">
        <f aca="false">Assumptions!D20</f>
        <v>20</v>
      </c>
      <c r="C82" s="227" t="n">
        <f aca="false">Asset1PurPrice</f>
        <v>932354.172487295</v>
      </c>
      <c r="D82" s="32"/>
      <c r="E82" s="36"/>
      <c r="F82" s="278"/>
      <c r="G82" s="340" t="n">
        <f aca="false">1/B82</f>
        <v>0.05</v>
      </c>
      <c r="H82" s="228" t="n">
        <f aca="false">G82</f>
        <v>0.05</v>
      </c>
      <c r="I82" s="228" t="n">
        <f aca="false">H82</f>
        <v>0.05</v>
      </c>
      <c r="J82" s="228" t="n">
        <f aca="false">I82</f>
        <v>0.05</v>
      </c>
      <c r="K82" s="228" t="n">
        <f aca="false">J82</f>
        <v>0.05</v>
      </c>
      <c r="L82" s="228" t="n">
        <f aca="false">K82</f>
        <v>0.05</v>
      </c>
      <c r="M82" s="228" t="n">
        <f aca="false">L82</f>
        <v>0.05</v>
      </c>
      <c r="N82" s="228" t="n">
        <f aca="false">M82</f>
        <v>0.05</v>
      </c>
      <c r="O82" s="228" t="n">
        <f aca="false">N82</f>
        <v>0.05</v>
      </c>
      <c r="P82" s="228" t="n">
        <f aca="false">O82</f>
        <v>0.05</v>
      </c>
      <c r="Q82" s="229" t="n">
        <f aca="false">P82</f>
        <v>0.05</v>
      </c>
    </row>
    <row r="83" customFormat="false" ht="12.75" hidden="false" customHeight="false" outlineLevel="0" collapsed="false">
      <c r="A83" s="32" t="s">
        <v>163</v>
      </c>
      <c r="C83" s="26"/>
      <c r="D83" s="26"/>
      <c r="E83" s="36"/>
      <c r="F83" s="278"/>
      <c r="G83" s="121" t="n">
        <f aca="false">C82/B82</f>
        <v>46617.7086243647</v>
      </c>
      <c r="H83" s="121" t="n">
        <f aca="false">+G83</f>
        <v>46617.7086243647</v>
      </c>
      <c r="I83" s="121" t="n">
        <f aca="false">+H83</f>
        <v>46617.7086243647</v>
      </c>
      <c r="J83" s="121" t="n">
        <f aca="false">+I83</f>
        <v>46617.7086243647</v>
      </c>
      <c r="K83" s="121" t="n">
        <f aca="false">+J83</f>
        <v>46617.7086243647</v>
      </c>
      <c r="L83" s="121" t="n">
        <f aca="false">+K83</f>
        <v>46617.7086243647</v>
      </c>
      <c r="M83" s="121" t="n">
        <f aca="false">+L83</f>
        <v>46617.7086243647</v>
      </c>
      <c r="N83" s="121" t="n">
        <f aca="false">+M83</f>
        <v>46617.7086243647</v>
      </c>
      <c r="O83" s="121" t="n">
        <f aca="false">+N83</f>
        <v>46617.7086243647</v>
      </c>
      <c r="P83" s="121" t="n">
        <f aca="false">+O83</f>
        <v>46617.7086243647</v>
      </c>
      <c r="Q83" s="121" t="n">
        <f aca="false">+P83</f>
        <v>46617.7086243647</v>
      </c>
    </row>
    <row r="84" customFormat="false" ht="15" hidden="false" customHeight="false" outlineLevel="0" collapsed="false">
      <c r="A84" s="32" t="s">
        <v>164</v>
      </c>
      <c r="E84" s="36"/>
      <c r="F84" s="278"/>
      <c r="G84" s="117" t="n">
        <f aca="false">($G$29*G82)</f>
        <v>1379.7</v>
      </c>
      <c r="H84" s="117" t="n">
        <f aca="false">($G$29*H82)+($H$29*G82)</f>
        <v>2759.4</v>
      </c>
      <c r="I84" s="117" t="n">
        <f aca="false">($G$29*I82)+($H$29*H82)+($I$29*G82)</f>
        <v>4139.1</v>
      </c>
      <c r="J84" s="117" t="n">
        <f aca="false">($G$29*J82)+($H$29*I82)+($I$29*H82)+($J$29*G82)</f>
        <v>5518.8</v>
      </c>
      <c r="K84" s="117" t="n">
        <f aca="false">($G$29*K82)+($H$29*J82)+($I$29*I82)+($J$29*H82)+($K$29*G82)</f>
        <v>6898.5</v>
      </c>
      <c r="L84" s="117" t="n">
        <f aca="false">($G$29*L82)+($H$29*K82)+($I$29*J82)+($J$29*I82)+($K$29*H82)+($L$29*G82)</f>
        <v>8278.2</v>
      </c>
      <c r="M84" s="117" t="n">
        <f aca="false">($G$29*M82)+($H$29*L82)+($I$29*K82)+($J$29*J82)+($K$29*I82)+($L$29*H82)+($M$29*G82)</f>
        <v>9657.9</v>
      </c>
      <c r="N84" s="117" t="n">
        <f aca="false">($G$29*N82)+($H$29*M82)+($I$29*L82)+($J$29*K82)+($K$29*J82)+($L$29*I82)+($M$29*H82)+($N$29*G82)</f>
        <v>11037.6</v>
      </c>
      <c r="O84" s="117" t="n">
        <f aca="false">($G$29*O82)+($H$29*N82)+($I$29*M82)+($J$29*L82)+($K$29*K82)+($L$29*J82)+($M$29*I82)+($N$29*H82)+($O$29*G82)</f>
        <v>12417.3</v>
      </c>
      <c r="P84" s="117" t="n">
        <f aca="false">($G$29*P82)+($H$29*O82)+($I$29*N82)+($J$29*M82)+($K$29*L82)+($L$29*K82)+($M$29*J82)+($N$29*I82)+($O$29*H82)+($P$29*G82)</f>
        <v>13797</v>
      </c>
      <c r="Q84" s="117" t="n">
        <f aca="false">($G$29*Q82)+($H$29*P82)+($I$29*O82)+($J$29*N82)+($K$29*M82)+($L$29*L82)+($M$29*K82)+($N$29*J82)+($O$29*I82)+($P$29*H82)+($Q$29*G82)</f>
        <v>15176.7</v>
      </c>
    </row>
    <row r="85" customFormat="false" ht="12.75" hidden="false" customHeight="false" outlineLevel="0" collapsed="false">
      <c r="A85" s="52" t="s">
        <v>153</v>
      </c>
      <c r="E85" s="36"/>
      <c r="F85" s="278"/>
      <c r="G85" s="32" t="n">
        <f aca="false">SUM(G83:G84)</f>
        <v>47997.4086243647</v>
      </c>
      <c r="H85" s="32" t="n">
        <f aca="false">SUM(H83:H84)</f>
        <v>49377.1086243647</v>
      </c>
      <c r="I85" s="32" t="n">
        <f aca="false">SUM(I83:I84)</f>
        <v>50756.8086243647</v>
      </c>
      <c r="J85" s="32" t="n">
        <f aca="false">SUM(J83:J84)</f>
        <v>52136.5086243647</v>
      </c>
      <c r="K85" s="32" t="n">
        <f aca="false">SUM(K83:K84)</f>
        <v>53516.2086243647</v>
      </c>
      <c r="L85" s="32" t="n">
        <f aca="false">SUM(L83:L84)</f>
        <v>54895.9086243647</v>
      </c>
      <c r="M85" s="32" t="n">
        <f aca="false">SUM(M83:M84)</f>
        <v>56275.6086243647</v>
      </c>
      <c r="N85" s="32" t="n">
        <f aca="false">SUM(N83:N84)</f>
        <v>57655.3086243647</v>
      </c>
      <c r="O85" s="32" t="n">
        <f aca="false">SUM(O83:O84)</f>
        <v>59035.0086243647</v>
      </c>
      <c r="P85" s="32" t="n">
        <f aca="false">SUM(P83:P84)</f>
        <v>60414.7086243647</v>
      </c>
      <c r="Q85" s="32" t="n">
        <f aca="false">SUM(Q83:Q84)</f>
        <v>61794.4086243647</v>
      </c>
    </row>
    <row r="86" customFormat="false" ht="12.75" hidden="false" customHeight="false" outlineLevel="0" collapsed="false">
      <c r="A86" s="32"/>
      <c r="E86" s="36"/>
      <c r="F86" s="278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customFormat="false" ht="12.75" hidden="false" customHeight="false" outlineLevel="0" collapsed="false">
      <c r="A87" s="341" t="s">
        <v>165</v>
      </c>
      <c r="E87" s="36"/>
      <c r="F87" s="278"/>
      <c r="G87" s="233" t="n">
        <v>0.05</v>
      </c>
      <c r="H87" s="234" t="n">
        <v>0.095</v>
      </c>
      <c r="I87" s="234" t="n">
        <v>0.0855</v>
      </c>
      <c r="J87" s="234" t="n">
        <v>0.077</v>
      </c>
      <c r="K87" s="234" t="n">
        <v>0.0693</v>
      </c>
      <c r="L87" s="234" t="n">
        <v>0.0623</v>
      </c>
      <c r="M87" s="234" t="n">
        <v>0.059</v>
      </c>
      <c r="N87" s="234" t="n">
        <v>0.059</v>
      </c>
      <c r="O87" s="234" t="n">
        <v>0.0591</v>
      </c>
      <c r="P87" s="234" t="n">
        <v>0.059</v>
      </c>
      <c r="Q87" s="235" t="n">
        <v>0.0591</v>
      </c>
    </row>
    <row r="88" customFormat="false" ht="12.75" hidden="false" customHeight="false" outlineLevel="0" collapsed="false">
      <c r="A88" s="32" t="s">
        <v>163</v>
      </c>
      <c r="B88" s="236"/>
      <c r="E88" s="36"/>
      <c r="F88" s="278"/>
      <c r="G88" s="32" t="n">
        <f aca="false">G87*$C$82</f>
        <v>46617.7086243647</v>
      </c>
      <c r="H88" s="32" t="n">
        <f aca="false">H87*$C$82</f>
        <v>88573.646386293</v>
      </c>
      <c r="I88" s="32" t="n">
        <f aca="false">I87*$C$82</f>
        <v>79716.2817476637</v>
      </c>
      <c r="J88" s="32" t="n">
        <f aca="false">J87*$C$82</f>
        <v>71791.2712815217</v>
      </c>
      <c r="K88" s="32" t="n">
        <f aca="false">K87*$C$82</f>
        <v>64612.1441533695</v>
      </c>
      <c r="L88" s="32" t="n">
        <f aca="false">L87*$C$82</f>
        <v>58085.6649459585</v>
      </c>
      <c r="M88" s="32" t="n">
        <f aca="false">M87*$C$82</f>
        <v>55008.8961767504</v>
      </c>
      <c r="N88" s="32" t="n">
        <f aca="false">N87*$C$82</f>
        <v>55008.8961767504</v>
      </c>
      <c r="O88" s="32" t="n">
        <f aca="false">O87*$C$82</f>
        <v>55102.1315939991</v>
      </c>
      <c r="P88" s="32" t="n">
        <f aca="false">P87*$C$82</f>
        <v>55008.8961767504</v>
      </c>
      <c r="Q88" s="32" t="n">
        <f aca="false">Q87*$C$82</f>
        <v>55102.1315939991</v>
      </c>
    </row>
    <row r="89" customFormat="false" ht="15" hidden="false" customHeight="false" outlineLevel="0" collapsed="false">
      <c r="A89" s="32" t="s">
        <v>164</v>
      </c>
      <c r="B89" s="199"/>
      <c r="E89" s="214"/>
      <c r="F89" s="278"/>
      <c r="G89" s="117" t="n">
        <f aca="false">($G$29*G$87)</f>
        <v>1379.7</v>
      </c>
      <c r="H89" s="117" t="n">
        <f aca="false">($G$29*H87)+($H$29*G87)</f>
        <v>4001.13</v>
      </c>
      <c r="I89" s="117" t="n">
        <f aca="false">($G$29*I87)+($H$29*H87)+($I$29*G87)</f>
        <v>6360.417</v>
      </c>
      <c r="J89" s="117" t="n">
        <f aca="false">($G$29*J87)+($H$29*I87)+($I$29*H87)+($J$29*G87)</f>
        <v>8485.155</v>
      </c>
      <c r="K89" s="117" t="n">
        <f aca="false">($G$29*K87)+($H$29*J87)+($I$29*I87)+($J$29*H87)+($K$29*G87)</f>
        <v>10397.4192</v>
      </c>
      <c r="L89" s="117" t="n">
        <f aca="false">($G$29*L87)+($H$29*K87)+($I$29*J87)+($J$29*I87)+($K$29*H87)+($L$29*G87)</f>
        <v>12116.5254</v>
      </c>
      <c r="M89" s="117" t="n">
        <f aca="false">($G$29*M87)+($H$29*L87)+($I$29*K87)+($J$29*J87)+($K$29*I87)+($L$29*H87)+($M$29*G87)</f>
        <v>13744.5714</v>
      </c>
      <c r="N89" s="117" t="n">
        <f aca="false">($G$29*N87)+($H$29*M87)+($I$29*L87)+($J$29*K87)+($K$29*J87)+($L$29*I87)+($M$29*H87)+($N$29*G87)</f>
        <v>15372.6174</v>
      </c>
      <c r="O89" s="117" t="n">
        <f aca="false">($G$29*O87)+($H$29*N87)+($I$29*M87)+($J$29*L87)+($K$29*K87)+($L$29*J87)+($M$29*I87)+($N$29*H87)+($O$29*G87)</f>
        <v>17003.4228</v>
      </c>
      <c r="P89" s="117" t="n">
        <f aca="false">($G$29*P87)+($H$29*O87)+($I$29*N87)+($J$29*M87)+($K$29*L87)+($L$29*K87)+($M$29*J87)+($N$29*I87)+($O$29*H87)+($P$29*G87)</f>
        <v>18631.4688</v>
      </c>
      <c r="Q89" s="117" t="n">
        <f aca="false">($G$29*Q87)+($H$29*P87)+($I$29*O87)+($J$29*N87)+($K$29*M87)+($L$29*L87)+($M$29*K87)+($N$29*J87)+($O$29*I87)+($P$29*H87)+($Q$29*G87)</f>
        <v>20262.2742</v>
      </c>
    </row>
    <row r="90" customFormat="false" ht="12.75" hidden="false" customHeight="false" outlineLevel="0" collapsed="false">
      <c r="A90" s="52" t="s">
        <v>153</v>
      </c>
      <c r="E90" s="36"/>
      <c r="F90" s="278"/>
      <c r="G90" s="32" t="n">
        <f aca="false">SUM(G88:G89)</f>
        <v>47997.4086243647</v>
      </c>
      <c r="H90" s="32" t="n">
        <f aca="false">SUM(H88:H89)</f>
        <v>92574.776386293</v>
      </c>
      <c r="I90" s="32" t="n">
        <f aca="false">SUM(I88:I89)</f>
        <v>86076.6987476637</v>
      </c>
      <c r="J90" s="32" t="n">
        <f aca="false">SUM(J88:J89)</f>
        <v>80276.4262815217</v>
      </c>
      <c r="K90" s="32" t="n">
        <f aca="false">SUM(K88:K89)</f>
        <v>75009.5633533695</v>
      </c>
      <c r="L90" s="32" t="n">
        <f aca="false">SUM(L88:L89)</f>
        <v>70202.1903459585</v>
      </c>
      <c r="M90" s="32" t="n">
        <f aca="false">SUM(M88:M89)</f>
        <v>68753.4675767504</v>
      </c>
      <c r="N90" s="32" t="n">
        <f aca="false">SUM(N88:N89)</f>
        <v>70381.5135767504</v>
      </c>
      <c r="O90" s="32" t="n">
        <f aca="false">SUM(O88:O89)</f>
        <v>72105.5543939991</v>
      </c>
      <c r="P90" s="32" t="n">
        <f aca="false">SUM(P88:P89)</f>
        <v>73640.3649767504</v>
      </c>
      <c r="Q90" s="32" t="n">
        <f aca="false">SUM(Q88:Q89)</f>
        <v>75364.4057939991</v>
      </c>
    </row>
  </sheetData>
  <mergeCells count="1">
    <mergeCell ref="K33:M33"/>
  </mergeCells>
  <conditionalFormatting sqref="D69 D72 D54 D51 C11:D11 D14:D15 D47:D48 D65:D66">
    <cfRule type="cellIs" priority="2" operator="notBetween" aboveAverage="0" equalAverage="0" bottom="0" percent="0" rank="0" text="" dxfId="2">
      <formula>0.25</formula>
      <formula>-0.25</formula>
    </cfRule>
  </conditionalFormatting>
  <printOptions headings="false" gridLines="false" gridLinesSet="true" horizontalCentered="false" verticalCentered="false"/>
  <pageMargins left="0.5" right="0.5" top="0.75" bottom="0.75" header="0.511811023622047" footer="0.5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9" man="true" max="16383" min="0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13.99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7" width="9.14"/>
    <col collapsed="false" customWidth="true" hidden="false" outlineLevel="0" max="6" min="6" style="27" width="12.99"/>
    <col collapsed="false" customWidth="true" hidden="false" outlineLevel="0" max="7" min="7" style="0" width="12.28"/>
    <col collapsed="false" customWidth="true" hidden="false" outlineLevel="0" max="9" min="8" style="0" width="14.14"/>
    <col collapsed="false" customWidth="true" hidden="false" outlineLevel="0" max="11" min="10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.75" hidden="false" customHeight="false" outlineLevel="0" collapsed="false">
      <c r="A1" s="154" t="str">
        <f aca="false">Assumptions!D5</f>
        <v>PG&amp;E Gas Transmission</v>
      </c>
      <c r="B1" s="21"/>
      <c r="E1" s="264"/>
    </row>
    <row r="2" customFormat="false" ht="15.75" hidden="false" customHeight="false" outlineLevel="0" collapsed="false">
      <c r="A2" s="265" t="s">
        <v>189</v>
      </c>
      <c r="B2" s="266"/>
      <c r="E2" s="36"/>
      <c r="F2" s="267" t="s">
        <v>190</v>
      </c>
      <c r="G2" s="269"/>
      <c r="H2" s="190"/>
      <c r="I2" s="190"/>
      <c r="R2" s="27"/>
    </row>
    <row r="3" customFormat="false" ht="13.5" hidden="false" customHeight="false" outlineLevel="0" collapsed="false">
      <c r="A3" s="270"/>
      <c r="B3" s="266"/>
      <c r="E3" s="36"/>
      <c r="F3" s="273" t="str">
        <f aca="false">IF(MethLoop&lt;&gt;0,"Run Macro","")</f>
        <v/>
      </c>
      <c r="G3" s="275"/>
      <c r="H3" s="190"/>
      <c r="I3" s="190"/>
      <c r="R3" s="27"/>
    </row>
    <row r="4" customFormat="false" ht="12.75" hidden="false" customHeight="false" outlineLevel="0" collapsed="false">
      <c r="A4" s="270"/>
      <c r="B4" s="266"/>
      <c r="E4" s="36"/>
      <c r="G4" s="190"/>
      <c r="H4" s="190"/>
      <c r="I4" s="190"/>
      <c r="R4" s="27"/>
    </row>
    <row r="5" customFormat="false" ht="12.75" hidden="false" customHeight="false" outlineLevel="0" collapsed="false">
      <c r="E5" s="276"/>
      <c r="F5" s="277" t="n">
        <f aca="false">G5-1</f>
        <v>2000</v>
      </c>
      <c r="G5" s="110" t="n">
        <f aca="false">Assumptions!$D$12</f>
        <v>2001</v>
      </c>
      <c r="H5" s="110" t="n">
        <f aca="false">G5+1</f>
        <v>2002</v>
      </c>
      <c r="I5" s="110" t="n">
        <f aca="false">H5+1</f>
        <v>2003</v>
      </c>
      <c r="J5" s="110" t="n">
        <f aca="false">I5+1</f>
        <v>2004</v>
      </c>
      <c r="K5" s="110" t="n">
        <f aca="false">J5+1</f>
        <v>2005</v>
      </c>
      <c r="L5" s="110" t="n">
        <f aca="false">K5+1</f>
        <v>2006</v>
      </c>
      <c r="M5" s="110" t="n">
        <f aca="false">L5+1</f>
        <v>2007</v>
      </c>
      <c r="N5" s="110" t="n">
        <f aca="false">M5+1</f>
        <v>2008</v>
      </c>
      <c r="O5" s="110" t="n">
        <f aca="false">N5+1</f>
        <v>2009</v>
      </c>
      <c r="P5" s="110" t="n">
        <f aca="false">O5+1</f>
        <v>2010</v>
      </c>
      <c r="Q5" s="110" t="n">
        <f aca="false">P5+1</f>
        <v>2011</v>
      </c>
      <c r="R5" s="27"/>
    </row>
    <row r="6" customFormat="false" ht="12.75" hidden="false" customHeight="false" outlineLevel="0" collapsed="false">
      <c r="A6" s="45" t="s">
        <v>150</v>
      </c>
      <c r="E6" s="36"/>
      <c r="F6" s="278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27"/>
    </row>
    <row r="7" customFormat="false" ht="12.75" hidden="false" customHeight="false" outlineLevel="0" collapsed="false">
      <c r="E7" s="36"/>
      <c r="F7" s="278"/>
      <c r="H7" s="32"/>
      <c r="I7" s="32"/>
      <c r="J7" s="32"/>
      <c r="K7" s="32"/>
      <c r="L7" s="32"/>
      <c r="M7" s="32"/>
      <c r="N7" s="32"/>
      <c r="O7" s="32"/>
      <c r="P7" s="32"/>
      <c r="Q7" s="32"/>
      <c r="R7" s="27"/>
    </row>
    <row r="8" customFormat="false" ht="12.75" hidden="false" customHeight="false" outlineLevel="0" collapsed="false">
      <c r="D8" s="279"/>
      <c r="E8" s="36"/>
      <c r="F8" s="278"/>
      <c r="G8" s="232" t="str">
        <f aca="false">IF(C41=1,A44,IF(C41=2,A56,A59))</f>
        <v>2. Optimistic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</row>
    <row r="9" customFormat="false" ht="12.75" hidden="false" customHeight="false" outlineLevel="0" collapsed="false">
      <c r="A9" s="280" t="s">
        <v>174</v>
      </c>
      <c r="B9" s="281"/>
      <c r="C9" s="282"/>
      <c r="D9" s="282"/>
      <c r="E9" s="283"/>
      <c r="F9" s="278" t="n">
        <f aca="false">F41</f>
        <v>14408</v>
      </c>
      <c r="G9" s="32" t="n">
        <f aca="false">G41</f>
        <v>15848.8</v>
      </c>
      <c r="H9" s="32" t="n">
        <f aca="false">H41</f>
        <v>17433.68</v>
      </c>
      <c r="I9" s="32" t="n">
        <f aca="false">I41</f>
        <v>19177.048</v>
      </c>
      <c r="J9" s="32" t="n">
        <f aca="false">J41</f>
        <v>21094.7528</v>
      </c>
      <c r="K9" s="32" t="n">
        <f aca="false">K41</f>
        <v>23204.22808</v>
      </c>
      <c r="L9" s="32" t="n">
        <f aca="false">L41</f>
        <v>25524.650888</v>
      </c>
      <c r="M9" s="32" t="n">
        <f aca="false">M41</f>
        <v>28077.1159768</v>
      </c>
      <c r="N9" s="32" t="n">
        <f aca="false">N41</f>
        <v>30884.82757448</v>
      </c>
      <c r="O9" s="32" t="n">
        <f aca="false">O41</f>
        <v>33973.310331928</v>
      </c>
      <c r="P9" s="32" t="n">
        <f aca="false">P41</f>
        <v>37370.6413651208</v>
      </c>
      <c r="Q9" s="32" t="n">
        <f aca="false">Q41</f>
        <v>41107.7055016329</v>
      </c>
      <c r="R9" s="27"/>
    </row>
    <row r="10" customFormat="false" ht="12.75" hidden="false" customHeight="false" outlineLevel="0" collapsed="false">
      <c r="E10" s="36"/>
      <c r="F10" s="284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7"/>
    </row>
    <row r="11" customFormat="false" ht="12.75" hidden="false" customHeight="false" outlineLevel="0" collapsed="false">
      <c r="D11" s="279"/>
      <c r="E11" s="285"/>
      <c r="F11" s="278"/>
      <c r="G11" s="232" t="str">
        <f aca="false">IF(C65=1,A68,IF(C65=2,A89,A92))</f>
        <v>1. Base Case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27"/>
    </row>
    <row r="12" customFormat="false" ht="12.75" hidden="false" customHeight="false" outlineLevel="0" collapsed="false">
      <c r="A12" s="21" t="s">
        <v>175</v>
      </c>
      <c r="B12" s="286"/>
      <c r="C12" s="21"/>
      <c r="D12" s="282"/>
      <c r="E12" s="287"/>
      <c r="F12" s="278" t="n">
        <f aca="false">F65</f>
        <v>16926</v>
      </c>
      <c r="G12" s="32" t="n">
        <f aca="false">G65</f>
        <v>18832</v>
      </c>
      <c r="H12" s="32" t="n">
        <f aca="false">H65</f>
        <v>18832</v>
      </c>
      <c r="I12" s="32" t="n">
        <f aca="false">I65</f>
        <v>18832</v>
      </c>
      <c r="J12" s="32" t="n">
        <f aca="false">J65</f>
        <v>18832</v>
      </c>
      <c r="K12" s="32" t="n">
        <f aca="false">K65</f>
        <v>18832</v>
      </c>
      <c r="L12" s="32" t="n">
        <f aca="false">L65</f>
        <v>18832</v>
      </c>
      <c r="M12" s="32" t="n">
        <f aca="false">M65</f>
        <v>18832</v>
      </c>
      <c r="N12" s="32" t="n">
        <f aca="false">N65</f>
        <v>18832</v>
      </c>
      <c r="O12" s="32" t="n">
        <f aca="false">O65</f>
        <v>18832</v>
      </c>
      <c r="P12" s="32" t="n">
        <f aca="false">P65</f>
        <v>18832</v>
      </c>
      <c r="Q12" s="32" t="n">
        <f aca="false">Q65</f>
        <v>18832</v>
      </c>
      <c r="R12" s="27"/>
    </row>
    <row r="13" customFormat="false" ht="12.75" hidden="false" customHeight="false" outlineLevel="0" collapsed="false">
      <c r="A13" s="12" t="s">
        <v>155</v>
      </c>
      <c r="B13" s="12"/>
      <c r="C13" s="12"/>
      <c r="D13" s="192"/>
      <c r="E13" s="288"/>
      <c r="F13" s="289" t="n">
        <f aca="false">F9/F12</f>
        <v>0.851234786718658</v>
      </c>
      <c r="G13" s="195" t="n">
        <f aca="false">G9/G12</f>
        <v>0.841588785046729</v>
      </c>
      <c r="H13" s="195" t="n">
        <f aca="false">H9/H12</f>
        <v>0.925747663551402</v>
      </c>
      <c r="I13" s="195" t="n">
        <f aca="false">I9/I12</f>
        <v>1.01832242990654</v>
      </c>
      <c r="J13" s="195" t="n">
        <f aca="false">J9/J12</f>
        <v>1.1201546728972</v>
      </c>
      <c r="K13" s="195" t="n">
        <f aca="false">K9/K12</f>
        <v>1.23217014018692</v>
      </c>
      <c r="L13" s="195" t="n">
        <f aca="false">L9/L12</f>
        <v>1.35538715420561</v>
      </c>
      <c r="M13" s="195" t="n">
        <f aca="false">M9/M12</f>
        <v>1.49092586962617</v>
      </c>
      <c r="N13" s="195" t="n">
        <f aca="false">N9/N12</f>
        <v>1.64001845658879</v>
      </c>
      <c r="O13" s="195" t="n">
        <f aca="false">O9/O12</f>
        <v>1.80402030224767</v>
      </c>
      <c r="P13" s="195" t="n">
        <f aca="false">P9/P12</f>
        <v>1.98442233247243</v>
      </c>
      <c r="Q13" s="195" t="n">
        <f aca="false">Q9/Q12</f>
        <v>2.18286456571968</v>
      </c>
      <c r="R13" s="27"/>
    </row>
    <row r="14" customFormat="false" ht="12.75" hidden="false" customHeight="false" outlineLevel="0" collapsed="false">
      <c r="A14" s="114" t="s">
        <v>118</v>
      </c>
      <c r="B14" s="115"/>
      <c r="C14" s="115"/>
      <c r="D14" s="115"/>
      <c r="E14" s="290"/>
      <c r="F14" s="291" t="n">
        <f aca="false">(F9-F12)</f>
        <v>-2518</v>
      </c>
      <c r="G14" s="116" t="n">
        <f aca="false">(G9-G12)</f>
        <v>-2983.2</v>
      </c>
      <c r="H14" s="116" t="n">
        <f aca="false">(H9-H12)</f>
        <v>-1398.32</v>
      </c>
      <c r="I14" s="116" t="n">
        <f aca="false">(I9-I12)</f>
        <v>345.048000000006</v>
      </c>
      <c r="J14" s="116" t="n">
        <f aca="false">(J9-J12)</f>
        <v>2262.75280000001</v>
      </c>
      <c r="K14" s="116" t="n">
        <f aca="false">(K9-K12)</f>
        <v>4372.22808000001</v>
      </c>
      <c r="L14" s="116" t="n">
        <f aca="false">(L9-L12)</f>
        <v>6692.65088800002</v>
      </c>
      <c r="M14" s="116" t="n">
        <f aca="false">(M9-M12)</f>
        <v>9245.11597680002</v>
      </c>
      <c r="N14" s="116" t="n">
        <f aca="false">(N9-N12)</f>
        <v>12052.82757448</v>
      </c>
      <c r="O14" s="116" t="n">
        <f aca="false">(O9-O12)</f>
        <v>15141.310331928</v>
      </c>
      <c r="P14" s="116" t="n">
        <f aca="false">(P9-P12)</f>
        <v>18538.6413651208</v>
      </c>
      <c r="Q14" s="118" t="n">
        <f aca="false">(Q9-Q12)</f>
        <v>22275.7055016329</v>
      </c>
      <c r="R14" s="27"/>
    </row>
    <row r="15" customFormat="false" ht="12.75" hidden="false" customHeight="false" outlineLevel="0" collapsed="false">
      <c r="E15" s="36"/>
      <c r="F15" s="27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27"/>
    </row>
    <row r="16" customFormat="false" ht="12.75" hidden="false" customHeight="false" outlineLevel="0" collapsed="false">
      <c r="A16" s="0" t="s">
        <v>156</v>
      </c>
      <c r="B16" s="199"/>
      <c r="E16" s="36"/>
      <c r="F16" s="278" t="n">
        <v>0</v>
      </c>
      <c r="G16" s="121" t="n">
        <f aca="false">G104</f>
        <v>3055.76773822539</v>
      </c>
      <c r="H16" s="121" t="n">
        <f aca="false">H104</f>
        <v>3055.76773822539</v>
      </c>
      <c r="I16" s="121" t="n">
        <f aca="false">I104</f>
        <v>3055.76773822539</v>
      </c>
      <c r="J16" s="121" t="n">
        <f aca="false">J104</f>
        <v>3055.76773822539</v>
      </c>
      <c r="K16" s="121" t="n">
        <f aca="false">K104</f>
        <v>3055.76773822539</v>
      </c>
      <c r="L16" s="121" t="n">
        <f aca="false">L104</f>
        <v>3055.76773822539</v>
      </c>
      <c r="M16" s="121" t="n">
        <f aca="false">M104</f>
        <v>3055.76773822539</v>
      </c>
      <c r="N16" s="121" t="n">
        <f aca="false">N104</f>
        <v>3055.76773822539</v>
      </c>
      <c r="O16" s="121" t="n">
        <f aca="false">O104</f>
        <v>3055.76773822539</v>
      </c>
      <c r="P16" s="121" t="n">
        <f aca="false">P104</f>
        <v>3055.76773822539</v>
      </c>
      <c r="Q16" s="121" t="n">
        <f aca="false">Q104</f>
        <v>3055.76773822539</v>
      </c>
      <c r="R16" s="27"/>
    </row>
    <row r="17" customFormat="false" ht="12.75" hidden="false" customHeight="false" outlineLevel="0" collapsed="false">
      <c r="E17" s="36"/>
      <c r="F17" s="278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7"/>
    </row>
    <row r="18" customFormat="false" ht="12.75" hidden="false" customHeight="false" outlineLevel="0" collapsed="false">
      <c r="A18" s="114" t="s">
        <v>121</v>
      </c>
      <c r="B18" s="115"/>
      <c r="C18" s="115"/>
      <c r="D18" s="115"/>
      <c r="E18" s="290"/>
      <c r="F18" s="291" t="n">
        <f aca="false">F14-F16</f>
        <v>-2518</v>
      </c>
      <c r="G18" s="116" t="n">
        <f aca="false">G14-G16</f>
        <v>-6038.96773822539</v>
      </c>
      <c r="H18" s="116" t="n">
        <f aca="false">H14-H16</f>
        <v>-4454.08773822539</v>
      </c>
      <c r="I18" s="116" t="n">
        <f aca="false">I14-I16</f>
        <v>-2710.71973822538</v>
      </c>
      <c r="J18" s="116" t="n">
        <f aca="false">J14-J16</f>
        <v>-793.014938225381</v>
      </c>
      <c r="K18" s="116" t="n">
        <f aca="false">K14-K16</f>
        <v>1316.46034177462</v>
      </c>
      <c r="L18" s="116" t="n">
        <f aca="false">L14-L16</f>
        <v>3636.88314977462</v>
      </c>
      <c r="M18" s="116" t="n">
        <f aca="false">M14-M16</f>
        <v>6189.34823857463</v>
      </c>
      <c r="N18" s="116" t="n">
        <f aca="false">N14-N16</f>
        <v>8997.05983625463</v>
      </c>
      <c r="O18" s="116" t="n">
        <f aca="false">O14-O16</f>
        <v>12085.5425937026</v>
      </c>
      <c r="P18" s="116" t="n">
        <f aca="false">P14-P16</f>
        <v>15482.8736268954</v>
      </c>
      <c r="Q18" s="118" t="n">
        <f aca="false">Q14-Q16</f>
        <v>19219.9377634075</v>
      </c>
      <c r="R18" s="27"/>
    </row>
    <row r="19" customFormat="false" ht="12.75" hidden="false" customHeight="false" outlineLevel="0" collapsed="false">
      <c r="E19" s="36"/>
      <c r="F19" s="27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/>
    </row>
    <row r="20" customFormat="false" ht="12.75" hidden="false" customHeight="false" outlineLevel="0" collapsed="false">
      <c r="A20" s="32" t="s">
        <v>158</v>
      </c>
      <c r="E20" s="214"/>
      <c r="F20" s="278"/>
      <c r="G20" s="32" t="n">
        <f aca="false">$B$22*(G14-G109)</f>
        <v>-2325.00257921678</v>
      </c>
      <c r="H20" s="32" t="n">
        <f aca="false">$B$22*(H14-H109)</f>
        <v>-2773.64730051187</v>
      </c>
      <c r="I20" s="32" t="n">
        <f aca="false">$B$22*(I14-I109)</f>
        <v>-1878.92121046068</v>
      </c>
      <c r="J20" s="32" t="n">
        <f aca="false">$B$22*(J14-J109)</f>
        <v>-940.604863993831</v>
      </c>
      <c r="K20" s="32" t="n">
        <f aca="false">$B$22*(K14-K109)</f>
        <v>52.7195880055538</v>
      </c>
      <c r="L20" s="32" t="n">
        <f aca="false">$B$22*(L14-L109)</f>
        <v>1110.7882501759</v>
      </c>
      <c r="M20" s="32" t="n">
        <f aca="false">$B$22*(M14-M109)</f>
        <v>2171.13436759221</v>
      </c>
      <c r="N20" s="32" t="n">
        <f aca="false">$B$22*(N14-N109)</f>
        <v>3252.10333269901</v>
      </c>
      <c r="O20" s="32" t="n">
        <f aca="false">$B$22*(O14-O109)</f>
        <v>4438.81625315806</v>
      </c>
      <c r="P20" s="32" t="n">
        <f aca="false">$B$22*(P14-P109)</f>
        <v>5749.14164209573</v>
      </c>
      <c r="Q20" s="32" t="n">
        <f aca="false">$B$22*(Q14-Q109)</f>
        <v>7185.55839349445</v>
      </c>
      <c r="R20" s="27"/>
    </row>
    <row r="21" customFormat="false" ht="15" hidden="false" customHeight="false" outlineLevel="0" collapsed="false">
      <c r="A21" s="32" t="s">
        <v>159</v>
      </c>
      <c r="E21" s="292"/>
      <c r="F21" s="293"/>
      <c r="G21" s="117" t="n">
        <f aca="false">G22-G20</f>
        <v>0</v>
      </c>
      <c r="H21" s="117" t="n">
        <f aca="false">H22-H20</f>
        <v>1058.8235212951</v>
      </c>
      <c r="I21" s="117" t="n">
        <f aca="false">I22-I20</f>
        <v>835.294111243911</v>
      </c>
      <c r="J21" s="117" t="n">
        <f aca="false">J22-J20</f>
        <v>635.294112777059</v>
      </c>
      <c r="K21" s="117" t="n">
        <f aca="false">K22-K20</f>
        <v>454.117643577675</v>
      </c>
      <c r="L21" s="117" t="n">
        <f aca="false">L22-L20</f>
        <v>289.411762487327</v>
      </c>
      <c r="M21" s="117" t="n">
        <f aca="false">M22-M20</f>
        <v>211.76470425902</v>
      </c>
      <c r="N21" s="117" t="n">
        <f aca="false">N22-N20</f>
        <v>211.76470425902</v>
      </c>
      <c r="O21" s="117" t="n">
        <f aca="false">O22-O20</f>
        <v>214.117645417454</v>
      </c>
      <c r="P21" s="117" t="n">
        <f aca="false">P22-P20</f>
        <v>211.76470425902</v>
      </c>
      <c r="Q21" s="117" t="n">
        <f aca="false">Q22-Q20</f>
        <v>214.117645417454</v>
      </c>
      <c r="R21" s="27"/>
    </row>
    <row r="22" customFormat="false" ht="12.75" hidden="false" customHeight="false" outlineLevel="0" collapsed="false">
      <c r="A22" s="207" t="s">
        <v>153</v>
      </c>
      <c r="B22" s="294" t="n">
        <f aca="false">Assumptions!D19</f>
        <v>0.385</v>
      </c>
      <c r="E22" s="214"/>
      <c r="F22" s="278" t="n">
        <v>0</v>
      </c>
      <c r="G22" s="32" t="n">
        <f aca="false">$B$22*G18</f>
        <v>-2325.00257921678</v>
      </c>
      <c r="H22" s="32" t="n">
        <f aca="false">$B$22*H18</f>
        <v>-1714.82377921677</v>
      </c>
      <c r="I22" s="32" t="n">
        <f aca="false">$B$22*I18</f>
        <v>-1043.62709921677</v>
      </c>
      <c r="J22" s="32" t="n">
        <f aca="false">$B$22*J18</f>
        <v>-305.310751216772</v>
      </c>
      <c r="K22" s="32" t="n">
        <f aca="false">$B$22*K18</f>
        <v>506.837231583229</v>
      </c>
      <c r="L22" s="32" t="n">
        <f aca="false">$B$22*L18</f>
        <v>1400.20001266323</v>
      </c>
      <c r="M22" s="32" t="n">
        <f aca="false">$B$22*M18</f>
        <v>2382.89907185123</v>
      </c>
      <c r="N22" s="32" t="n">
        <f aca="false">$B$22*N18</f>
        <v>3463.86803695803</v>
      </c>
      <c r="O22" s="32" t="n">
        <f aca="false">$B$22*O18</f>
        <v>4652.93389857552</v>
      </c>
      <c r="P22" s="32" t="n">
        <f aca="false">$B$22*P18</f>
        <v>5960.90634635475</v>
      </c>
      <c r="Q22" s="32" t="n">
        <f aca="false">$B$22*Q18</f>
        <v>7399.6760389119</v>
      </c>
      <c r="R22" s="27"/>
    </row>
    <row r="23" customFormat="false" ht="12.75" hidden="false" customHeight="false" outlineLevel="0" collapsed="false">
      <c r="A23" s="32"/>
      <c r="B23" s="54"/>
      <c r="E23" s="36"/>
      <c r="F23" s="278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27"/>
    </row>
    <row r="24" customFormat="false" ht="12.75" hidden="false" customHeight="false" outlineLevel="0" collapsed="false">
      <c r="A24" s="295" t="s">
        <v>125</v>
      </c>
      <c r="B24" s="125"/>
      <c r="C24" s="115"/>
      <c r="D24" s="115"/>
      <c r="E24" s="296"/>
      <c r="F24" s="291" t="n">
        <f aca="false">F18-F22</f>
        <v>-2518</v>
      </c>
      <c r="G24" s="116" t="n">
        <f aca="false">G18-G22</f>
        <v>-3713.96515900861</v>
      </c>
      <c r="H24" s="116" t="n">
        <f aca="false">H18-H22</f>
        <v>-2739.26395900861</v>
      </c>
      <c r="I24" s="116" t="n">
        <f aca="false">I18-I22</f>
        <v>-1667.09263900861</v>
      </c>
      <c r="J24" s="116" t="n">
        <f aca="false">J18-J22</f>
        <v>-487.704187008609</v>
      </c>
      <c r="K24" s="116" t="n">
        <f aca="false">K18-K22</f>
        <v>809.623110191392</v>
      </c>
      <c r="L24" s="116" t="n">
        <f aca="false">L18-L22</f>
        <v>2236.68313711139</v>
      </c>
      <c r="M24" s="116" t="n">
        <f aca="false">M18-M22</f>
        <v>3806.4491667234</v>
      </c>
      <c r="N24" s="116" t="n">
        <f aca="false">N18-N22</f>
        <v>5533.1917992966</v>
      </c>
      <c r="O24" s="116" t="n">
        <f aca="false">O18-O22</f>
        <v>7432.60869512712</v>
      </c>
      <c r="P24" s="116" t="n">
        <f aca="false">P18-P22</f>
        <v>9521.9672805407</v>
      </c>
      <c r="Q24" s="118" t="n">
        <f aca="false">Q18-Q22</f>
        <v>11820.2617244956</v>
      </c>
      <c r="R24" s="342" t="s">
        <v>118</v>
      </c>
    </row>
    <row r="25" customFormat="false" ht="12.75" hidden="false" customHeight="false" outlineLevel="0" collapsed="false">
      <c r="A25" s="32"/>
      <c r="B25" s="54"/>
      <c r="E25" s="36"/>
      <c r="F25" s="27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97" t="s">
        <v>176</v>
      </c>
    </row>
    <row r="26" customFormat="false" ht="12.75" hidden="false" customHeight="false" outlineLevel="0" collapsed="false">
      <c r="A26" s="32" t="s">
        <v>160</v>
      </c>
      <c r="B26" s="54"/>
      <c r="E26" s="36"/>
      <c r="F26" s="278" t="n">
        <f aca="false">F24+F21+F16</f>
        <v>-2518</v>
      </c>
      <c r="G26" s="32" t="n">
        <f aca="false">G24+G21+G16</f>
        <v>-658.197420783224</v>
      </c>
      <c r="H26" s="32" t="n">
        <f aca="false">H24+H21+H16</f>
        <v>1375.32730051188</v>
      </c>
      <c r="I26" s="32" t="n">
        <f aca="false">I24+I21+I16</f>
        <v>2223.96921046069</v>
      </c>
      <c r="J26" s="32" t="n">
        <f aca="false">J24+J21+J16</f>
        <v>3203.35766399384</v>
      </c>
      <c r="K26" s="32" t="n">
        <f aca="false">K24+K21+K16</f>
        <v>4319.50849199446</v>
      </c>
      <c r="L26" s="32" t="n">
        <f aca="false">L24+L21+L16</f>
        <v>5581.86263782411</v>
      </c>
      <c r="M26" s="32" t="n">
        <f aca="false">M24+M21+M16</f>
        <v>7073.98160920781</v>
      </c>
      <c r="N26" s="32" t="n">
        <f aca="false">N24+N21+N16</f>
        <v>8800.72424178101</v>
      </c>
      <c r="O26" s="32" t="n">
        <f aca="false">O24+O21+O16</f>
        <v>10702.49407877</v>
      </c>
      <c r="P26" s="32" t="n">
        <f aca="false">P24+P21+P16</f>
        <v>12789.4997230251</v>
      </c>
      <c r="Q26" s="32" t="n">
        <f aca="false">Q24+Q21+Q16</f>
        <v>15090.1471081385</v>
      </c>
      <c r="R26" s="297" t="s">
        <v>191</v>
      </c>
    </row>
    <row r="27" customFormat="false" ht="12.75" hidden="false" customHeight="false" outlineLevel="0" collapsed="false">
      <c r="A27" s="32" t="s">
        <v>131</v>
      </c>
      <c r="B27" s="298" t="n">
        <f aca="false">Assumptions!C41</f>
        <v>1</v>
      </c>
      <c r="E27" s="36"/>
      <c r="F27" s="278" t="n">
        <f aca="false">F95*$B$27</f>
        <v>0</v>
      </c>
      <c r="G27" s="32" t="n">
        <f aca="false">$B$27*G95</f>
        <v>0</v>
      </c>
      <c r="H27" s="32" t="n">
        <f aca="false">$B$27*H95</f>
        <v>0</v>
      </c>
      <c r="I27" s="32" t="n">
        <f aca="false">$B$27*I95</f>
        <v>0</v>
      </c>
      <c r="J27" s="32" t="n">
        <f aca="false">$B$27*J95</f>
        <v>0</v>
      </c>
      <c r="K27" s="32" t="n">
        <f aca="false">$B$27*K95</f>
        <v>0</v>
      </c>
      <c r="L27" s="32" t="n">
        <f aca="false">$B$27*L95</f>
        <v>0</v>
      </c>
      <c r="M27" s="32" t="n">
        <f aca="false">$B$27*M95</f>
        <v>0</v>
      </c>
      <c r="N27" s="32" t="n">
        <f aca="false">$B$27*N95</f>
        <v>0</v>
      </c>
      <c r="O27" s="32" t="n">
        <f aca="false">$B$27*O95</f>
        <v>0</v>
      </c>
      <c r="P27" s="32" t="n">
        <f aca="false">$B$27*P95</f>
        <v>0</v>
      </c>
      <c r="Q27" s="32" t="n">
        <f aca="false">$B$27*Q95</f>
        <v>0</v>
      </c>
      <c r="R27" s="343" t="n">
        <f aca="false">Assumptions!E40</f>
        <v>4</v>
      </c>
    </row>
    <row r="28" customFormat="false" ht="12.75" hidden="false" customHeight="false" outlineLevel="0" collapsed="false">
      <c r="A28" s="300" t="s">
        <v>161</v>
      </c>
      <c r="B28" s="115"/>
      <c r="C28" s="115"/>
      <c r="D28" s="115"/>
      <c r="E28" s="290"/>
      <c r="F28" s="291" t="n">
        <f aca="false">F26-F27</f>
        <v>-2518</v>
      </c>
      <c r="G28" s="116" t="n">
        <f aca="false">G26-G27</f>
        <v>-658.197420783224</v>
      </c>
      <c r="H28" s="116" t="n">
        <f aca="false">H26-H27</f>
        <v>1375.32730051188</v>
      </c>
      <c r="I28" s="116" t="n">
        <f aca="false">I26-I27</f>
        <v>2223.96921046069</v>
      </c>
      <c r="J28" s="116" t="n">
        <f aca="false">J26-J27</f>
        <v>3203.35766399384</v>
      </c>
      <c r="K28" s="116" t="n">
        <f aca="false">K26-K27</f>
        <v>4319.50849199446</v>
      </c>
      <c r="L28" s="116" t="n">
        <f aca="false">L26-L27</f>
        <v>5581.86263782411</v>
      </c>
      <c r="M28" s="116" t="n">
        <f aca="false">M26-M27</f>
        <v>7073.98160920781</v>
      </c>
      <c r="N28" s="116" t="n">
        <f aca="false">N26-N27</f>
        <v>8800.72424178101</v>
      </c>
      <c r="O28" s="116" t="n">
        <f aca="false">O26-O27</f>
        <v>10702.49407877</v>
      </c>
      <c r="P28" s="116" t="n">
        <f aca="false">P26-P27</f>
        <v>12789.4997230251</v>
      </c>
      <c r="Q28" s="116" t="n">
        <f aca="false">Q26-Q27</f>
        <v>15090.1471081385</v>
      </c>
      <c r="R28" s="118" t="n">
        <f aca="false">Q14*R27</f>
        <v>89102.8220065317</v>
      </c>
    </row>
    <row r="29" customFormat="false" ht="12.75" hidden="false" customHeight="false" outlineLevel="0" collapsed="false">
      <c r="A29" s="207"/>
      <c r="E29" s="36"/>
      <c r="F29" s="278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customFormat="false" ht="13.5" hidden="false" customHeight="false" outlineLevel="0" collapsed="false">
      <c r="R30" s="32"/>
    </row>
    <row r="31" customFormat="false" ht="15" hidden="false" customHeight="false" outlineLevel="0" collapsed="false">
      <c r="F31" s="0"/>
      <c r="G31" s="302" t="s">
        <v>166</v>
      </c>
      <c r="H31" s="303" t="str">
        <f aca="false">(Assumptions!D12-1&amp;" EBITDA")</f>
        <v>2000 EBITDA</v>
      </c>
      <c r="I31" s="303" t="s">
        <v>177</v>
      </c>
      <c r="J31" s="304"/>
      <c r="K31" s="305" t="s">
        <v>167</v>
      </c>
      <c r="L31" s="305"/>
      <c r="M31" s="305"/>
      <c r="P31" s="32"/>
      <c r="Q31" s="32"/>
      <c r="R31" s="32"/>
    </row>
    <row r="32" customFormat="false" ht="15" hidden="false" customHeight="false" outlineLevel="0" collapsed="false">
      <c r="F32" s="0"/>
      <c r="G32" s="306" t="s">
        <v>168</v>
      </c>
      <c r="H32" s="307" t="s">
        <v>169</v>
      </c>
      <c r="I32" s="307" t="s">
        <v>178</v>
      </c>
      <c r="J32" s="308"/>
      <c r="K32" s="309" t="n">
        <f aca="false">MethDRate-0.025</f>
        <v>0.075</v>
      </c>
      <c r="L32" s="309" t="n">
        <f aca="false">Assumptions!H43</f>
        <v>0.1</v>
      </c>
      <c r="M32" s="310" t="n">
        <f aca="false">MethDRate+0.025</f>
        <v>0.125</v>
      </c>
      <c r="P32" s="32"/>
      <c r="Q32" s="32"/>
      <c r="R32" s="32"/>
    </row>
    <row r="33" customFormat="false" ht="12.75" hidden="false" customHeight="false" outlineLevel="0" collapsed="false">
      <c r="F33" s="52" t="s">
        <v>171</v>
      </c>
      <c r="G33" s="248"/>
      <c r="H33" s="311"/>
      <c r="I33" s="311"/>
      <c r="J33" s="249"/>
      <c r="K33" s="249"/>
      <c r="L33" s="249"/>
      <c r="M33" s="251"/>
      <c r="P33" s="32"/>
      <c r="Q33" s="32"/>
      <c r="R33" s="32"/>
    </row>
    <row r="34" customFormat="false" ht="13.5" hidden="false" customHeight="false" outlineLevel="0" collapsed="false">
      <c r="F34" s="0" t="n">
        <f aca="false">IF(ABS(G34-L34)&lt;0.05,0,1)</f>
        <v>0</v>
      </c>
      <c r="G34" s="312" t="n">
        <v>61115.3547645078</v>
      </c>
      <c r="H34" s="313" t="n">
        <f aca="false">G34/F14</f>
        <v>-24.2713879128307</v>
      </c>
      <c r="I34" s="314" t="str">
        <f aca="false">Assumptions!D40</f>
        <v>ETS</v>
      </c>
      <c r="J34" s="315"/>
      <c r="K34" s="344" t="n">
        <f aca="false">NPV(K32,$G$28:$R$28)</f>
        <v>76599.462797042</v>
      </c>
      <c r="L34" s="345" t="n">
        <f aca="false">NPV(L32,$G$28:$R$28)</f>
        <v>61115.3925641711</v>
      </c>
      <c r="M34" s="318" t="n">
        <f aca="false">NPV(M32,$G$28:$R$28)</f>
        <v>49202.4761614418</v>
      </c>
      <c r="P34" s="32"/>
      <c r="Q34" s="32"/>
      <c r="R34" s="32"/>
    </row>
    <row r="35" customFormat="false" ht="12.75" hidden="false" customHeight="false" outlineLevel="0" collapsed="false">
      <c r="F35" s="0"/>
      <c r="G35" s="32"/>
      <c r="H35" s="319"/>
      <c r="I35" s="319"/>
      <c r="J35" s="32"/>
      <c r="K35" s="32"/>
      <c r="L35" s="32"/>
      <c r="M35" s="32"/>
      <c r="P35" s="32"/>
      <c r="Q35" s="32"/>
      <c r="R35" s="32"/>
    </row>
    <row r="36" customFormat="false" ht="12.75" hidden="false" customHeight="false" outlineLevel="0" collapsed="false">
      <c r="F36" s="32"/>
      <c r="G36" s="32"/>
      <c r="H36" s="32"/>
      <c r="I36" s="32"/>
      <c r="J36" s="32"/>
      <c r="K36" s="32"/>
      <c r="L36" s="32"/>
      <c r="N36" s="32"/>
      <c r="O36" s="32"/>
      <c r="P36" s="32"/>
      <c r="Q36" s="32"/>
    </row>
    <row r="37" customFormat="false" ht="12.75" hidden="false" customHeight="false" outlineLevel="0" collapsed="false">
      <c r="E37" s="32"/>
      <c r="F37" s="32"/>
      <c r="G37" s="32"/>
      <c r="I37" s="27"/>
      <c r="J37" s="27"/>
      <c r="K37" s="27"/>
      <c r="L37" s="27"/>
      <c r="M37" s="27"/>
      <c r="N37" s="27"/>
      <c r="O37" s="27"/>
      <c r="P37" s="27"/>
      <c r="Q37" s="27"/>
    </row>
    <row r="38" customFormat="false" ht="12.75" hidden="false" customHeight="false" outlineLevel="0" collapsed="false">
      <c r="E38" s="32"/>
      <c r="F38" s="32"/>
      <c r="G38" s="32"/>
      <c r="H38" s="32"/>
      <c r="I38" s="27"/>
      <c r="J38" s="27"/>
      <c r="K38" s="27"/>
      <c r="L38" s="27"/>
      <c r="M38" s="27"/>
      <c r="N38" s="27"/>
      <c r="O38" s="27"/>
      <c r="P38" s="27"/>
      <c r="Q38" s="27"/>
    </row>
    <row r="39" customFormat="false" ht="13.5" hidden="false" customHeight="false" outlineLevel="0" collapsed="false">
      <c r="A39" s="13" t="s">
        <v>179</v>
      </c>
    </row>
    <row r="40" customFormat="false" ht="13.5" hidden="false" customHeight="false" outlineLevel="0" collapsed="false">
      <c r="B40" s="320" t="s">
        <v>180</v>
      </c>
      <c r="C40" s="321" t="s">
        <v>181</v>
      </c>
      <c r="F40" s="322" t="n">
        <f aca="false">G40-1</f>
        <v>2000</v>
      </c>
      <c r="G40" s="13" t="n">
        <f aca="false">Assumptions!D12</f>
        <v>2001</v>
      </c>
      <c r="H40" s="13" t="n">
        <f aca="false">G40+1</f>
        <v>2002</v>
      </c>
      <c r="I40" s="13" t="n">
        <f aca="false">H40+1</f>
        <v>2003</v>
      </c>
      <c r="J40" s="13" t="n">
        <f aca="false">I40+1</f>
        <v>2004</v>
      </c>
      <c r="K40" s="13" t="n">
        <f aca="false">J40+1</f>
        <v>2005</v>
      </c>
      <c r="L40" s="13" t="n">
        <f aca="false">K40+1</f>
        <v>2006</v>
      </c>
      <c r="M40" s="13" t="n">
        <f aca="false">L40+1</f>
        <v>2007</v>
      </c>
      <c r="N40" s="13" t="n">
        <f aca="false">M40+1</f>
        <v>2008</v>
      </c>
      <c r="O40" s="13" t="n">
        <f aca="false">N40+1</f>
        <v>2009</v>
      </c>
      <c r="P40" s="13" t="n">
        <f aca="false">O40+1</f>
        <v>2010</v>
      </c>
      <c r="Q40" s="13" t="n">
        <f aca="false">P40+1</f>
        <v>2011</v>
      </c>
    </row>
    <row r="41" customFormat="false" ht="13.5" hidden="false" customHeight="false" outlineLevel="0" collapsed="false">
      <c r="A41" s="323" t="str">
        <f aca="false">A2</f>
        <v>  Asset 2-Cash Flow Analysis</v>
      </c>
      <c r="B41" s="324" t="n">
        <f aca="false">Assumptions!C41</f>
        <v>1</v>
      </c>
      <c r="C41" s="325" t="n">
        <v>2</v>
      </c>
      <c r="D41" s="115"/>
      <c r="E41" s="326"/>
      <c r="F41" s="291" t="n">
        <f aca="false">F53*$B$41</f>
        <v>14408</v>
      </c>
      <c r="G41" s="116" t="n">
        <f aca="false">CHOOSE($C$41,G53,G56,G59)*$B$41+G42</f>
        <v>15848.8</v>
      </c>
      <c r="H41" s="116" t="n">
        <f aca="false">CHOOSE($C$41,H53,H56,H59)*$B$41+H42</f>
        <v>17433.68</v>
      </c>
      <c r="I41" s="116" t="n">
        <f aca="false">CHOOSE($C$41,I53,I56,I59)*$B$41+I42</f>
        <v>19177.048</v>
      </c>
      <c r="J41" s="116" t="n">
        <f aca="false">CHOOSE($C$41,J53,J56,J59)*$B$41+J42</f>
        <v>21094.7528</v>
      </c>
      <c r="K41" s="116" t="n">
        <f aca="false">CHOOSE($C$41,K53,K56,K59)*$B$41+K42</f>
        <v>23204.22808</v>
      </c>
      <c r="L41" s="116" t="n">
        <f aca="false">CHOOSE($C$41,L53,L56,L59)*$B$41+L42</f>
        <v>25524.650888</v>
      </c>
      <c r="M41" s="116" t="n">
        <f aca="false">CHOOSE($C$41,M53,M56,M59)*$B$41+M42</f>
        <v>28077.1159768</v>
      </c>
      <c r="N41" s="116" t="n">
        <f aca="false">CHOOSE($C$41,N53,N56,N59)*$B$41+N42</f>
        <v>30884.82757448</v>
      </c>
      <c r="O41" s="116" t="n">
        <f aca="false">CHOOSE($C$41,O53,O56,O59)*$B$41+O42</f>
        <v>33973.310331928</v>
      </c>
      <c r="P41" s="116" t="n">
        <f aca="false">CHOOSE($C$41,P53,P56,P59)*$B$41+P42</f>
        <v>37370.6413651208</v>
      </c>
      <c r="Q41" s="118" t="n">
        <f aca="false">CHOOSE($C$41,Q53,Q56,Q59)*$B$41+Q42</f>
        <v>41107.7055016329</v>
      </c>
    </row>
    <row r="42" customFormat="false" ht="12.75" hidden="false" customHeight="false" outlineLevel="0" collapsed="false">
      <c r="C42" s="327"/>
      <c r="F42" s="284" t="s">
        <v>182</v>
      </c>
      <c r="G42" s="32" t="n">
        <v>0</v>
      </c>
      <c r="H42" s="32" t="n">
        <v>0</v>
      </c>
      <c r="I42" s="32" t="n">
        <v>0</v>
      </c>
      <c r="J42" s="32" t="n">
        <v>0</v>
      </c>
      <c r="K42" s="32" t="n">
        <v>0</v>
      </c>
      <c r="L42" s="32" t="n">
        <v>0</v>
      </c>
      <c r="M42" s="32" t="n">
        <v>0</v>
      </c>
      <c r="N42" s="32" t="n">
        <v>0</v>
      </c>
      <c r="O42" s="32" t="n">
        <v>0</v>
      </c>
      <c r="P42" s="32" t="n">
        <v>0</v>
      </c>
      <c r="Q42" s="32" t="n">
        <v>0</v>
      </c>
    </row>
    <row r="43" customFormat="false" ht="12.75" hidden="false" customHeight="false" outlineLevel="0" collapsed="false">
      <c r="C43" s="328"/>
      <c r="D43" s="279"/>
      <c r="F43" s="284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customFormat="false" ht="12.75" hidden="false" customHeight="false" outlineLevel="0" collapsed="false">
      <c r="A44" s="0" t="str">
        <f aca="false">Assumptions!B50</f>
        <v>1. Base Case</v>
      </c>
      <c r="C44" s="328" t="n">
        <v>1</v>
      </c>
      <c r="F44" s="124"/>
    </row>
    <row r="45" customFormat="false" ht="12.75" hidden="false" customHeight="false" outlineLevel="0" collapsed="false">
      <c r="A45" s="0" t="s">
        <v>192</v>
      </c>
      <c r="C45" s="328"/>
      <c r="D45" s="282"/>
      <c r="F45" s="278" t="n">
        <v>43272</v>
      </c>
      <c r="G45" s="32" t="n">
        <v>41958</v>
      </c>
      <c r="H45" s="134" t="n">
        <f aca="false">G45</f>
        <v>41958</v>
      </c>
      <c r="I45" s="134" t="n">
        <f aca="false">H45</f>
        <v>41958</v>
      </c>
      <c r="J45" s="134" t="n">
        <f aca="false">I45</f>
        <v>41958</v>
      </c>
      <c r="K45" s="134" t="n">
        <f aca="false">J45</f>
        <v>41958</v>
      </c>
      <c r="L45" s="134" t="n">
        <f aca="false">K45</f>
        <v>41958</v>
      </c>
      <c r="M45" s="134" t="n">
        <f aca="false">L45</f>
        <v>41958</v>
      </c>
      <c r="N45" s="134" t="n">
        <f aca="false">M45</f>
        <v>41958</v>
      </c>
      <c r="O45" s="134" t="n">
        <f aca="false">N45</f>
        <v>41958</v>
      </c>
      <c r="P45" s="134" t="n">
        <f aca="false">O45</f>
        <v>41958</v>
      </c>
      <c r="Q45" s="134" t="n">
        <f aca="false">P45</f>
        <v>41958</v>
      </c>
    </row>
    <row r="46" customFormat="false" ht="12.75" hidden="false" customHeight="false" outlineLevel="0" collapsed="false">
      <c r="A46" s="0" t="s">
        <v>193</v>
      </c>
      <c r="C46" s="328"/>
      <c r="D46" s="282"/>
      <c r="F46" s="278" t="n">
        <v>75</v>
      </c>
      <c r="G46" s="32" t="n">
        <v>0</v>
      </c>
      <c r="H46" s="134" t="n">
        <f aca="false">G46</f>
        <v>0</v>
      </c>
      <c r="I46" s="134" t="n">
        <f aca="false">H46</f>
        <v>0</v>
      </c>
      <c r="J46" s="134" t="n">
        <f aca="false">I46</f>
        <v>0</v>
      </c>
      <c r="K46" s="134" t="n">
        <f aca="false">J46</f>
        <v>0</v>
      </c>
      <c r="L46" s="134" t="n">
        <f aca="false">K46</f>
        <v>0</v>
      </c>
      <c r="M46" s="134" t="n">
        <f aca="false">L46</f>
        <v>0</v>
      </c>
      <c r="N46" s="134" t="n">
        <f aca="false">M46</f>
        <v>0</v>
      </c>
      <c r="O46" s="134" t="n">
        <f aca="false">N46</f>
        <v>0</v>
      </c>
      <c r="P46" s="134" t="n">
        <f aca="false">O46</f>
        <v>0</v>
      </c>
      <c r="Q46" s="134" t="n">
        <f aca="false">P46</f>
        <v>0</v>
      </c>
    </row>
    <row r="47" customFormat="false" ht="12.75" hidden="false" customHeight="false" outlineLevel="0" collapsed="false">
      <c r="A47" s="0" t="s">
        <v>194</v>
      </c>
      <c r="C47" s="328"/>
      <c r="D47" s="121"/>
      <c r="E47" s="36"/>
      <c r="F47" s="346" t="n">
        <v>0</v>
      </c>
      <c r="G47" s="121" t="n">
        <v>0</v>
      </c>
      <c r="H47" s="121" t="n">
        <f aca="false">G47</f>
        <v>0</v>
      </c>
      <c r="I47" s="121" t="n">
        <f aca="false">H47</f>
        <v>0</v>
      </c>
      <c r="J47" s="121" t="n">
        <f aca="false">I47</f>
        <v>0</v>
      </c>
      <c r="K47" s="121" t="n">
        <f aca="false">J47</f>
        <v>0</v>
      </c>
      <c r="L47" s="121" t="n">
        <f aca="false">K47</f>
        <v>0</v>
      </c>
      <c r="M47" s="121" t="n">
        <f aca="false">L47</f>
        <v>0</v>
      </c>
      <c r="N47" s="121" t="n">
        <f aca="false">M47</f>
        <v>0</v>
      </c>
      <c r="O47" s="121" t="n">
        <f aca="false">N47</f>
        <v>0</v>
      </c>
      <c r="P47" s="121" t="n">
        <f aca="false">O47</f>
        <v>0</v>
      </c>
      <c r="Q47" s="121" t="n">
        <f aca="false">P47</f>
        <v>0</v>
      </c>
    </row>
    <row r="48" customFormat="false" ht="12.75" hidden="false" customHeight="false" outlineLevel="0" collapsed="false">
      <c r="A48" s="347" t="s">
        <v>195</v>
      </c>
      <c r="C48" s="328"/>
      <c r="F48" s="278"/>
      <c r="G48" s="32"/>
      <c r="H48" s="121"/>
      <c r="I48" s="134"/>
      <c r="J48" s="134"/>
      <c r="K48" s="134"/>
      <c r="L48" s="134"/>
      <c r="M48" s="134"/>
      <c r="N48" s="134"/>
      <c r="O48" s="134"/>
      <c r="P48" s="134"/>
      <c r="Q48" s="134"/>
    </row>
    <row r="49" customFormat="false" ht="12.75" hidden="false" customHeight="false" outlineLevel="0" collapsed="false">
      <c r="A49" s="0" t="s">
        <v>196</v>
      </c>
      <c r="C49" s="328"/>
      <c r="D49" s="282"/>
      <c r="F49" s="278" t="n">
        <v>-688</v>
      </c>
      <c r="G49" s="32" t="n">
        <v>0</v>
      </c>
      <c r="H49" s="121" t="n">
        <f aca="false">G49</f>
        <v>0</v>
      </c>
      <c r="I49" s="121" t="n">
        <f aca="false">H49</f>
        <v>0</v>
      </c>
      <c r="J49" s="121" t="n">
        <f aca="false">I49</f>
        <v>0</v>
      </c>
      <c r="K49" s="121" t="n">
        <f aca="false">J49</f>
        <v>0</v>
      </c>
      <c r="L49" s="121" t="n">
        <f aca="false">K49</f>
        <v>0</v>
      </c>
      <c r="M49" s="121" t="n">
        <f aca="false">L49</f>
        <v>0</v>
      </c>
      <c r="N49" s="121" t="n">
        <f aca="false">M49</f>
        <v>0</v>
      </c>
      <c r="O49" s="121" t="n">
        <f aca="false">N49</f>
        <v>0</v>
      </c>
      <c r="P49" s="121" t="n">
        <f aca="false">O49</f>
        <v>0</v>
      </c>
      <c r="Q49" s="121" t="n">
        <f aca="false">P49</f>
        <v>0</v>
      </c>
    </row>
    <row r="50" customFormat="false" ht="12.75" hidden="false" customHeight="false" outlineLevel="0" collapsed="false">
      <c r="A50" s="0" t="s">
        <v>197</v>
      </c>
      <c r="C50" s="328"/>
      <c r="D50" s="282"/>
      <c r="F50" s="278" t="n">
        <v>-29754</v>
      </c>
      <c r="G50" s="32" t="n">
        <v>-34363</v>
      </c>
      <c r="H50" s="121" t="n">
        <f aca="false">G50</f>
        <v>-34363</v>
      </c>
      <c r="I50" s="121" t="n">
        <f aca="false">H50</f>
        <v>-34363</v>
      </c>
      <c r="J50" s="121" t="n">
        <f aca="false">I50</f>
        <v>-34363</v>
      </c>
      <c r="K50" s="121" t="n">
        <f aca="false">J50</f>
        <v>-34363</v>
      </c>
      <c r="L50" s="121" t="n">
        <f aca="false">K50</f>
        <v>-34363</v>
      </c>
      <c r="M50" s="121" t="n">
        <f aca="false">L50</f>
        <v>-34363</v>
      </c>
      <c r="N50" s="121" t="n">
        <f aca="false">M50</f>
        <v>-34363</v>
      </c>
      <c r="O50" s="121" t="n">
        <f aca="false">N50</f>
        <v>-34363</v>
      </c>
      <c r="P50" s="121" t="n">
        <f aca="false">O50</f>
        <v>-34363</v>
      </c>
      <c r="Q50" s="121" t="n">
        <f aca="false">P50</f>
        <v>-34363</v>
      </c>
    </row>
    <row r="51" customFormat="false" ht="12.75" hidden="false" customHeight="false" outlineLevel="0" collapsed="false">
      <c r="A51" s="0" t="s">
        <v>198</v>
      </c>
      <c r="C51" s="328"/>
      <c r="D51" s="282"/>
      <c r="F51" s="278" t="n">
        <v>1684</v>
      </c>
      <c r="G51" s="32" t="n">
        <v>0</v>
      </c>
      <c r="H51" s="121" t="n">
        <f aca="false">G51</f>
        <v>0</v>
      </c>
      <c r="I51" s="121" t="n">
        <f aca="false">H51</f>
        <v>0</v>
      </c>
      <c r="J51" s="121" t="n">
        <f aca="false">I51</f>
        <v>0</v>
      </c>
      <c r="K51" s="121" t="n">
        <f aca="false">J51</f>
        <v>0</v>
      </c>
      <c r="L51" s="121" t="n">
        <f aca="false">K51</f>
        <v>0</v>
      </c>
      <c r="M51" s="121" t="n">
        <f aca="false">L51</f>
        <v>0</v>
      </c>
      <c r="N51" s="121" t="n">
        <f aca="false">M51</f>
        <v>0</v>
      </c>
      <c r="O51" s="121" t="n">
        <f aca="false">N51</f>
        <v>0</v>
      </c>
      <c r="P51" s="121" t="n">
        <f aca="false">O51</f>
        <v>0</v>
      </c>
      <c r="Q51" s="121" t="n">
        <f aca="false">P51</f>
        <v>0</v>
      </c>
    </row>
    <row r="52" customFormat="false" ht="15" hidden="false" customHeight="false" outlineLevel="0" collapsed="false">
      <c r="A52" s="0" t="s">
        <v>199</v>
      </c>
      <c r="C52" s="328"/>
      <c r="D52" s="329"/>
      <c r="E52" s="36"/>
      <c r="F52" s="293" t="n">
        <v>-181</v>
      </c>
      <c r="G52" s="117" t="n">
        <v>11</v>
      </c>
      <c r="H52" s="117" t="n">
        <f aca="false">G52</f>
        <v>11</v>
      </c>
      <c r="I52" s="117" t="n">
        <f aca="false">H52</f>
        <v>11</v>
      </c>
      <c r="J52" s="117" t="n">
        <f aca="false">I52</f>
        <v>11</v>
      </c>
      <c r="K52" s="117" t="n">
        <f aca="false">J52</f>
        <v>11</v>
      </c>
      <c r="L52" s="117" t="n">
        <f aca="false">K52</f>
        <v>11</v>
      </c>
      <c r="M52" s="117" t="n">
        <f aca="false">L52</f>
        <v>11</v>
      </c>
      <c r="N52" s="117" t="n">
        <f aca="false">M52</f>
        <v>11</v>
      </c>
      <c r="O52" s="117" t="n">
        <f aca="false">N52</f>
        <v>11</v>
      </c>
      <c r="P52" s="117" t="n">
        <f aca="false">O52</f>
        <v>11</v>
      </c>
      <c r="Q52" s="117" t="n">
        <f aca="false">P52</f>
        <v>11</v>
      </c>
    </row>
    <row r="53" customFormat="false" ht="12.75" hidden="false" customHeight="false" outlineLevel="0" collapsed="false">
      <c r="A53" s="190" t="s">
        <v>153</v>
      </c>
      <c r="B53" s="330" t="n">
        <v>1</v>
      </c>
      <c r="C53" s="328"/>
      <c r="D53" s="282"/>
      <c r="E53" s="283"/>
      <c r="F53" s="278" t="n">
        <f aca="false">SUM(F45:F52)*$B$53</f>
        <v>14408</v>
      </c>
      <c r="G53" s="32" t="n">
        <f aca="false">SUM(G45:G52)*$B$53+G54</f>
        <v>7606</v>
      </c>
      <c r="H53" s="32" t="n">
        <f aca="false">SUM(H45:H52)*$B$53+H54</f>
        <v>7606</v>
      </c>
      <c r="I53" s="32" t="n">
        <f aca="false">SUM(I45:I52)*$B$53+I54</f>
        <v>7606</v>
      </c>
      <c r="J53" s="32" t="n">
        <f aca="false">SUM(J45:J52)*$B$53+J54</f>
        <v>7606</v>
      </c>
      <c r="K53" s="32" t="n">
        <f aca="false">SUM(K45:K52)*$B$53+K54</f>
        <v>7606</v>
      </c>
      <c r="L53" s="32" t="n">
        <f aca="false">SUM(L45:L52)*$B$53+L54</f>
        <v>7606</v>
      </c>
      <c r="M53" s="32" t="n">
        <f aca="false">SUM(M45:M52)*$B$53+M54</f>
        <v>7606</v>
      </c>
      <c r="N53" s="32" t="n">
        <f aca="false">SUM(N45:N52)*$B$53+N54</f>
        <v>7606</v>
      </c>
      <c r="O53" s="32" t="n">
        <f aca="false">SUM(O45:O52)*$B$53+O54</f>
        <v>7606</v>
      </c>
      <c r="P53" s="32" t="n">
        <f aca="false">SUM(P45:P52)*$B$53+P54</f>
        <v>7606</v>
      </c>
      <c r="Q53" s="32" t="n">
        <f aca="false">SUM(Q45:Q52)*$B$53+Q54</f>
        <v>7606</v>
      </c>
    </row>
    <row r="54" customFormat="false" ht="12.75" hidden="false" customHeight="false" outlineLevel="0" collapsed="false">
      <c r="C54" s="328"/>
      <c r="F54" s="284" t="s">
        <v>182</v>
      </c>
      <c r="G54" s="32" t="n">
        <v>0</v>
      </c>
      <c r="H54" s="32" t="n">
        <v>0</v>
      </c>
      <c r="I54" s="32" t="n">
        <f aca="false">H54</f>
        <v>0</v>
      </c>
      <c r="J54" s="32" t="n">
        <f aca="false">I54</f>
        <v>0</v>
      </c>
      <c r="K54" s="32" t="n">
        <f aca="false">J54</f>
        <v>0</v>
      </c>
      <c r="L54" s="32" t="n">
        <f aca="false">K54</f>
        <v>0</v>
      </c>
      <c r="M54" s="32" t="n">
        <f aca="false">L54</f>
        <v>0</v>
      </c>
      <c r="N54" s="32" t="n">
        <f aca="false">M54</f>
        <v>0</v>
      </c>
      <c r="O54" s="32" t="n">
        <f aca="false">N54</f>
        <v>0</v>
      </c>
      <c r="P54" s="32" t="n">
        <f aca="false">O54</f>
        <v>0</v>
      </c>
      <c r="Q54" s="32" t="n">
        <f aca="false">P54</f>
        <v>0</v>
      </c>
    </row>
    <row r="55" customFormat="false" ht="12.75" hidden="false" customHeight="false" outlineLevel="0" collapsed="false">
      <c r="C55" s="328"/>
      <c r="F55" s="124"/>
    </row>
    <row r="56" customFormat="false" ht="12.75" hidden="false" customHeight="false" outlineLevel="0" collapsed="false">
      <c r="A56" s="0" t="str">
        <f aca="false">Assumptions!B51</f>
        <v>2. Optimistic</v>
      </c>
      <c r="B56" s="330" t="n">
        <v>1.1</v>
      </c>
      <c r="C56" s="328" t="n">
        <v>2</v>
      </c>
      <c r="D56" s="282"/>
      <c r="F56" s="278" t="n">
        <f aca="false">F53</f>
        <v>14408</v>
      </c>
      <c r="G56" s="134" t="n">
        <f aca="false">F56*$B$56+G57</f>
        <v>15848.8</v>
      </c>
      <c r="H56" s="134" t="n">
        <f aca="false">G56*$B$56+H57</f>
        <v>17433.68</v>
      </c>
      <c r="I56" s="134" t="n">
        <f aca="false">H56*$B$56+I57</f>
        <v>19177.048</v>
      </c>
      <c r="J56" s="134" t="n">
        <f aca="false">I56*$B$56+J57</f>
        <v>21094.7528</v>
      </c>
      <c r="K56" s="134" t="n">
        <f aca="false">J56*$B$56+K57</f>
        <v>23204.22808</v>
      </c>
      <c r="L56" s="134" t="n">
        <f aca="false">K56*$B$56+L57</f>
        <v>25524.650888</v>
      </c>
      <c r="M56" s="134" t="n">
        <f aca="false">L56*$B$56+M57</f>
        <v>28077.1159768</v>
      </c>
      <c r="N56" s="134" t="n">
        <f aca="false">M56*$B$56+N57</f>
        <v>30884.82757448</v>
      </c>
      <c r="O56" s="134" t="n">
        <f aca="false">N56*$B$56+O57</f>
        <v>33973.310331928</v>
      </c>
      <c r="P56" s="134" t="n">
        <f aca="false">O56*$B$56+P57</f>
        <v>37370.6413651208</v>
      </c>
      <c r="Q56" s="134" t="n">
        <f aca="false">P56*$B$56+Q57</f>
        <v>41107.7055016329</v>
      </c>
    </row>
    <row r="57" customFormat="false" ht="12.75" hidden="false" customHeight="false" outlineLevel="0" collapsed="false">
      <c r="C57" s="328"/>
      <c r="F57" s="284" t="s">
        <v>182</v>
      </c>
      <c r="G57" s="32" t="n">
        <v>0</v>
      </c>
      <c r="H57" s="32" t="n">
        <v>0</v>
      </c>
      <c r="I57" s="32" t="n">
        <f aca="false">H57</f>
        <v>0</v>
      </c>
      <c r="J57" s="32" t="n">
        <f aca="false">I57</f>
        <v>0</v>
      </c>
      <c r="K57" s="32" t="n">
        <f aca="false">J57</f>
        <v>0</v>
      </c>
      <c r="L57" s="32" t="n">
        <f aca="false">K57</f>
        <v>0</v>
      </c>
      <c r="M57" s="32" t="n">
        <f aca="false">L57</f>
        <v>0</v>
      </c>
      <c r="N57" s="32" t="n">
        <f aca="false">M57</f>
        <v>0</v>
      </c>
      <c r="O57" s="32" t="n">
        <f aca="false">N57</f>
        <v>0</v>
      </c>
      <c r="P57" s="32" t="n">
        <f aca="false">O57</f>
        <v>0</v>
      </c>
      <c r="Q57" s="32" t="n">
        <f aca="false">P57</f>
        <v>0</v>
      </c>
    </row>
    <row r="58" customFormat="false" ht="12.75" hidden="false" customHeight="false" outlineLevel="0" collapsed="false">
      <c r="C58" s="328"/>
      <c r="F58" s="124"/>
    </row>
    <row r="59" customFormat="false" ht="12.75" hidden="false" customHeight="false" outlineLevel="0" collapsed="false">
      <c r="A59" s="0" t="str">
        <f aca="false">Assumptions!B52</f>
        <v>3. Pessimistic</v>
      </c>
      <c r="B59" s="330" t="n">
        <v>1.03</v>
      </c>
      <c r="C59" s="328" t="n">
        <v>3</v>
      </c>
      <c r="D59" s="282"/>
      <c r="F59" s="278" t="n">
        <f aca="false">F53</f>
        <v>14408</v>
      </c>
      <c r="G59" s="134" t="n">
        <f aca="false">G53</f>
        <v>7606</v>
      </c>
      <c r="H59" s="134" t="n">
        <f aca="false">H53</f>
        <v>7606</v>
      </c>
      <c r="I59" s="134" t="n">
        <f aca="false">H59*$B$59+I60</f>
        <v>7834.18</v>
      </c>
      <c r="J59" s="134" t="n">
        <f aca="false">I59*$B$59+J60</f>
        <v>8069.2054</v>
      </c>
      <c r="K59" s="134" t="n">
        <f aca="false">J59*$B$59+K60</f>
        <v>8311.281562</v>
      </c>
      <c r="L59" s="134" t="n">
        <f aca="false">K59*$B$59+L60</f>
        <v>8560.62000886</v>
      </c>
      <c r="M59" s="134" t="n">
        <f aca="false">L59*$B$59+M60</f>
        <v>8817.4386091258</v>
      </c>
      <c r="N59" s="134" t="n">
        <f aca="false">M59*$B$59+N60</f>
        <v>9081.96176739957</v>
      </c>
      <c r="O59" s="134" t="n">
        <f aca="false">N59*$B$59+O60</f>
        <v>9354.42062042156</v>
      </c>
      <c r="P59" s="134" t="n">
        <f aca="false">O59*$B$59+P60</f>
        <v>9635.05323903421</v>
      </c>
      <c r="Q59" s="134" t="n">
        <f aca="false">P59*$B$59+Q60</f>
        <v>9924.10483620524</v>
      </c>
    </row>
    <row r="60" customFormat="false" ht="13.5" hidden="false" customHeight="false" outlineLevel="0" collapsed="false">
      <c r="C60" s="331"/>
      <c r="F60" s="284" t="s">
        <v>182</v>
      </c>
      <c r="G60" s="32" t="n">
        <v>0</v>
      </c>
      <c r="H60" s="32" t="n">
        <v>0</v>
      </c>
      <c r="I60" s="32" t="n">
        <f aca="false">H60</f>
        <v>0</v>
      </c>
      <c r="J60" s="32" t="n">
        <f aca="false">I60</f>
        <v>0</v>
      </c>
      <c r="K60" s="32" t="n">
        <f aca="false">J60</f>
        <v>0</v>
      </c>
      <c r="L60" s="32" t="n">
        <f aca="false">K60</f>
        <v>0</v>
      </c>
      <c r="M60" s="32" t="n">
        <f aca="false">L60</f>
        <v>0</v>
      </c>
      <c r="N60" s="32" t="n">
        <f aca="false">M60</f>
        <v>0</v>
      </c>
      <c r="O60" s="32" t="n">
        <f aca="false">N60</f>
        <v>0</v>
      </c>
      <c r="P60" s="32" t="n">
        <f aca="false">O60</f>
        <v>0</v>
      </c>
      <c r="Q60" s="32" t="n">
        <f aca="false">P60</f>
        <v>0</v>
      </c>
    </row>
    <row r="63" customFormat="false" ht="13.5" hidden="false" customHeight="false" outlineLevel="0" collapsed="false">
      <c r="A63" s="13" t="s">
        <v>184</v>
      </c>
    </row>
    <row r="64" customFormat="false" ht="13.5" hidden="false" customHeight="false" outlineLevel="0" collapsed="false">
      <c r="B64" s="320" t="s">
        <v>180</v>
      </c>
      <c r="C64" s="321" t="s">
        <v>181</v>
      </c>
      <c r="F64" s="322" t="n">
        <f aca="false">G64-1</f>
        <v>2000</v>
      </c>
      <c r="G64" s="13" t="n">
        <f aca="false">Assumptions!D12</f>
        <v>2001</v>
      </c>
      <c r="H64" s="13" t="n">
        <f aca="false">G64+1</f>
        <v>2002</v>
      </c>
      <c r="I64" s="13" t="n">
        <f aca="false">H64+1</f>
        <v>2003</v>
      </c>
      <c r="J64" s="13" t="n">
        <f aca="false">I64+1</f>
        <v>2004</v>
      </c>
      <c r="K64" s="13" t="n">
        <f aca="false">J64+1</f>
        <v>2005</v>
      </c>
      <c r="L64" s="13" t="n">
        <f aca="false">K64+1</f>
        <v>2006</v>
      </c>
      <c r="M64" s="13" t="n">
        <f aca="false">L64+1</f>
        <v>2007</v>
      </c>
      <c r="N64" s="13" t="n">
        <f aca="false">M64+1</f>
        <v>2008</v>
      </c>
      <c r="O64" s="13" t="n">
        <f aca="false">N64+1</f>
        <v>2009</v>
      </c>
      <c r="P64" s="13" t="n">
        <f aca="false">O64+1</f>
        <v>2010</v>
      </c>
      <c r="Q64" s="13" t="n">
        <f aca="false">P64+1</f>
        <v>2011</v>
      </c>
    </row>
    <row r="65" customFormat="false" ht="13.5" hidden="false" customHeight="false" outlineLevel="0" collapsed="false">
      <c r="A65" s="323" t="str">
        <f aca="false">A2</f>
        <v>  Asset 2-Cash Flow Analysis</v>
      </c>
      <c r="B65" s="324" t="n">
        <f aca="false">Assumptions!C41</f>
        <v>1</v>
      </c>
      <c r="C65" s="332" t="n">
        <v>1</v>
      </c>
      <c r="D65" s="115"/>
      <c r="E65" s="326"/>
      <c r="F65" s="333" t="n">
        <f aca="false">F86*$B$65</f>
        <v>16926</v>
      </c>
      <c r="G65" s="116" t="n">
        <f aca="false">CHOOSE($C$65,G86,G89,G92)*$B$65+G66</f>
        <v>18832</v>
      </c>
      <c r="H65" s="116" t="n">
        <f aca="false">CHOOSE($C$65,H86,H89,H92)*$B$65+H66</f>
        <v>18832</v>
      </c>
      <c r="I65" s="116" t="n">
        <f aca="false">CHOOSE($C$65,I86,I89,I92)*$B$65+I66</f>
        <v>18832</v>
      </c>
      <c r="J65" s="116" t="n">
        <f aca="false">CHOOSE($C$65,J86,J89,J92)*$B$65+J66</f>
        <v>18832</v>
      </c>
      <c r="K65" s="116" t="n">
        <f aca="false">CHOOSE($C$65,K86,K89,K92)*$B$65+K66</f>
        <v>18832</v>
      </c>
      <c r="L65" s="116" t="n">
        <f aca="false">CHOOSE($C$65,L86,L89,L92)*$B$65+L66</f>
        <v>18832</v>
      </c>
      <c r="M65" s="116" t="n">
        <f aca="false">CHOOSE($C$65,M86,M89,M92)*$B$65+M66</f>
        <v>18832</v>
      </c>
      <c r="N65" s="116" t="n">
        <f aca="false">CHOOSE($C$65,N86,N89,N92)*$B$65+N66</f>
        <v>18832</v>
      </c>
      <c r="O65" s="116" t="n">
        <f aca="false">CHOOSE($C$65,O86,O89,O92)*$B$65+O66</f>
        <v>18832</v>
      </c>
      <c r="P65" s="116" t="n">
        <f aca="false">CHOOSE($C$65,P86,P89,P92)*$B$65+P66</f>
        <v>18832</v>
      </c>
      <c r="Q65" s="118" t="n">
        <f aca="false">CHOOSE($C$65,Q86,Q89,Q92)*$B$65+Q66</f>
        <v>18832</v>
      </c>
    </row>
    <row r="66" customFormat="false" ht="12.75" hidden="false" customHeight="false" outlineLevel="0" collapsed="false">
      <c r="C66" s="334"/>
      <c r="F66" s="284" t="s">
        <v>182</v>
      </c>
      <c r="G66" s="32" t="n">
        <v>0</v>
      </c>
      <c r="H66" s="32" t="n">
        <v>0</v>
      </c>
      <c r="I66" s="32" t="n">
        <v>0</v>
      </c>
      <c r="J66" s="32" t="n">
        <v>0</v>
      </c>
      <c r="K66" s="32" t="n">
        <v>0</v>
      </c>
      <c r="L66" s="32" t="n">
        <v>0</v>
      </c>
      <c r="M66" s="32" t="n">
        <v>0</v>
      </c>
      <c r="N66" s="32" t="n">
        <v>0</v>
      </c>
      <c r="O66" s="32" t="n">
        <v>0</v>
      </c>
      <c r="P66" s="32" t="n">
        <v>0</v>
      </c>
      <c r="Q66" s="32" t="n">
        <v>0</v>
      </c>
    </row>
    <row r="67" customFormat="false" ht="12.75" hidden="false" customHeight="false" outlineLevel="0" collapsed="false">
      <c r="C67" s="335"/>
      <c r="D67" s="279"/>
      <c r="E67" s="285"/>
    </row>
    <row r="68" customFormat="false" ht="12.75" hidden="false" customHeight="false" outlineLevel="0" collapsed="false">
      <c r="A68" s="0" t="str">
        <f aca="false">Assumptions!B56</f>
        <v>1. Base Case</v>
      </c>
      <c r="C68" s="335"/>
    </row>
    <row r="69" customFormat="false" ht="12.75" hidden="false" customHeight="false" outlineLevel="0" collapsed="false">
      <c r="C69" s="335"/>
    </row>
    <row r="70" customFormat="false" ht="12.75" hidden="false" customHeight="false" outlineLevel="0" collapsed="false">
      <c r="A70" s="347" t="s">
        <v>200</v>
      </c>
      <c r="C70" s="335"/>
    </row>
    <row r="71" customFormat="false" ht="12.75" hidden="false" customHeight="false" outlineLevel="0" collapsed="false">
      <c r="A71" s="0" t="s">
        <v>201</v>
      </c>
      <c r="C71" s="335"/>
      <c r="D71" s="282"/>
      <c r="E71" s="26"/>
      <c r="F71" s="278" t="n">
        <v>4341</v>
      </c>
      <c r="G71" s="32" t="n">
        <v>5039</v>
      </c>
      <c r="H71" s="32" t="n">
        <f aca="false">G71</f>
        <v>5039</v>
      </c>
      <c r="I71" s="32" t="n">
        <f aca="false">H71</f>
        <v>5039</v>
      </c>
      <c r="J71" s="32" t="n">
        <f aca="false">I71</f>
        <v>5039</v>
      </c>
      <c r="K71" s="32" t="n">
        <f aca="false">J71</f>
        <v>5039</v>
      </c>
      <c r="L71" s="32" t="n">
        <f aca="false">K71</f>
        <v>5039</v>
      </c>
      <c r="M71" s="32" t="n">
        <f aca="false">L71</f>
        <v>5039</v>
      </c>
      <c r="N71" s="32" t="n">
        <f aca="false">M71</f>
        <v>5039</v>
      </c>
      <c r="O71" s="32" t="n">
        <f aca="false">N71</f>
        <v>5039</v>
      </c>
      <c r="P71" s="32" t="n">
        <f aca="false">O71</f>
        <v>5039</v>
      </c>
      <c r="Q71" s="32" t="n">
        <f aca="false">P71</f>
        <v>5039</v>
      </c>
    </row>
    <row r="72" customFormat="false" ht="12.75" hidden="false" customHeight="false" outlineLevel="0" collapsed="false">
      <c r="A72" s="0" t="s">
        <v>202</v>
      </c>
      <c r="C72" s="335"/>
      <c r="D72" s="282"/>
      <c r="E72" s="26"/>
      <c r="F72" s="278" t="n">
        <v>218</v>
      </c>
      <c r="G72" s="32" t="n">
        <v>322</v>
      </c>
      <c r="H72" s="32" t="n">
        <f aca="false">G72</f>
        <v>322</v>
      </c>
      <c r="I72" s="32" t="n">
        <f aca="false">H72</f>
        <v>322</v>
      </c>
      <c r="J72" s="32" t="n">
        <f aca="false">I72</f>
        <v>322</v>
      </c>
      <c r="K72" s="32" t="n">
        <f aca="false">J72</f>
        <v>322</v>
      </c>
      <c r="L72" s="32" t="n">
        <f aca="false">K72</f>
        <v>322</v>
      </c>
      <c r="M72" s="32" t="n">
        <f aca="false">L72</f>
        <v>322</v>
      </c>
      <c r="N72" s="32" t="n">
        <f aca="false">M72</f>
        <v>322</v>
      </c>
      <c r="O72" s="32" t="n">
        <f aca="false">N72</f>
        <v>322</v>
      </c>
      <c r="P72" s="32" t="n">
        <f aca="false">O72</f>
        <v>322</v>
      </c>
      <c r="Q72" s="32" t="n">
        <f aca="false">P72</f>
        <v>322</v>
      </c>
    </row>
    <row r="73" customFormat="false" ht="12.75" hidden="false" customHeight="false" outlineLevel="0" collapsed="false">
      <c r="A73" s="0" t="s">
        <v>203</v>
      </c>
      <c r="C73" s="335"/>
      <c r="D73" s="282"/>
      <c r="E73" s="26"/>
      <c r="F73" s="278" t="n">
        <v>209</v>
      </c>
      <c r="G73" s="32" t="n">
        <v>235</v>
      </c>
      <c r="H73" s="32" t="n">
        <f aca="false">G73</f>
        <v>235</v>
      </c>
      <c r="I73" s="32" t="n">
        <f aca="false">H73</f>
        <v>235</v>
      </c>
      <c r="J73" s="32" t="n">
        <f aca="false">I73</f>
        <v>235</v>
      </c>
      <c r="K73" s="32" t="n">
        <f aca="false">J73</f>
        <v>235</v>
      </c>
      <c r="L73" s="32" t="n">
        <f aca="false">K73</f>
        <v>235</v>
      </c>
      <c r="M73" s="32" t="n">
        <f aca="false">L73</f>
        <v>235</v>
      </c>
      <c r="N73" s="32" t="n">
        <f aca="false">M73</f>
        <v>235</v>
      </c>
      <c r="O73" s="32" t="n">
        <f aca="false">N73</f>
        <v>235</v>
      </c>
      <c r="P73" s="32" t="n">
        <f aca="false">O73</f>
        <v>235</v>
      </c>
      <c r="Q73" s="32" t="n">
        <f aca="false">P73</f>
        <v>235</v>
      </c>
    </row>
    <row r="74" customFormat="false" ht="12.75" hidden="false" customHeight="false" outlineLevel="0" collapsed="false">
      <c r="A74" s="0" t="s">
        <v>204</v>
      </c>
      <c r="C74" s="335"/>
      <c r="D74" s="282"/>
      <c r="E74" s="26"/>
      <c r="F74" s="278" t="n">
        <v>2532</v>
      </c>
      <c r="G74" s="32" t="n">
        <v>3012</v>
      </c>
      <c r="H74" s="32" t="n">
        <f aca="false">G74</f>
        <v>3012</v>
      </c>
      <c r="I74" s="32" t="n">
        <f aca="false">H74</f>
        <v>3012</v>
      </c>
      <c r="J74" s="32" t="n">
        <f aca="false">I74</f>
        <v>3012</v>
      </c>
      <c r="K74" s="32" t="n">
        <f aca="false">J74</f>
        <v>3012</v>
      </c>
      <c r="L74" s="32" t="n">
        <f aca="false">K74</f>
        <v>3012</v>
      </c>
      <c r="M74" s="32" t="n">
        <f aca="false">L74</f>
        <v>3012</v>
      </c>
      <c r="N74" s="32" t="n">
        <f aca="false">M74</f>
        <v>3012</v>
      </c>
      <c r="O74" s="32" t="n">
        <f aca="false">N74</f>
        <v>3012</v>
      </c>
      <c r="P74" s="32" t="n">
        <f aca="false">O74</f>
        <v>3012</v>
      </c>
      <c r="Q74" s="32" t="n">
        <f aca="false">P74</f>
        <v>3012</v>
      </c>
    </row>
    <row r="75" customFormat="false" ht="12.75" hidden="false" customHeight="false" outlineLevel="0" collapsed="false">
      <c r="A75" s="0" t="s">
        <v>205</v>
      </c>
      <c r="C75" s="335"/>
      <c r="D75" s="282"/>
      <c r="E75" s="26"/>
      <c r="F75" s="278" t="n">
        <v>929</v>
      </c>
      <c r="G75" s="32" t="n">
        <v>777</v>
      </c>
      <c r="H75" s="32" t="n">
        <f aca="false">G75</f>
        <v>777</v>
      </c>
      <c r="I75" s="32" t="n">
        <f aca="false">H75</f>
        <v>777</v>
      </c>
      <c r="J75" s="32" t="n">
        <f aca="false">I75</f>
        <v>777</v>
      </c>
      <c r="K75" s="32" t="n">
        <f aca="false">J75</f>
        <v>777</v>
      </c>
      <c r="L75" s="32" t="n">
        <f aca="false">K75</f>
        <v>777</v>
      </c>
      <c r="M75" s="32" t="n">
        <f aca="false">L75</f>
        <v>777</v>
      </c>
      <c r="N75" s="32" t="n">
        <f aca="false">M75</f>
        <v>777</v>
      </c>
      <c r="O75" s="32" t="n">
        <f aca="false">N75</f>
        <v>777</v>
      </c>
      <c r="P75" s="32" t="n">
        <f aca="false">O75</f>
        <v>777</v>
      </c>
      <c r="Q75" s="32" t="n">
        <f aca="false">P75</f>
        <v>777</v>
      </c>
    </row>
    <row r="76" customFormat="false" ht="12.75" hidden="false" customHeight="false" outlineLevel="0" collapsed="false">
      <c r="A76" s="0" t="s">
        <v>206</v>
      </c>
      <c r="C76" s="335"/>
      <c r="D76" s="282"/>
      <c r="E76" s="26"/>
      <c r="F76" s="278" t="n">
        <v>-2794</v>
      </c>
      <c r="G76" s="32" t="n">
        <v>-2629</v>
      </c>
      <c r="H76" s="32" t="n">
        <f aca="false">G76</f>
        <v>-2629</v>
      </c>
      <c r="I76" s="32" t="n">
        <f aca="false">H76</f>
        <v>-2629</v>
      </c>
      <c r="J76" s="32" t="n">
        <f aca="false">I76</f>
        <v>-2629</v>
      </c>
      <c r="K76" s="32" t="n">
        <f aca="false">J76</f>
        <v>-2629</v>
      </c>
      <c r="L76" s="32" t="n">
        <f aca="false">K76</f>
        <v>-2629</v>
      </c>
      <c r="M76" s="32" t="n">
        <f aca="false">L76</f>
        <v>-2629</v>
      </c>
      <c r="N76" s="32" t="n">
        <f aca="false">M76</f>
        <v>-2629</v>
      </c>
      <c r="O76" s="32" t="n">
        <f aca="false">N76</f>
        <v>-2629</v>
      </c>
      <c r="P76" s="32" t="n">
        <f aca="false">O76</f>
        <v>-2629</v>
      </c>
      <c r="Q76" s="32" t="n">
        <f aca="false">P76</f>
        <v>-2629</v>
      </c>
    </row>
    <row r="77" customFormat="false" ht="12.75" hidden="false" customHeight="false" outlineLevel="0" collapsed="false">
      <c r="A77" s="0" t="s">
        <v>207</v>
      </c>
      <c r="C77" s="335"/>
      <c r="D77" s="282"/>
      <c r="E77" s="26"/>
      <c r="F77" s="278" t="n">
        <v>96</v>
      </c>
      <c r="G77" s="32" t="n">
        <v>97</v>
      </c>
      <c r="H77" s="32" t="n">
        <f aca="false">G77</f>
        <v>97</v>
      </c>
      <c r="I77" s="32" t="n">
        <f aca="false">H77</f>
        <v>97</v>
      </c>
      <c r="J77" s="32" t="n">
        <f aca="false">I77</f>
        <v>97</v>
      </c>
      <c r="K77" s="32" t="n">
        <f aca="false">J77</f>
        <v>97</v>
      </c>
      <c r="L77" s="32" t="n">
        <f aca="false">K77</f>
        <v>97</v>
      </c>
      <c r="M77" s="32" t="n">
        <f aca="false">L77</f>
        <v>97</v>
      </c>
      <c r="N77" s="32" t="n">
        <f aca="false">M77</f>
        <v>97</v>
      </c>
      <c r="O77" s="32" t="n">
        <f aca="false">N77</f>
        <v>97</v>
      </c>
      <c r="P77" s="32" t="n">
        <f aca="false">O77</f>
        <v>97</v>
      </c>
      <c r="Q77" s="32" t="n">
        <f aca="false">P77</f>
        <v>97</v>
      </c>
    </row>
    <row r="78" customFormat="false" ht="12.75" hidden="false" customHeight="false" outlineLevel="0" collapsed="false">
      <c r="A78" s="0" t="s">
        <v>208</v>
      </c>
      <c r="C78" s="335"/>
      <c r="D78" s="282"/>
      <c r="E78" s="26"/>
      <c r="F78" s="278" t="n">
        <v>185</v>
      </c>
      <c r="G78" s="32" t="n">
        <v>213</v>
      </c>
      <c r="H78" s="32" t="n">
        <f aca="false">G78</f>
        <v>213</v>
      </c>
      <c r="I78" s="32" t="n">
        <f aca="false">H78</f>
        <v>213</v>
      </c>
      <c r="J78" s="32" t="n">
        <f aca="false">I78</f>
        <v>213</v>
      </c>
      <c r="K78" s="32" t="n">
        <f aca="false">J78</f>
        <v>213</v>
      </c>
      <c r="L78" s="32" t="n">
        <f aca="false">K78</f>
        <v>213</v>
      </c>
      <c r="M78" s="32" t="n">
        <f aca="false">L78</f>
        <v>213</v>
      </c>
      <c r="N78" s="32" t="n">
        <f aca="false">M78</f>
        <v>213</v>
      </c>
      <c r="O78" s="32" t="n">
        <f aca="false">N78</f>
        <v>213</v>
      </c>
      <c r="P78" s="32" t="n">
        <f aca="false">O78</f>
        <v>213</v>
      </c>
      <c r="Q78" s="32" t="n">
        <f aca="false">P78</f>
        <v>213</v>
      </c>
    </row>
    <row r="79" customFormat="false" ht="12.75" hidden="false" customHeight="false" outlineLevel="0" collapsed="false">
      <c r="A79" s="0" t="s">
        <v>209</v>
      </c>
      <c r="C79" s="335"/>
      <c r="D79" s="282"/>
      <c r="E79" s="26"/>
      <c r="F79" s="278" t="n">
        <v>71</v>
      </c>
      <c r="G79" s="32" t="n">
        <v>74</v>
      </c>
      <c r="H79" s="32" t="n">
        <f aca="false">G79</f>
        <v>74</v>
      </c>
      <c r="I79" s="32" t="n">
        <f aca="false">H79</f>
        <v>74</v>
      </c>
      <c r="J79" s="32" t="n">
        <f aca="false">I79</f>
        <v>74</v>
      </c>
      <c r="K79" s="32" t="n">
        <f aca="false">J79</f>
        <v>74</v>
      </c>
      <c r="L79" s="32" t="n">
        <f aca="false">K79</f>
        <v>74</v>
      </c>
      <c r="M79" s="32" t="n">
        <f aca="false">L79</f>
        <v>74</v>
      </c>
      <c r="N79" s="32" t="n">
        <f aca="false">M79</f>
        <v>74</v>
      </c>
      <c r="O79" s="32" t="n">
        <f aca="false">N79</f>
        <v>74</v>
      </c>
      <c r="P79" s="32" t="n">
        <f aca="false">O79</f>
        <v>74</v>
      </c>
      <c r="Q79" s="32" t="n">
        <f aca="false">P79</f>
        <v>74</v>
      </c>
    </row>
    <row r="80" customFormat="false" ht="12.75" hidden="false" customHeight="false" outlineLevel="0" collapsed="false">
      <c r="A80" s="347" t="s">
        <v>210</v>
      </c>
      <c r="C80" s="335"/>
      <c r="D80" s="282"/>
      <c r="E80" s="26"/>
      <c r="F80" s="278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customFormat="false" ht="12.75" hidden="false" customHeight="false" outlineLevel="0" collapsed="false">
      <c r="A81" s="0" t="s">
        <v>211</v>
      </c>
      <c r="C81" s="335"/>
      <c r="D81" s="282"/>
      <c r="E81" s="26"/>
      <c r="F81" s="278" t="n">
        <v>5244</v>
      </c>
      <c r="G81" s="32" t="n">
        <v>5241</v>
      </c>
      <c r="H81" s="32" t="n">
        <f aca="false">G81</f>
        <v>5241</v>
      </c>
      <c r="I81" s="32" t="n">
        <f aca="false">H81</f>
        <v>5241</v>
      </c>
      <c r="J81" s="32" t="n">
        <f aca="false">I81</f>
        <v>5241</v>
      </c>
      <c r="K81" s="32" t="n">
        <f aca="false">J81</f>
        <v>5241</v>
      </c>
      <c r="L81" s="32" t="n">
        <f aca="false">K81</f>
        <v>5241</v>
      </c>
      <c r="M81" s="32" t="n">
        <f aca="false">L81</f>
        <v>5241</v>
      </c>
      <c r="N81" s="32" t="n">
        <f aca="false">M81</f>
        <v>5241</v>
      </c>
      <c r="O81" s="32" t="n">
        <f aca="false">N81</f>
        <v>5241</v>
      </c>
      <c r="P81" s="32" t="n">
        <f aca="false">O81</f>
        <v>5241</v>
      </c>
      <c r="Q81" s="32" t="n">
        <f aca="false">P81</f>
        <v>5241</v>
      </c>
    </row>
    <row r="82" customFormat="false" ht="12.75" hidden="false" customHeight="false" outlineLevel="0" collapsed="false">
      <c r="A82" s="0" t="s">
        <v>212</v>
      </c>
      <c r="C82" s="335"/>
      <c r="D82" s="282"/>
      <c r="E82" s="26"/>
      <c r="F82" s="278" t="n">
        <v>3287</v>
      </c>
      <c r="G82" s="32" t="n">
        <v>3686</v>
      </c>
      <c r="H82" s="32" t="n">
        <f aca="false">G82</f>
        <v>3686</v>
      </c>
      <c r="I82" s="32" t="n">
        <f aca="false">H82</f>
        <v>3686</v>
      </c>
      <c r="J82" s="32" t="n">
        <f aca="false">I82</f>
        <v>3686</v>
      </c>
      <c r="K82" s="32" t="n">
        <f aca="false">J82</f>
        <v>3686</v>
      </c>
      <c r="L82" s="32" t="n">
        <f aca="false">K82</f>
        <v>3686</v>
      </c>
      <c r="M82" s="32" t="n">
        <f aca="false">L82</f>
        <v>3686</v>
      </c>
      <c r="N82" s="32" t="n">
        <f aca="false">M82</f>
        <v>3686</v>
      </c>
      <c r="O82" s="32" t="n">
        <f aca="false">N82</f>
        <v>3686</v>
      </c>
      <c r="P82" s="32" t="n">
        <f aca="false">O82</f>
        <v>3686</v>
      </c>
      <c r="Q82" s="32" t="n">
        <f aca="false">P82</f>
        <v>3686</v>
      </c>
    </row>
    <row r="83" customFormat="false" ht="12.75" hidden="false" customHeight="false" outlineLevel="0" collapsed="false">
      <c r="A83" s="0" t="s">
        <v>213</v>
      </c>
      <c r="C83" s="335"/>
      <c r="D83" s="282"/>
      <c r="E83" s="26"/>
      <c r="F83" s="278" t="n">
        <v>1577</v>
      </c>
      <c r="G83" s="32" t="n">
        <v>1795</v>
      </c>
      <c r="H83" s="32" t="n">
        <f aca="false">G83</f>
        <v>1795</v>
      </c>
      <c r="I83" s="32" t="n">
        <f aca="false">H83</f>
        <v>1795</v>
      </c>
      <c r="J83" s="32" t="n">
        <f aca="false">I83</f>
        <v>1795</v>
      </c>
      <c r="K83" s="32" t="n">
        <f aca="false">J83</f>
        <v>1795</v>
      </c>
      <c r="L83" s="32" t="n">
        <f aca="false">K83</f>
        <v>1795</v>
      </c>
      <c r="M83" s="32" t="n">
        <f aca="false">L83</f>
        <v>1795</v>
      </c>
      <c r="N83" s="32" t="n">
        <f aca="false">M83</f>
        <v>1795</v>
      </c>
      <c r="O83" s="32" t="n">
        <f aca="false">N83</f>
        <v>1795</v>
      </c>
      <c r="P83" s="32" t="n">
        <f aca="false">O83</f>
        <v>1795</v>
      </c>
      <c r="Q83" s="32" t="n">
        <f aca="false">P83</f>
        <v>1795</v>
      </c>
    </row>
    <row r="84" customFormat="false" ht="12.75" hidden="false" customHeight="false" outlineLevel="0" collapsed="false">
      <c r="A84" s="0" t="s">
        <v>214</v>
      </c>
      <c r="C84" s="335"/>
      <c r="D84" s="282"/>
      <c r="E84" s="26"/>
      <c r="F84" s="278" t="n">
        <v>1031</v>
      </c>
      <c r="G84" s="32" t="n">
        <v>970</v>
      </c>
      <c r="H84" s="32" t="n">
        <f aca="false">G84</f>
        <v>970</v>
      </c>
      <c r="I84" s="32" t="n">
        <f aca="false">H84</f>
        <v>970</v>
      </c>
      <c r="J84" s="32" t="n">
        <f aca="false">I84</f>
        <v>970</v>
      </c>
      <c r="K84" s="32" t="n">
        <f aca="false">J84</f>
        <v>970</v>
      </c>
      <c r="L84" s="32" t="n">
        <f aca="false">K84</f>
        <v>970</v>
      </c>
      <c r="M84" s="32" t="n">
        <f aca="false">L84</f>
        <v>970</v>
      </c>
      <c r="N84" s="32" t="n">
        <f aca="false">M84</f>
        <v>970</v>
      </c>
      <c r="O84" s="32" t="n">
        <f aca="false">N84</f>
        <v>970</v>
      </c>
      <c r="P84" s="32" t="n">
        <f aca="false">O84</f>
        <v>970</v>
      </c>
      <c r="Q84" s="32" t="n">
        <f aca="false">P84</f>
        <v>970</v>
      </c>
    </row>
    <row r="85" customFormat="false" ht="15" hidden="false" customHeight="false" outlineLevel="0" collapsed="false">
      <c r="A85" s="0" t="s">
        <v>215</v>
      </c>
      <c r="C85" s="335"/>
      <c r="D85" s="282"/>
      <c r="E85" s="26"/>
      <c r="F85" s="293" t="n">
        <v>0</v>
      </c>
      <c r="G85" s="117" t="n">
        <v>0</v>
      </c>
      <c r="H85" s="336" t="n">
        <f aca="false">G85</f>
        <v>0</v>
      </c>
      <c r="I85" s="336" t="n">
        <f aca="false">H85</f>
        <v>0</v>
      </c>
      <c r="J85" s="336" t="n">
        <f aca="false">I85</f>
        <v>0</v>
      </c>
      <c r="K85" s="336" t="n">
        <f aca="false">J85</f>
        <v>0</v>
      </c>
      <c r="L85" s="336" t="n">
        <f aca="false">K85</f>
        <v>0</v>
      </c>
      <c r="M85" s="336" t="n">
        <f aca="false">L85</f>
        <v>0</v>
      </c>
      <c r="N85" s="336" t="n">
        <f aca="false">M85</f>
        <v>0</v>
      </c>
      <c r="O85" s="336" t="n">
        <f aca="false">N85</f>
        <v>0</v>
      </c>
      <c r="P85" s="336" t="n">
        <f aca="false">O85</f>
        <v>0</v>
      </c>
      <c r="Q85" s="336" t="n">
        <f aca="false">P85</f>
        <v>0</v>
      </c>
    </row>
    <row r="86" customFormat="false" ht="12.75" hidden="false" customHeight="false" outlineLevel="0" collapsed="false">
      <c r="A86" s="190" t="s">
        <v>153</v>
      </c>
      <c r="B86" s="337" t="n">
        <v>1</v>
      </c>
      <c r="C86" s="328" t="n">
        <v>1</v>
      </c>
      <c r="D86" s="282"/>
      <c r="F86" s="338" t="n">
        <f aca="false">SUM(F71:F85)</f>
        <v>16926</v>
      </c>
      <c r="G86" s="132" t="n">
        <f aca="false">SUM(G71:G85)*$B$86+G87</f>
        <v>18832</v>
      </c>
      <c r="H86" s="132" t="n">
        <f aca="false">SUM(H71:H85)*$B$86+H87</f>
        <v>18832</v>
      </c>
      <c r="I86" s="132" t="n">
        <f aca="false">SUM(I71:I85)*$B$86+I87</f>
        <v>18832</v>
      </c>
      <c r="J86" s="132" t="n">
        <f aca="false">SUM(J71:J85)*$B$86+J87</f>
        <v>18832</v>
      </c>
      <c r="K86" s="132" t="n">
        <f aca="false">SUM(K71:K85)*$B$86+K87</f>
        <v>18832</v>
      </c>
      <c r="L86" s="132" t="n">
        <f aca="false">SUM(L71:L85)*$B$86+L87</f>
        <v>18832</v>
      </c>
      <c r="M86" s="132" t="n">
        <f aca="false">SUM(M71:M85)*$B$86+M87</f>
        <v>18832</v>
      </c>
      <c r="N86" s="132" t="n">
        <f aca="false">SUM(N71:N85)*$B$86+N87</f>
        <v>18832</v>
      </c>
      <c r="O86" s="132" t="n">
        <f aca="false">SUM(O71:O85)*$B$86+O87</f>
        <v>18832</v>
      </c>
      <c r="P86" s="132" t="n">
        <f aca="false">SUM(P71:P85)*$B$86+P87</f>
        <v>18832</v>
      </c>
      <c r="Q86" s="132" t="n">
        <f aca="false">SUM(Q71:Q85)*$B$86+Q87</f>
        <v>18832</v>
      </c>
    </row>
    <row r="87" customFormat="false" ht="12.75" hidden="false" customHeight="false" outlineLevel="0" collapsed="false">
      <c r="C87" s="335"/>
      <c r="F87" s="284" t="s">
        <v>182</v>
      </c>
      <c r="G87" s="32" t="n">
        <v>0</v>
      </c>
      <c r="H87" s="32" t="n">
        <v>0</v>
      </c>
      <c r="I87" s="32" t="n">
        <v>0</v>
      </c>
      <c r="J87" s="32" t="n">
        <v>0</v>
      </c>
      <c r="K87" s="32" t="n">
        <v>0</v>
      </c>
      <c r="L87" s="32" t="n">
        <v>0</v>
      </c>
      <c r="M87" s="32" t="n">
        <v>0</v>
      </c>
      <c r="N87" s="32" t="n">
        <v>0</v>
      </c>
      <c r="O87" s="32" t="n">
        <v>0</v>
      </c>
      <c r="P87" s="32" t="n">
        <v>0</v>
      </c>
      <c r="Q87" s="32" t="n">
        <v>0</v>
      </c>
    </row>
    <row r="88" customFormat="false" ht="12.75" hidden="false" customHeight="false" outlineLevel="0" collapsed="false">
      <c r="C88" s="335"/>
      <c r="F88" s="124"/>
    </row>
    <row r="89" customFormat="false" ht="12.75" hidden="false" customHeight="false" outlineLevel="0" collapsed="false">
      <c r="A89" s="12" t="str">
        <f aca="false">Assumptions!B51</f>
        <v>2. Optimistic</v>
      </c>
      <c r="B89" s="337" t="n">
        <v>1</v>
      </c>
      <c r="C89" s="328" t="n">
        <v>2</v>
      </c>
      <c r="D89" s="282"/>
      <c r="F89" s="338" t="n">
        <f aca="false">F86</f>
        <v>16926</v>
      </c>
      <c r="G89" s="134" t="n">
        <f aca="false">F89*$B$89+G90</f>
        <v>16926</v>
      </c>
      <c r="H89" s="134" t="n">
        <f aca="false">G89*$B$89+H90</f>
        <v>16926</v>
      </c>
      <c r="I89" s="134" t="n">
        <f aca="false">H89*$B$89+I90</f>
        <v>16926</v>
      </c>
      <c r="J89" s="134" t="n">
        <f aca="false">I89*$B$89+J90</f>
        <v>16926</v>
      </c>
      <c r="K89" s="134" t="n">
        <f aca="false">J89*$B$89+K90</f>
        <v>16926</v>
      </c>
      <c r="L89" s="134" t="n">
        <f aca="false">K89*$B$89+L90</f>
        <v>16926</v>
      </c>
      <c r="M89" s="134" t="n">
        <f aca="false">L89*$B$89+M90</f>
        <v>16926</v>
      </c>
      <c r="N89" s="134" t="n">
        <f aca="false">M89*$B$89+N90</f>
        <v>16926</v>
      </c>
      <c r="O89" s="134" t="n">
        <f aca="false">N89*$B$89+O90</f>
        <v>16926</v>
      </c>
      <c r="P89" s="134" t="n">
        <f aca="false">O89*$B$89+P90</f>
        <v>16926</v>
      </c>
      <c r="Q89" s="134" t="n">
        <f aca="false">P89*$B$89+Q90</f>
        <v>16926</v>
      </c>
    </row>
    <row r="90" customFormat="false" ht="12.75" hidden="false" customHeight="false" outlineLevel="0" collapsed="false">
      <c r="A90" s="12"/>
      <c r="C90" s="339"/>
      <c r="F90" s="284" t="s">
        <v>182</v>
      </c>
      <c r="G90" s="32" t="n">
        <v>0</v>
      </c>
      <c r="H90" s="32" t="n">
        <v>0</v>
      </c>
      <c r="I90" s="32" t="n">
        <f aca="false">H90</f>
        <v>0</v>
      </c>
      <c r="J90" s="32" t="n">
        <f aca="false">I90</f>
        <v>0</v>
      </c>
      <c r="K90" s="32" t="n">
        <f aca="false">J90</f>
        <v>0</v>
      </c>
      <c r="L90" s="32" t="n">
        <f aca="false">K90</f>
        <v>0</v>
      </c>
      <c r="M90" s="32" t="n">
        <f aca="false">L90</f>
        <v>0</v>
      </c>
      <c r="N90" s="32" t="n">
        <f aca="false">M90</f>
        <v>0</v>
      </c>
      <c r="O90" s="32" t="n">
        <f aca="false">N90</f>
        <v>0</v>
      </c>
      <c r="P90" s="32" t="n">
        <f aca="false">O90</f>
        <v>0</v>
      </c>
      <c r="Q90" s="32" t="n">
        <f aca="false">P90</f>
        <v>0</v>
      </c>
    </row>
    <row r="91" customFormat="false" ht="12.75" hidden="false" customHeight="false" outlineLevel="0" collapsed="false">
      <c r="A91" s="12"/>
      <c r="C91" s="339"/>
      <c r="F91" s="124"/>
    </row>
    <row r="92" customFormat="false" ht="12.75" hidden="false" customHeight="false" outlineLevel="0" collapsed="false">
      <c r="A92" s="12" t="str">
        <f aca="false">Assumptions!B52</f>
        <v>3. Pessimistic</v>
      </c>
      <c r="B92" s="337" t="n">
        <v>1.01</v>
      </c>
      <c r="C92" s="328" t="n">
        <v>3</v>
      </c>
      <c r="D92" s="282"/>
      <c r="F92" s="338" t="n">
        <f aca="false">F86</f>
        <v>16926</v>
      </c>
      <c r="G92" s="134" t="n">
        <f aca="false">G86</f>
        <v>18832</v>
      </c>
      <c r="H92" s="134" t="n">
        <f aca="false">H86</f>
        <v>18832</v>
      </c>
      <c r="I92" s="134" t="n">
        <f aca="false">H92*$B$92+I93</f>
        <v>19020.32</v>
      </c>
      <c r="J92" s="134" t="n">
        <f aca="false">I92*$B$92+J93</f>
        <v>19210.5232</v>
      </c>
      <c r="K92" s="134" t="n">
        <f aca="false">J92*$B$92+K93</f>
        <v>19402.628432</v>
      </c>
      <c r="L92" s="134" t="n">
        <f aca="false">K92*$B$92+L93</f>
        <v>19596.65471632</v>
      </c>
      <c r="M92" s="134" t="n">
        <f aca="false">L92*$B$92+M93</f>
        <v>19792.6212634832</v>
      </c>
      <c r="N92" s="134" t="n">
        <f aca="false">M92*$B$92+N93</f>
        <v>19990.547476118</v>
      </c>
      <c r="O92" s="134" t="n">
        <f aca="false">N92*$B$92+O93</f>
        <v>20190.4529508792</v>
      </c>
      <c r="P92" s="134" t="n">
        <f aca="false">O92*$B$92+P93</f>
        <v>20392.357480388</v>
      </c>
      <c r="Q92" s="134" t="n">
        <f aca="false">P92*$B$92+Q93</f>
        <v>20596.2810551919</v>
      </c>
    </row>
    <row r="93" customFormat="false" ht="13.5" hidden="false" customHeight="false" outlineLevel="0" collapsed="false">
      <c r="C93" s="331"/>
      <c r="F93" s="284" t="s">
        <v>182</v>
      </c>
      <c r="G93" s="32" t="n">
        <v>0</v>
      </c>
      <c r="H93" s="32" t="n">
        <v>0</v>
      </c>
      <c r="I93" s="32" t="n">
        <f aca="false">H93</f>
        <v>0</v>
      </c>
      <c r="J93" s="32" t="n">
        <f aca="false">I93</f>
        <v>0</v>
      </c>
      <c r="K93" s="32" t="n">
        <f aca="false">J93</f>
        <v>0</v>
      </c>
      <c r="L93" s="32" t="n">
        <f aca="false">K93</f>
        <v>0</v>
      </c>
      <c r="M93" s="32" t="n">
        <f aca="false">L93</f>
        <v>0</v>
      </c>
      <c r="N93" s="32" t="n">
        <f aca="false">M93</f>
        <v>0</v>
      </c>
      <c r="O93" s="32" t="n">
        <f aca="false">N93</f>
        <v>0</v>
      </c>
      <c r="P93" s="32" t="n">
        <f aca="false">O93</f>
        <v>0</v>
      </c>
      <c r="Q93" s="32" t="n">
        <f aca="false">P93</f>
        <v>0</v>
      </c>
    </row>
    <row r="94" customFormat="false" ht="12.75" hidden="false" customHeight="false" outlineLevel="0" collapsed="false">
      <c r="C94" s="21"/>
      <c r="F94" s="284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customFormat="false" ht="12.75" hidden="false" customHeight="false" outlineLevel="0" collapsed="false">
      <c r="A95" s="0" t="s">
        <v>131</v>
      </c>
      <c r="C95" s="21"/>
      <c r="F95" s="284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customFormat="false" ht="12.75" hidden="false" customHeight="false" outlineLevel="0" collapsed="false">
      <c r="A96" s="0" t="s">
        <v>186</v>
      </c>
      <c r="C96" s="21"/>
      <c r="F96" s="284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customFormat="false" ht="12.75" hidden="false" customHeight="false" outlineLevel="0" collapsed="false">
      <c r="A97" s="0" t="s">
        <v>187</v>
      </c>
      <c r="C97" s="21"/>
      <c r="F97" s="284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customFormat="false" ht="12.75" hidden="false" customHeight="false" outlineLevel="0" collapsed="false">
      <c r="A98" s="52" t="s">
        <v>153</v>
      </c>
      <c r="F98" s="338" t="n">
        <f aca="false">SUM(F96:F97)</f>
        <v>0</v>
      </c>
      <c r="G98" s="132" t="n">
        <f aca="false">SUM(G96:G97)</f>
        <v>0</v>
      </c>
      <c r="H98" s="132" t="n">
        <f aca="false">SUM(H96:H97)</f>
        <v>0</v>
      </c>
      <c r="I98" s="132" t="n">
        <f aca="false">SUM(I96:I97)</f>
        <v>0</v>
      </c>
      <c r="J98" s="132" t="n">
        <f aca="false">SUM(J96:J97)</f>
        <v>0</v>
      </c>
      <c r="K98" s="132" t="n">
        <f aca="false">SUM(K96:K97)</f>
        <v>0</v>
      </c>
      <c r="L98" s="132" t="n">
        <f aca="false">SUM(L96:L97)</f>
        <v>0</v>
      </c>
      <c r="M98" s="132" t="n">
        <f aca="false">SUM(M96:M97)</f>
        <v>0</v>
      </c>
      <c r="N98" s="132" t="n">
        <f aca="false">SUM(N96:N97)</f>
        <v>0</v>
      </c>
      <c r="O98" s="132" t="n">
        <f aca="false">SUM(O96:O97)</f>
        <v>0</v>
      </c>
      <c r="P98" s="132" t="n">
        <f aca="false">SUM(P96:P97)</f>
        <v>0</v>
      </c>
      <c r="Q98" s="132" t="n">
        <f aca="false">SUM(Q96:Q97)</f>
        <v>0</v>
      </c>
    </row>
    <row r="99" customFormat="false" ht="12.75" hidden="false" customHeight="false" outlineLevel="0" collapsed="false">
      <c r="A99" s="52"/>
      <c r="F99" s="124"/>
    </row>
    <row r="100" customFormat="false" ht="12.75" hidden="false" customHeight="false" outlineLevel="0" collapsed="false">
      <c r="A100" s="13" t="s">
        <v>188</v>
      </c>
      <c r="F100" s="124"/>
    </row>
    <row r="101" customFormat="false" ht="12.75" hidden="false" customHeight="false" outlineLevel="0" collapsed="false">
      <c r="A101" s="225" t="s">
        <v>162</v>
      </c>
      <c r="B101" s="54" t="n">
        <f aca="false">Assumptions!D20</f>
        <v>20</v>
      </c>
      <c r="C101" s="227" t="n">
        <f aca="false">MethPurPrice</f>
        <v>61115.3547645078</v>
      </c>
      <c r="D101" s="32"/>
      <c r="E101" s="36"/>
      <c r="F101" s="278"/>
      <c r="G101" s="340" t="n">
        <f aca="false">1/B101</f>
        <v>0.05</v>
      </c>
      <c r="H101" s="228" t="n">
        <f aca="false">G101</f>
        <v>0.05</v>
      </c>
      <c r="I101" s="228" t="n">
        <f aca="false">H101</f>
        <v>0.05</v>
      </c>
      <c r="J101" s="228" t="n">
        <f aca="false">I101</f>
        <v>0.05</v>
      </c>
      <c r="K101" s="228" t="n">
        <f aca="false">J101</f>
        <v>0.05</v>
      </c>
      <c r="L101" s="228" t="n">
        <f aca="false">K101</f>
        <v>0.05</v>
      </c>
      <c r="M101" s="228" t="n">
        <f aca="false">L101</f>
        <v>0.05</v>
      </c>
      <c r="N101" s="228" t="n">
        <f aca="false">M101</f>
        <v>0.05</v>
      </c>
      <c r="O101" s="228" t="n">
        <f aca="false">N101</f>
        <v>0.05</v>
      </c>
      <c r="P101" s="228" t="n">
        <f aca="false">O101</f>
        <v>0.05</v>
      </c>
      <c r="Q101" s="229" t="n">
        <f aca="false">P101</f>
        <v>0.05</v>
      </c>
    </row>
    <row r="102" customFormat="false" ht="12.75" hidden="false" customHeight="false" outlineLevel="0" collapsed="false">
      <c r="A102" s="32" t="s">
        <v>163</v>
      </c>
      <c r="C102" s="26"/>
      <c r="D102" s="26"/>
      <c r="E102" s="36"/>
      <c r="F102" s="278"/>
      <c r="G102" s="121" t="n">
        <f aca="false">C101/B101</f>
        <v>3055.76773822539</v>
      </c>
      <c r="H102" s="121" t="n">
        <f aca="false">+G102</f>
        <v>3055.76773822539</v>
      </c>
      <c r="I102" s="121" t="n">
        <f aca="false">+H102</f>
        <v>3055.76773822539</v>
      </c>
      <c r="J102" s="121" t="n">
        <f aca="false">+I102</f>
        <v>3055.76773822539</v>
      </c>
      <c r="K102" s="121" t="n">
        <f aca="false">+J102</f>
        <v>3055.76773822539</v>
      </c>
      <c r="L102" s="121" t="n">
        <f aca="false">+K102</f>
        <v>3055.76773822539</v>
      </c>
      <c r="M102" s="121" t="n">
        <f aca="false">+L102</f>
        <v>3055.76773822539</v>
      </c>
      <c r="N102" s="121" t="n">
        <f aca="false">+M102</f>
        <v>3055.76773822539</v>
      </c>
      <c r="O102" s="121" t="n">
        <f aca="false">+N102</f>
        <v>3055.76773822539</v>
      </c>
      <c r="P102" s="121" t="n">
        <f aca="false">+O102</f>
        <v>3055.76773822539</v>
      </c>
      <c r="Q102" s="121" t="n">
        <f aca="false">+P102</f>
        <v>3055.76773822539</v>
      </c>
    </row>
    <row r="103" customFormat="false" ht="15" hidden="false" customHeight="false" outlineLevel="0" collapsed="false">
      <c r="A103" s="32" t="s">
        <v>164</v>
      </c>
      <c r="E103" s="36"/>
      <c r="F103" s="278"/>
      <c r="G103" s="117" t="n">
        <f aca="false">($G$27*G101)</f>
        <v>0</v>
      </c>
      <c r="H103" s="117" t="n">
        <f aca="false">($G$27*H101)+($H$27*G101)</f>
        <v>0</v>
      </c>
      <c r="I103" s="117" t="n">
        <f aca="false">($G$27*I101)+($H$27*H101)+($I$27*G101)</f>
        <v>0</v>
      </c>
      <c r="J103" s="117" t="n">
        <f aca="false">($G$27*J101)+($H$27*I101)+($I$27*H101)+($J$27*G101)</f>
        <v>0</v>
      </c>
      <c r="K103" s="117" t="n">
        <f aca="false">($G$27*K101)+($H$27*J101)+($I$27*I101)+($J$27*H101)+($K$27*G101)</f>
        <v>0</v>
      </c>
      <c r="L103" s="117" t="n">
        <f aca="false">($G$27*L101)+($H$27*K101)+($I$27*J101)+($J$27*I101)+($K$27*H101)+($L$27*G101)</f>
        <v>0</v>
      </c>
      <c r="M103" s="117" t="n">
        <f aca="false">($G$27*M101)+($H$27*L101)+($I$27*K101)+($J$27*J101)+($K$27*I101)+($L$27*H101)+($M$27*G101)</f>
        <v>0</v>
      </c>
      <c r="N103" s="117" t="n">
        <f aca="false">($G$27*N101)+($H$27*M101)+($I$27*L101)+($J$27*K101)+($K$27*J101)+($L$27*I101)+($M$27*H101)+($N$27*G101)</f>
        <v>0</v>
      </c>
      <c r="O103" s="117" t="n">
        <f aca="false">($G$27*O101)+($H$27*N101)+($I$27*M101)+($J$27*L101)+($K$27*K101)+($L$27*J101)+($M$27*I101)+($N$27*H101)+($O$27*G101)</f>
        <v>0</v>
      </c>
      <c r="P103" s="117" t="n">
        <f aca="false">($G$27*P101)+($H$27*O101)+($I$27*N101)+($J$27*M101)+($K$27*L101)+($L$27*K101)+($M$27*J101)+($N$27*I101)+($O$27*H101)+($P$27*G101)</f>
        <v>0</v>
      </c>
      <c r="Q103" s="117" t="n">
        <f aca="false">($G$27*Q101)+($H$27*P101)+($I$27*O101)+($J$27*N101)+($K$27*M101)+($L$27*L101)+($M$27*K101)+($N$27*J101)+($O$27*I101)+($P$27*H101)+($Q$27*G101)</f>
        <v>0</v>
      </c>
    </row>
    <row r="104" customFormat="false" ht="12.75" hidden="false" customHeight="false" outlineLevel="0" collapsed="false">
      <c r="A104" s="52" t="s">
        <v>153</v>
      </c>
      <c r="E104" s="36"/>
      <c r="F104" s="278"/>
      <c r="G104" s="32" t="n">
        <f aca="false">SUM(G102:G103)</f>
        <v>3055.76773822539</v>
      </c>
      <c r="H104" s="32" t="n">
        <f aca="false">SUM(H102:H103)</f>
        <v>3055.76773822539</v>
      </c>
      <c r="I104" s="32" t="n">
        <f aca="false">SUM(I102:I103)</f>
        <v>3055.76773822539</v>
      </c>
      <c r="J104" s="32" t="n">
        <f aca="false">SUM(J102:J103)</f>
        <v>3055.76773822539</v>
      </c>
      <c r="K104" s="32" t="n">
        <f aca="false">SUM(K102:K103)</f>
        <v>3055.76773822539</v>
      </c>
      <c r="L104" s="32" t="n">
        <f aca="false">SUM(L102:L103)</f>
        <v>3055.76773822539</v>
      </c>
      <c r="M104" s="32" t="n">
        <f aca="false">SUM(M102:M103)</f>
        <v>3055.76773822539</v>
      </c>
      <c r="N104" s="32" t="n">
        <f aca="false">SUM(N102:N103)</f>
        <v>3055.76773822539</v>
      </c>
      <c r="O104" s="32" t="n">
        <f aca="false">SUM(O102:O103)</f>
        <v>3055.76773822539</v>
      </c>
      <c r="P104" s="32" t="n">
        <f aca="false">SUM(P102:P103)</f>
        <v>3055.76773822539</v>
      </c>
      <c r="Q104" s="32" t="n">
        <f aca="false">SUM(Q102:Q103)</f>
        <v>3055.76773822539</v>
      </c>
    </row>
    <row r="105" customFormat="false" ht="12.75" hidden="false" customHeight="false" outlineLevel="0" collapsed="false">
      <c r="A105" s="32"/>
      <c r="E105" s="36"/>
      <c r="F105" s="278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customFormat="false" ht="12.75" hidden="false" customHeight="false" outlineLevel="0" collapsed="false">
      <c r="A106" s="341" t="s">
        <v>165</v>
      </c>
      <c r="E106" s="36"/>
      <c r="F106" s="278"/>
      <c r="G106" s="233" t="n">
        <v>0.05</v>
      </c>
      <c r="H106" s="234" t="n">
        <v>0.095</v>
      </c>
      <c r="I106" s="234" t="n">
        <v>0.0855</v>
      </c>
      <c r="J106" s="234" t="n">
        <v>0.077</v>
      </c>
      <c r="K106" s="234" t="n">
        <v>0.0693</v>
      </c>
      <c r="L106" s="234" t="n">
        <v>0.0623</v>
      </c>
      <c r="M106" s="234" t="n">
        <v>0.059</v>
      </c>
      <c r="N106" s="234" t="n">
        <v>0.059</v>
      </c>
      <c r="O106" s="234" t="n">
        <v>0.0591</v>
      </c>
      <c r="P106" s="234" t="n">
        <v>0.059</v>
      </c>
      <c r="Q106" s="235" t="n">
        <v>0.0591</v>
      </c>
    </row>
    <row r="107" customFormat="false" ht="12.75" hidden="false" customHeight="false" outlineLevel="0" collapsed="false">
      <c r="A107" s="32" t="s">
        <v>163</v>
      </c>
      <c r="B107" s="236"/>
      <c r="E107" s="36"/>
      <c r="F107" s="278"/>
      <c r="G107" s="32" t="n">
        <f aca="false">G106*$C$101</f>
        <v>3055.76773822539</v>
      </c>
      <c r="H107" s="32" t="n">
        <f aca="false">H106*$C$101</f>
        <v>5805.95870262824</v>
      </c>
      <c r="I107" s="32" t="n">
        <f aca="false">I106*$C$101</f>
        <v>5225.36283236542</v>
      </c>
      <c r="J107" s="32" t="n">
        <f aca="false">J106*$C$101</f>
        <v>4705.8823168671</v>
      </c>
      <c r="K107" s="32" t="n">
        <f aca="false">K106*$C$101</f>
        <v>4235.29408518039</v>
      </c>
      <c r="L107" s="32" t="n">
        <f aca="false">L106*$C$101</f>
        <v>3807.48660182884</v>
      </c>
      <c r="M107" s="32" t="n">
        <f aca="false">M106*$C$101</f>
        <v>3605.80593110596</v>
      </c>
      <c r="N107" s="32" t="n">
        <f aca="false">N106*$C$101</f>
        <v>3605.80593110596</v>
      </c>
      <c r="O107" s="32" t="n">
        <f aca="false">O106*$C$101</f>
        <v>3611.91746658241</v>
      </c>
      <c r="P107" s="32" t="n">
        <f aca="false">P106*$C$101</f>
        <v>3605.80593110596</v>
      </c>
      <c r="Q107" s="32" t="n">
        <f aca="false">Q106*$C$101</f>
        <v>3611.91746658241</v>
      </c>
    </row>
    <row r="108" customFormat="false" ht="15" hidden="false" customHeight="false" outlineLevel="0" collapsed="false">
      <c r="A108" s="32" t="s">
        <v>164</v>
      </c>
      <c r="B108" s="199"/>
      <c r="E108" s="214"/>
      <c r="F108" s="278"/>
      <c r="G108" s="117" t="n">
        <f aca="false">($G$27*G$106)</f>
        <v>0</v>
      </c>
      <c r="H108" s="117" t="n">
        <f aca="false">($G$27*H106)+($H$27*G106)</f>
        <v>0</v>
      </c>
      <c r="I108" s="117" t="n">
        <f aca="false">($G$27*I106)+($H$27*H106)+($I$27*G106)</f>
        <v>0</v>
      </c>
      <c r="J108" s="117" t="n">
        <f aca="false">($G$27*J106)+($H$27*I106)+($I$27*H106)+($J$27*G106)</f>
        <v>0</v>
      </c>
      <c r="K108" s="117" t="n">
        <f aca="false">($G$27*K106)+($H$27*J106)+($I$27*I106)+($J$27*H106)+($K$27*G106)</f>
        <v>0</v>
      </c>
      <c r="L108" s="117" t="n">
        <f aca="false">($G$27*L106)+($H$27*K106)+($I$27*J106)+($J$27*I106)+($K$27*H106)+($L$27*G106)</f>
        <v>0</v>
      </c>
      <c r="M108" s="117" t="n">
        <f aca="false">($G$27*M106)+($H$27*L106)+($I$27*K106)+($J$27*J106)+($K$27*I106)+($L$27*H106)+($M$27*G106)</f>
        <v>0</v>
      </c>
      <c r="N108" s="117" t="n">
        <f aca="false">($G$27*N106)+($H$27*M106)+($I$27*L106)+($J$27*K106)+($K$27*J106)+($L$27*I106)+($M$27*H106)+($N$27*G106)</f>
        <v>0</v>
      </c>
      <c r="O108" s="117" t="n">
        <f aca="false">($G$27*O106)+($H$27*N106)+($I$27*M106)+($J$27*L106)+($K$27*K106)+($L$27*J106)+($M$27*I106)+($N$27*H106)+($O$27*G106)</f>
        <v>0</v>
      </c>
      <c r="P108" s="117" t="n">
        <f aca="false">($G$27*P106)+($H$27*O106)+($I$27*N106)+($J$27*M106)+($K$27*L106)+($L$27*K106)+($M$27*J106)+($N$27*I106)+($O$27*H106)+($P$27*G106)</f>
        <v>0</v>
      </c>
      <c r="Q108" s="117" t="n">
        <f aca="false">($G$27*Q106)+($H$27*P106)+($I$27*O106)+($J$27*N106)+($K$27*M106)+($L$27*L106)+($M$27*K106)+($N$27*J106)+($O$27*I106)+($P$27*H106)+($Q$27*G106)</f>
        <v>0</v>
      </c>
    </row>
    <row r="109" customFormat="false" ht="12.75" hidden="false" customHeight="false" outlineLevel="0" collapsed="false">
      <c r="A109" s="52" t="s">
        <v>153</v>
      </c>
      <c r="E109" s="36"/>
      <c r="F109" s="278"/>
      <c r="G109" s="32" t="n">
        <f aca="false">SUM(G107:G108)</f>
        <v>3055.76773822539</v>
      </c>
      <c r="H109" s="32" t="n">
        <f aca="false">SUM(H107:H108)</f>
        <v>5805.95870262824</v>
      </c>
      <c r="I109" s="32" t="n">
        <f aca="false">SUM(I107:I108)</f>
        <v>5225.36283236542</v>
      </c>
      <c r="J109" s="32" t="n">
        <f aca="false">SUM(J107:J108)</f>
        <v>4705.8823168671</v>
      </c>
      <c r="K109" s="32" t="n">
        <f aca="false">SUM(K107:K108)</f>
        <v>4235.29408518039</v>
      </c>
      <c r="L109" s="32" t="n">
        <f aca="false">SUM(L107:L108)</f>
        <v>3807.48660182884</v>
      </c>
      <c r="M109" s="32" t="n">
        <f aca="false">SUM(M107:M108)</f>
        <v>3605.80593110596</v>
      </c>
      <c r="N109" s="32" t="n">
        <f aca="false">SUM(N107:N108)</f>
        <v>3605.80593110596</v>
      </c>
      <c r="O109" s="32" t="n">
        <f aca="false">SUM(O107:O108)</f>
        <v>3611.91746658241</v>
      </c>
      <c r="P109" s="32" t="n">
        <f aca="false">SUM(P107:P108)</f>
        <v>3605.80593110596</v>
      </c>
      <c r="Q109" s="32" t="n">
        <f aca="false">SUM(Q107:Q108)</f>
        <v>3611.91746658241</v>
      </c>
    </row>
  </sheetData>
  <mergeCells count="1">
    <mergeCell ref="K31:M31"/>
  </mergeCells>
  <conditionalFormatting sqref="D89 D92 D59 D56 C9:D9 D12:D13 D49:D53 D45:D46 D71:D86">
    <cfRule type="cellIs" priority="2" operator="notBetween" aboveAverage="0" equalAverage="0" bottom="0" percent="0" rank="0" text="" dxfId="3">
      <formula>0.25</formula>
      <formula>-0.25</formula>
    </cfRule>
  </conditionalFormatting>
  <printOptions headings="false" gridLines="false" gridLinesSet="true" horizontalCentered="false" verticalCentered="false"/>
  <pageMargins left="0.5" right="0.5" top="0.75" bottom="0.75" header="0.511811023622047" footer="0.5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7" man="true" max="16383" min="0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13.99"/>
    <col collapsed="false" customWidth="true" hidden="false" outlineLevel="0" max="3" min="3" style="0" width="12.85"/>
    <col collapsed="false" customWidth="true" hidden="false" outlineLevel="0" max="4" min="4" style="0" width="11.85"/>
    <col collapsed="false" customWidth="true" hidden="false" outlineLevel="0" max="5" min="5" style="27" width="9.14"/>
    <col collapsed="false" customWidth="true" hidden="false" outlineLevel="0" max="6" min="6" style="27" width="12.99"/>
    <col collapsed="false" customWidth="true" hidden="false" outlineLevel="0" max="7" min="7" style="0" width="12.28"/>
    <col collapsed="false" customWidth="true" hidden="false" outlineLevel="0" max="9" min="8" style="0" width="14.14"/>
    <col collapsed="false" customWidth="true" hidden="false" outlineLevel="0" max="11" min="10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.75" hidden="false" customHeight="false" outlineLevel="0" collapsed="false">
      <c r="A1" s="154" t="str">
        <f aca="false">Assumptions!D5</f>
        <v>PG&amp;E Gas Transmission</v>
      </c>
      <c r="B1" s="21"/>
      <c r="E1" s="264"/>
    </row>
    <row r="2" customFormat="false" ht="15.75" hidden="false" customHeight="false" outlineLevel="0" collapsed="false">
      <c r="A2" s="265" t="s">
        <v>216</v>
      </c>
      <c r="B2" s="266"/>
      <c r="E2" s="36"/>
      <c r="F2" s="267" t="s">
        <v>45</v>
      </c>
      <c r="G2" s="269"/>
      <c r="H2" s="190"/>
      <c r="I2" s="190"/>
      <c r="R2" s="27"/>
    </row>
    <row r="3" customFormat="false" ht="13.5" hidden="false" customHeight="false" outlineLevel="0" collapsed="false">
      <c r="A3" s="270"/>
      <c r="B3" s="266"/>
      <c r="E3" s="36"/>
      <c r="F3" s="273"/>
      <c r="G3" s="275"/>
      <c r="H3" s="190"/>
      <c r="I3" s="190"/>
      <c r="R3" s="27"/>
    </row>
    <row r="4" customFormat="false" ht="12.75" hidden="false" customHeight="false" outlineLevel="0" collapsed="false">
      <c r="A4" s="270"/>
      <c r="B4" s="266"/>
      <c r="E4" s="36"/>
      <c r="G4" s="190"/>
      <c r="H4" s="190"/>
      <c r="I4" s="190"/>
      <c r="R4" s="27"/>
    </row>
    <row r="5" customFormat="false" ht="12.75" hidden="false" customHeight="false" outlineLevel="0" collapsed="false">
      <c r="E5" s="276"/>
      <c r="F5" s="277" t="n">
        <f aca="false">G5-1</f>
        <v>2000</v>
      </c>
      <c r="G5" s="110" t="n">
        <f aca="false">Assumptions!$D$12</f>
        <v>2001</v>
      </c>
      <c r="H5" s="110" t="n">
        <f aca="false">G5+1</f>
        <v>2002</v>
      </c>
      <c r="I5" s="110" t="n">
        <f aca="false">H5+1</f>
        <v>2003</v>
      </c>
      <c r="J5" s="110" t="n">
        <f aca="false">I5+1</f>
        <v>2004</v>
      </c>
      <c r="K5" s="110" t="n">
        <f aca="false">J5+1</f>
        <v>2005</v>
      </c>
      <c r="L5" s="110" t="n">
        <f aca="false">K5+1</f>
        <v>2006</v>
      </c>
      <c r="M5" s="110" t="n">
        <f aca="false">L5+1</f>
        <v>2007</v>
      </c>
      <c r="N5" s="110" t="n">
        <f aca="false">M5+1</f>
        <v>2008</v>
      </c>
      <c r="O5" s="110" t="n">
        <f aca="false">N5+1</f>
        <v>2009</v>
      </c>
      <c r="P5" s="110" t="n">
        <f aca="false">O5+1</f>
        <v>2010</v>
      </c>
      <c r="Q5" s="110" t="n">
        <f aca="false">P5+1</f>
        <v>2011</v>
      </c>
      <c r="R5" s="27"/>
    </row>
    <row r="6" customFormat="false" ht="12.75" hidden="false" customHeight="false" outlineLevel="0" collapsed="false">
      <c r="A6" s="45" t="s">
        <v>150</v>
      </c>
      <c r="E6" s="36"/>
      <c r="F6" s="278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27"/>
    </row>
    <row r="7" customFormat="false" ht="12.75" hidden="false" customHeight="false" outlineLevel="0" collapsed="false">
      <c r="E7" s="36"/>
      <c r="F7" s="278"/>
      <c r="H7" s="32"/>
      <c r="I7" s="32"/>
      <c r="J7" s="32"/>
      <c r="K7" s="32"/>
      <c r="L7" s="32"/>
      <c r="M7" s="32"/>
      <c r="N7" s="32"/>
      <c r="O7" s="32"/>
      <c r="P7" s="32"/>
      <c r="Q7" s="32"/>
      <c r="R7" s="27"/>
    </row>
    <row r="8" customFormat="false" ht="12.75" hidden="false" customHeight="false" outlineLevel="0" collapsed="false">
      <c r="D8" s="279"/>
      <c r="E8" s="36"/>
      <c r="F8" s="278"/>
      <c r="G8" s="232" t="str">
        <f aca="false">IF(C41=1,A44,IF(C41=2,A57,A60))</f>
        <v>1. Base Case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27"/>
    </row>
    <row r="9" customFormat="false" ht="12.75" hidden="false" customHeight="false" outlineLevel="0" collapsed="false">
      <c r="A9" s="280" t="s">
        <v>174</v>
      </c>
      <c r="B9" s="281"/>
      <c r="C9" s="282"/>
      <c r="D9" s="282"/>
      <c r="E9" s="283"/>
      <c r="F9" s="278" t="n">
        <f aca="false">F41</f>
        <v>10783</v>
      </c>
      <c r="G9" s="32" t="n">
        <f aca="false">G41</f>
        <v>12458</v>
      </c>
      <c r="H9" s="32" t="n">
        <f aca="false">H41</f>
        <v>12458</v>
      </c>
      <c r="I9" s="32" t="n">
        <f aca="false">I41</f>
        <v>12458</v>
      </c>
      <c r="J9" s="32" t="n">
        <f aca="false">J41</f>
        <v>12458</v>
      </c>
      <c r="K9" s="32" t="n">
        <f aca="false">K41</f>
        <v>12458</v>
      </c>
      <c r="L9" s="32" t="n">
        <f aca="false">L41</f>
        <v>12458</v>
      </c>
      <c r="M9" s="32" t="n">
        <f aca="false">M41</f>
        <v>12458</v>
      </c>
      <c r="N9" s="32" t="n">
        <f aca="false">N41</f>
        <v>12458</v>
      </c>
      <c r="O9" s="32" t="n">
        <f aca="false">O41</f>
        <v>12458</v>
      </c>
      <c r="P9" s="32" t="n">
        <f aca="false">P41</f>
        <v>12458</v>
      </c>
      <c r="Q9" s="32" t="n">
        <f aca="false">Q41</f>
        <v>12458</v>
      </c>
      <c r="R9" s="27"/>
    </row>
    <row r="10" customFormat="false" ht="12.75" hidden="false" customHeight="false" outlineLevel="0" collapsed="false">
      <c r="E10" s="36"/>
      <c r="F10" s="284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7"/>
    </row>
    <row r="11" customFormat="false" ht="12.75" hidden="false" customHeight="false" outlineLevel="0" collapsed="false">
      <c r="D11" s="279"/>
      <c r="E11" s="285"/>
      <c r="F11" s="278"/>
      <c r="G11" s="232" t="str">
        <f aca="false">IF(C66=1,A69,IF(C66=2,A93,A96))</f>
        <v>1. Base Case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27"/>
    </row>
    <row r="12" customFormat="false" ht="12.75" hidden="false" customHeight="false" outlineLevel="0" collapsed="false">
      <c r="A12" s="21" t="s">
        <v>175</v>
      </c>
      <c r="B12" s="286"/>
      <c r="C12" s="21"/>
      <c r="D12" s="282"/>
      <c r="E12" s="287"/>
      <c r="F12" s="278" t="n">
        <f aca="false">F66</f>
        <v>4122</v>
      </c>
      <c r="G12" s="32" t="n">
        <f aca="false">G66</f>
        <v>4294</v>
      </c>
      <c r="H12" s="32" t="n">
        <f aca="false">H66</f>
        <v>4294</v>
      </c>
      <c r="I12" s="32" t="n">
        <f aca="false">I66</f>
        <v>4294</v>
      </c>
      <c r="J12" s="32" t="n">
        <f aca="false">J66</f>
        <v>4294</v>
      </c>
      <c r="K12" s="32" t="n">
        <f aca="false">K66</f>
        <v>4294</v>
      </c>
      <c r="L12" s="32" t="n">
        <f aca="false">L66</f>
        <v>4294</v>
      </c>
      <c r="M12" s="32" t="n">
        <f aca="false">M66</f>
        <v>4294</v>
      </c>
      <c r="N12" s="32" t="n">
        <f aca="false">N66</f>
        <v>4294</v>
      </c>
      <c r="O12" s="32" t="n">
        <f aca="false">O66</f>
        <v>4294</v>
      </c>
      <c r="P12" s="32" t="n">
        <f aca="false">P66</f>
        <v>4294</v>
      </c>
      <c r="Q12" s="32" t="n">
        <f aca="false">Q66</f>
        <v>4294</v>
      </c>
      <c r="R12" s="27"/>
    </row>
    <row r="13" customFormat="false" ht="12.75" hidden="false" customHeight="false" outlineLevel="0" collapsed="false">
      <c r="A13" s="12" t="s">
        <v>155</v>
      </c>
      <c r="B13" s="12"/>
      <c r="C13" s="12"/>
      <c r="D13" s="192"/>
      <c r="E13" s="288"/>
      <c r="F13" s="289" t="n">
        <f aca="false">F9/F12</f>
        <v>2.61596312469675</v>
      </c>
      <c r="G13" s="195" t="n">
        <f aca="false">G9/G12</f>
        <v>2.90125756870051</v>
      </c>
      <c r="H13" s="195" t="n">
        <f aca="false">H9/H12</f>
        <v>2.90125756870051</v>
      </c>
      <c r="I13" s="195" t="n">
        <f aca="false">I9/I12</f>
        <v>2.90125756870051</v>
      </c>
      <c r="J13" s="195" t="n">
        <f aca="false">J9/J12</f>
        <v>2.90125756870051</v>
      </c>
      <c r="K13" s="195" t="n">
        <f aca="false">K9/K12</f>
        <v>2.90125756870051</v>
      </c>
      <c r="L13" s="195" t="n">
        <f aca="false">L9/L12</f>
        <v>2.90125756870051</v>
      </c>
      <c r="M13" s="195" t="n">
        <f aca="false">M9/M12</f>
        <v>2.90125756870051</v>
      </c>
      <c r="N13" s="195" t="n">
        <f aca="false">N9/N12</f>
        <v>2.90125756870051</v>
      </c>
      <c r="O13" s="195" t="n">
        <f aca="false">O9/O12</f>
        <v>2.90125756870051</v>
      </c>
      <c r="P13" s="195" t="n">
        <f aca="false">P9/P12</f>
        <v>2.90125756870051</v>
      </c>
      <c r="Q13" s="195" t="n">
        <f aca="false">Q9/Q12</f>
        <v>2.90125756870051</v>
      </c>
      <c r="R13" s="27"/>
    </row>
    <row r="14" customFormat="false" ht="12.75" hidden="false" customHeight="false" outlineLevel="0" collapsed="false">
      <c r="A14" s="114" t="s">
        <v>118</v>
      </c>
      <c r="B14" s="115"/>
      <c r="C14" s="115"/>
      <c r="D14" s="115"/>
      <c r="E14" s="290"/>
      <c r="F14" s="291" t="n">
        <f aca="false">(F9-F12)</f>
        <v>6661</v>
      </c>
      <c r="G14" s="116" t="n">
        <f aca="false">(G9-G12)</f>
        <v>8164</v>
      </c>
      <c r="H14" s="116" t="n">
        <f aca="false">(H9-H12)</f>
        <v>8164</v>
      </c>
      <c r="I14" s="116" t="n">
        <f aca="false">(I9-I12)</f>
        <v>8164</v>
      </c>
      <c r="J14" s="116" t="n">
        <f aca="false">(J9-J12)</f>
        <v>8164</v>
      </c>
      <c r="K14" s="116" t="n">
        <f aca="false">(K9-K12)</f>
        <v>8164</v>
      </c>
      <c r="L14" s="116" t="n">
        <f aca="false">(L9-L12)</f>
        <v>8164</v>
      </c>
      <c r="M14" s="116" t="n">
        <f aca="false">(M9-M12)</f>
        <v>8164</v>
      </c>
      <c r="N14" s="116" t="n">
        <f aca="false">(N9-N12)</f>
        <v>8164</v>
      </c>
      <c r="O14" s="116" t="n">
        <f aca="false">(O9-O12)</f>
        <v>8164</v>
      </c>
      <c r="P14" s="116" t="n">
        <f aca="false">(P9-P12)</f>
        <v>8164</v>
      </c>
      <c r="Q14" s="118" t="n">
        <f aca="false">(Q9-Q12)</f>
        <v>8164</v>
      </c>
      <c r="R14" s="27"/>
    </row>
    <row r="15" customFormat="false" ht="12.75" hidden="false" customHeight="false" outlineLevel="0" collapsed="false">
      <c r="E15" s="36"/>
      <c r="F15" s="27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27"/>
    </row>
    <row r="16" customFormat="false" ht="12.75" hidden="false" customHeight="false" outlineLevel="0" collapsed="false">
      <c r="A16" s="0" t="s">
        <v>156</v>
      </c>
      <c r="B16" s="199"/>
      <c r="E16" s="36"/>
      <c r="F16" s="278" t="n">
        <v>0</v>
      </c>
      <c r="G16" s="121" t="n">
        <f aca="false">G108</f>
        <v>3380.74414009299</v>
      </c>
      <c r="H16" s="121" t="n">
        <f aca="false">H108</f>
        <v>3380.74414009299</v>
      </c>
      <c r="I16" s="121" t="n">
        <f aca="false">I108</f>
        <v>3380.74414009299</v>
      </c>
      <c r="J16" s="121" t="n">
        <f aca="false">J108</f>
        <v>3380.74414009299</v>
      </c>
      <c r="K16" s="121" t="n">
        <f aca="false">K108</f>
        <v>3380.74414009299</v>
      </c>
      <c r="L16" s="121" t="n">
        <f aca="false">L108</f>
        <v>3380.74414009299</v>
      </c>
      <c r="M16" s="121" t="n">
        <f aca="false">M108</f>
        <v>3380.74414009299</v>
      </c>
      <c r="N16" s="121" t="n">
        <f aca="false">N108</f>
        <v>3380.74414009299</v>
      </c>
      <c r="O16" s="121" t="n">
        <f aca="false">O108</f>
        <v>3380.74414009299</v>
      </c>
      <c r="P16" s="121" t="n">
        <f aca="false">P108</f>
        <v>3380.74414009299</v>
      </c>
      <c r="Q16" s="121" t="n">
        <f aca="false">Q108</f>
        <v>3380.74414009299</v>
      </c>
      <c r="R16" s="27"/>
    </row>
    <row r="17" customFormat="false" ht="12.75" hidden="false" customHeight="false" outlineLevel="0" collapsed="false">
      <c r="E17" s="36"/>
      <c r="F17" s="278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27"/>
    </row>
    <row r="18" customFormat="false" ht="12.75" hidden="false" customHeight="false" outlineLevel="0" collapsed="false">
      <c r="A18" s="114" t="s">
        <v>121</v>
      </c>
      <c r="B18" s="115"/>
      <c r="C18" s="115"/>
      <c r="D18" s="115"/>
      <c r="E18" s="290"/>
      <c r="F18" s="291" t="n">
        <f aca="false">F14-F16</f>
        <v>6661</v>
      </c>
      <c r="G18" s="116" t="n">
        <f aca="false">G14-G16</f>
        <v>4783.25585990701</v>
      </c>
      <c r="H18" s="116" t="n">
        <f aca="false">H14-H16</f>
        <v>4783.25585990701</v>
      </c>
      <c r="I18" s="116" t="n">
        <f aca="false">I14-I16</f>
        <v>4783.25585990701</v>
      </c>
      <c r="J18" s="116" t="n">
        <f aca="false">J14-J16</f>
        <v>4783.25585990701</v>
      </c>
      <c r="K18" s="116" t="n">
        <f aca="false">K14-K16</f>
        <v>4783.25585990701</v>
      </c>
      <c r="L18" s="116" t="n">
        <f aca="false">L14-L16</f>
        <v>4783.25585990701</v>
      </c>
      <c r="M18" s="116" t="n">
        <f aca="false">M14-M16</f>
        <v>4783.25585990701</v>
      </c>
      <c r="N18" s="116" t="n">
        <f aca="false">N14-N16</f>
        <v>4783.25585990701</v>
      </c>
      <c r="O18" s="116" t="n">
        <f aca="false">O14-O16</f>
        <v>4783.25585990701</v>
      </c>
      <c r="P18" s="116" t="n">
        <f aca="false">P14-P16</f>
        <v>4783.25585990701</v>
      </c>
      <c r="Q18" s="118" t="n">
        <f aca="false">Q14-Q16</f>
        <v>4783.25585990701</v>
      </c>
      <c r="R18" s="27"/>
    </row>
    <row r="19" customFormat="false" ht="12.75" hidden="false" customHeight="false" outlineLevel="0" collapsed="false">
      <c r="E19" s="36"/>
      <c r="F19" s="278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/>
    </row>
    <row r="20" customFormat="false" ht="12.75" hidden="false" customHeight="false" outlineLevel="0" collapsed="false">
      <c r="A20" s="32" t="s">
        <v>158</v>
      </c>
      <c r="E20" s="214"/>
      <c r="F20" s="278"/>
      <c r="G20" s="32" t="n">
        <f aca="false">$B$22*(G14-G113)</f>
        <v>1841.5535060642</v>
      </c>
      <c r="H20" s="32" t="n">
        <f aca="false">$B$22*(H14-H113)</f>
        <v>670.125661521978</v>
      </c>
      <c r="I20" s="32" t="n">
        <f aca="false">$B$22*(I14-I113)</f>
        <v>917.42709536978</v>
      </c>
      <c r="J20" s="32" t="n">
        <f aca="false">$B$22*(J14-J113)</f>
        <v>1138.69679933887</v>
      </c>
      <c r="K20" s="32" t="n">
        <f aca="false">$B$22*(K14-K113)</f>
        <v>1339.14111940498</v>
      </c>
      <c r="L20" s="32" t="n">
        <f aca="false">$B$22*(L14-L113)</f>
        <v>1521.36322855599</v>
      </c>
      <c r="M20" s="32" t="n">
        <f aca="false">$B$22*(M14-M113)</f>
        <v>1607.26793715575</v>
      </c>
      <c r="N20" s="32" t="n">
        <f aca="false">$B$22*(N14-N113)</f>
        <v>1607.26793715575</v>
      </c>
      <c r="O20" s="32" t="n">
        <f aca="false">$B$22*(O14-O113)</f>
        <v>1604.66476416788</v>
      </c>
      <c r="P20" s="32" t="n">
        <f aca="false">$B$22*(P14-P113)</f>
        <v>1607.26793715575</v>
      </c>
      <c r="Q20" s="32" t="n">
        <f aca="false">$B$22*(Q14-Q113)</f>
        <v>1604.66476416788</v>
      </c>
      <c r="R20" s="27"/>
    </row>
    <row r="21" customFormat="false" ht="15" hidden="false" customHeight="false" outlineLevel="0" collapsed="false">
      <c r="A21" s="32" t="s">
        <v>159</v>
      </c>
      <c r="E21" s="292"/>
      <c r="F21" s="293"/>
      <c r="G21" s="117" t="n">
        <f aca="false">G22-G20</f>
        <v>0</v>
      </c>
      <c r="H21" s="117" t="n">
        <f aca="false">H22-H20</f>
        <v>1171.42784454222</v>
      </c>
      <c r="I21" s="117" t="n">
        <f aca="false">I22-I20</f>
        <v>924.126410694419</v>
      </c>
      <c r="J21" s="117" t="n">
        <f aca="false">J22-J20</f>
        <v>702.856706725333</v>
      </c>
      <c r="K21" s="117" t="n">
        <f aca="false">K22-K20</f>
        <v>502.412386659219</v>
      </c>
      <c r="L21" s="117" t="n">
        <f aca="false">L22-L20</f>
        <v>320.190277508207</v>
      </c>
      <c r="M21" s="117" t="n">
        <f aca="false">M22-M20</f>
        <v>234.285568908444</v>
      </c>
      <c r="N21" s="117" t="n">
        <f aca="false">N22-N20</f>
        <v>234.285568908444</v>
      </c>
      <c r="O21" s="117" t="n">
        <f aca="false">O22-O20</f>
        <v>236.888741896316</v>
      </c>
      <c r="P21" s="117" t="n">
        <f aca="false">P22-P20</f>
        <v>234.285568908444</v>
      </c>
      <c r="Q21" s="117" t="n">
        <f aca="false">Q22-Q20</f>
        <v>236.888741896316</v>
      </c>
      <c r="R21" s="27"/>
    </row>
    <row r="22" customFormat="false" ht="12.75" hidden="false" customHeight="false" outlineLevel="0" collapsed="false">
      <c r="A22" s="207" t="s">
        <v>153</v>
      </c>
      <c r="B22" s="294" t="n">
        <f aca="false">Assumptions!D19</f>
        <v>0.385</v>
      </c>
      <c r="E22" s="214"/>
      <c r="F22" s="278" t="n">
        <v>0</v>
      </c>
      <c r="G22" s="32" t="n">
        <f aca="false">$B$22*G18</f>
        <v>1841.5535060642</v>
      </c>
      <c r="H22" s="32" t="n">
        <f aca="false">$B$22*H18</f>
        <v>1841.5535060642</v>
      </c>
      <c r="I22" s="32" t="n">
        <f aca="false">$B$22*I18</f>
        <v>1841.5535060642</v>
      </c>
      <c r="J22" s="32" t="n">
        <f aca="false">$B$22*J18</f>
        <v>1841.5535060642</v>
      </c>
      <c r="K22" s="32" t="n">
        <f aca="false">$B$22*K18</f>
        <v>1841.5535060642</v>
      </c>
      <c r="L22" s="32" t="n">
        <f aca="false">$B$22*L18</f>
        <v>1841.5535060642</v>
      </c>
      <c r="M22" s="32" t="n">
        <f aca="false">$B$22*M18</f>
        <v>1841.5535060642</v>
      </c>
      <c r="N22" s="32" t="n">
        <f aca="false">$B$22*N18</f>
        <v>1841.5535060642</v>
      </c>
      <c r="O22" s="32" t="n">
        <f aca="false">$B$22*O18</f>
        <v>1841.5535060642</v>
      </c>
      <c r="P22" s="32" t="n">
        <f aca="false">$B$22*P18</f>
        <v>1841.5535060642</v>
      </c>
      <c r="Q22" s="32" t="n">
        <f aca="false">$B$22*Q18</f>
        <v>1841.5535060642</v>
      </c>
      <c r="R22" s="27"/>
    </row>
    <row r="23" customFormat="false" ht="12.75" hidden="false" customHeight="false" outlineLevel="0" collapsed="false">
      <c r="A23" s="32"/>
      <c r="B23" s="54"/>
      <c r="E23" s="36"/>
      <c r="F23" s="278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27"/>
    </row>
    <row r="24" customFormat="false" ht="12.75" hidden="false" customHeight="false" outlineLevel="0" collapsed="false">
      <c r="A24" s="295" t="s">
        <v>125</v>
      </c>
      <c r="B24" s="125"/>
      <c r="C24" s="115"/>
      <c r="D24" s="115"/>
      <c r="E24" s="296"/>
      <c r="F24" s="291" t="n">
        <f aca="false">F18-F22</f>
        <v>6661</v>
      </c>
      <c r="G24" s="116" t="n">
        <f aca="false">G18-G22</f>
        <v>2941.70235384281</v>
      </c>
      <c r="H24" s="116" t="n">
        <f aca="false">H18-H22</f>
        <v>2941.70235384281</v>
      </c>
      <c r="I24" s="116" t="n">
        <f aca="false">I18-I22</f>
        <v>2941.70235384281</v>
      </c>
      <c r="J24" s="116" t="n">
        <f aca="false">J18-J22</f>
        <v>2941.70235384281</v>
      </c>
      <c r="K24" s="116" t="n">
        <f aca="false">K18-K22</f>
        <v>2941.70235384281</v>
      </c>
      <c r="L24" s="116" t="n">
        <f aca="false">L18-L22</f>
        <v>2941.70235384281</v>
      </c>
      <c r="M24" s="116" t="n">
        <f aca="false">M18-M22</f>
        <v>2941.70235384281</v>
      </c>
      <c r="N24" s="116" t="n">
        <f aca="false">N18-N22</f>
        <v>2941.70235384281</v>
      </c>
      <c r="O24" s="116" t="n">
        <f aca="false">O18-O22</f>
        <v>2941.70235384281</v>
      </c>
      <c r="P24" s="116" t="n">
        <f aca="false">P18-P22</f>
        <v>2941.70235384281</v>
      </c>
      <c r="Q24" s="118" t="n">
        <f aca="false">Q18-Q22</f>
        <v>2941.70235384281</v>
      </c>
      <c r="R24" s="297" t="s">
        <v>118</v>
      </c>
    </row>
    <row r="25" customFormat="false" ht="12.75" hidden="false" customHeight="false" outlineLevel="0" collapsed="false">
      <c r="A25" s="32"/>
      <c r="B25" s="54"/>
      <c r="E25" s="36"/>
      <c r="F25" s="27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97" t="s">
        <v>176</v>
      </c>
    </row>
    <row r="26" customFormat="false" ht="12.75" hidden="false" customHeight="false" outlineLevel="0" collapsed="false">
      <c r="A26" s="32" t="s">
        <v>160</v>
      </c>
      <c r="B26" s="54"/>
      <c r="E26" s="36"/>
      <c r="F26" s="278" t="n">
        <f aca="false">F24+F21+F16</f>
        <v>6661</v>
      </c>
      <c r="G26" s="32" t="n">
        <f aca="false">G24+G21+G16</f>
        <v>6322.4464939358</v>
      </c>
      <c r="H26" s="32" t="n">
        <f aca="false">H24+H21+H16</f>
        <v>7493.87433847802</v>
      </c>
      <c r="I26" s="32" t="n">
        <f aca="false">I24+I21+I16</f>
        <v>7246.57290463022</v>
      </c>
      <c r="J26" s="32" t="n">
        <f aca="false">J24+J21+J16</f>
        <v>7025.30320066113</v>
      </c>
      <c r="K26" s="32" t="n">
        <f aca="false">K24+K21+K16</f>
        <v>6824.85888059502</v>
      </c>
      <c r="L26" s="32" t="n">
        <f aca="false">L24+L21+L16</f>
        <v>6642.63677144401</v>
      </c>
      <c r="M26" s="32" t="n">
        <f aca="false">M24+M21+M16</f>
        <v>6556.73206284425</v>
      </c>
      <c r="N26" s="32" t="n">
        <f aca="false">N24+N21+N16</f>
        <v>6556.73206284425</v>
      </c>
      <c r="O26" s="32" t="n">
        <f aca="false">O24+O21+O16</f>
        <v>6559.33523583212</v>
      </c>
      <c r="P26" s="32" t="n">
        <f aca="false">P24+P21+P16</f>
        <v>6556.73206284425</v>
      </c>
      <c r="Q26" s="32" t="n">
        <f aca="false">Q24+Q21+Q16</f>
        <v>6559.33523583212</v>
      </c>
      <c r="R26" s="297" t="s">
        <v>191</v>
      </c>
    </row>
    <row r="27" customFormat="false" ht="12.75" hidden="false" customHeight="false" outlineLevel="0" collapsed="false">
      <c r="A27" s="32" t="s">
        <v>131</v>
      </c>
      <c r="B27" s="298" t="n">
        <f aca="false">Assumptions!C38</f>
        <v>1</v>
      </c>
      <c r="E27" s="36"/>
      <c r="F27" s="278" t="n">
        <f aca="false">F102</f>
        <v>0</v>
      </c>
      <c r="G27" s="32" t="n">
        <f aca="false">G102</f>
        <v>0</v>
      </c>
      <c r="H27" s="32" t="n">
        <f aca="false">H102</f>
        <v>0</v>
      </c>
      <c r="I27" s="32" t="n">
        <f aca="false">I102</f>
        <v>0</v>
      </c>
      <c r="J27" s="32" t="n">
        <f aca="false">J102</f>
        <v>0</v>
      </c>
      <c r="K27" s="32" t="n">
        <f aca="false">K102</f>
        <v>0</v>
      </c>
      <c r="L27" s="32" t="n">
        <f aca="false">L102</f>
        <v>0</v>
      </c>
      <c r="M27" s="32" t="n">
        <f aca="false">M102</f>
        <v>0</v>
      </c>
      <c r="N27" s="32" t="n">
        <f aca="false">N102</f>
        <v>0</v>
      </c>
      <c r="O27" s="32" t="n">
        <f aca="false">O102</f>
        <v>0</v>
      </c>
      <c r="P27" s="32" t="n">
        <f aca="false">P102</f>
        <v>0</v>
      </c>
      <c r="Q27" s="32" t="n">
        <f aca="false">Q102</f>
        <v>0</v>
      </c>
      <c r="R27" s="348" t="n">
        <f aca="false">Assumptions!E43</f>
        <v>9</v>
      </c>
    </row>
    <row r="28" customFormat="false" ht="12.75" hidden="false" customHeight="false" outlineLevel="0" collapsed="false">
      <c r="A28" s="300" t="s">
        <v>161</v>
      </c>
      <c r="B28" s="115"/>
      <c r="C28" s="115"/>
      <c r="D28" s="115"/>
      <c r="E28" s="290"/>
      <c r="F28" s="291" t="n">
        <f aca="false">F26-F27</f>
        <v>6661</v>
      </c>
      <c r="G28" s="116" t="n">
        <f aca="false">G26-G27</f>
        <v>6322.4464939358</v>
      </c>
      <c r="H28" s="116" t="n">
        <f aca="false">H26-H27</f>
        <v>7493.87433847802</v>
      </c>
      <c r="I28" s="116" t="n">
        <f aca="false">I26-I27</f>
        <v>7246.57290463022</v>
      </c>
      <c r="J28" s="116" t="n">
        <f aca="false">J26-J27</f>
        <v>7025.30320066113</v>
      </c>
      <c r="K28" s="116" t="n">
        <f aca="false">K26-K27</f>
        <v>6824.85888059502</v>
      </c>
      <c r="L28" s="116" t="n">
        <f aca="false">L26-L27</f>
        <v>6642.63677144401</v>
      </c>
      <c r="M28" s="116" t="n">
        <f aca="false">M26-M27</f>
        <v>6556.73206284425</v>
      </c>
      <c r="N28" s="116" t="n">
        <f aca="false">N26-N27</f>
        <v>6556.73206284425</v>
      </c>
      <c r="O28" s="116" t="n">
        <f aca="false">O26-O27</f>
        <v>6559.33523583212</v>
      </c>
      <c r="P28" s="116" t="n">
        <f aca="false">P26-P27</f>
        <v>6556.73206284425</v>
      </c>
      <c r="Q28" s="116" t="n">
        <f aca="false">Q26-Q27</f>
        <v>6559.33523583212</v>
      </c>
      <c r="R28" s="118" t="n">
        <f aca="false">Q14*R27</f>
        <v>73476</v>
      </c>
    </row>
    <row r="29" customFormat="false" ht="12.75" hidden="false" customHeight="false" outlineLevel="0" collapsed="false">
      <c r="A29" s="207"/>
      <c r="E29" s="36"/>
      <c r="F29" s="278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customFormat="false" ht="13.5" hidden="false" customHeight="false" outlineLevel="0" collapsed="false">
      <c r="R30" s="32"/>
    </row>
    <row r="31" customFormat="false" ht="15" hidden="false" customHeight="false" outlineLevel="0" collapsed="false">
      <c r="F31" s="0"/>
      <c r="G31" s="302" t="s">
        <v>166</v>
      </c>
      <c r="H31" s="303" t="str">
        <f aca="false">(Assumptions!D12-1&amp;" EBITDA")</f>
        <v>2000 EBITDA</v>
      </c>
      <c r="I31" s="303" t="s">
        <v>177</v>
      </c>
      <c r="J31" s="304"/>
      <c r="K31" s="305" t="s">
        <v>167</v>
      </c>
      <c r="L31" s="305"/>
      <c r="M31" s="305"/>
      <c r="P31" s="32"/>
      <c r="Q31" s="32"/>
      <c r="R31" s="32"/>
    </row>
    <row r="32" customFormat="false" ht="15" hidden="false" customHeight="false" outlineLevel="0" collapsed="false">
      <c r="F32" s="0"/>
      <c r="G32" s="306" t="s">
        <v>168</v>
      </c>
      <c r="H32" s="307" t="s">
        <v>169</v>
      </c>
      <c r="I32" s="307" t="s">
        <v>178</v>
      </c>
      <c r="J32" s="308"/>
      <c r="K32" s="309" t="n">
        <f aca="false">OBLDRate-0.025</f>
        <v>0.075</v>
      </c>
      <c r="L32" s="309" t="n">
        <f aca="false">Assumptions!H43</f>
        <v>0.1</v>
      </c>
      <c r="M32" s="310" t="n">
        <f aca="false">OBLDRate+0.025</f>
        <v>0.125</v>
      </c>
      <c r="P32" s="32"/>
      <c r="Q32" s="32"/>
      <c r="R32" s="32"/>
    </row>
    <row r="33" customFormat="false" ht="12.75" hidden="false" customHeight="false" outlineLevel="0" collapsed="false">
      <c r="F33" s="52" t="s">
        <v>171</v>
      </c>
      <c r="G33" s="248"/>
      <c r="H33" s="311"/>
      <c r="I33" s="311"/>
      <c r="J33" s="249"/>
      <c r="K33" s="249"/>
      <c r="L33" s="249"/>
      <c r="M33" s="251"/>
      <c r="P33" s="32"/>
      <c r="Q33" s="32"/>
      <c r="R33" s="32"/>
    </row>
    <row r="34" customFormat="false" ht="13.5" hidden="false" customHeight="false" outlineLevel="0" collapsed="false">
      <c r="F34" s="0" t="n">
        <f aca="false">IF(ABS(G34-L34)&lt;0.05,0,1)</f>
        <v>0</v>
      </c>
      <c r="G34" s="312" t="n">
        <v>67614.8828018598</v>
      </c>
      <c r="H34" s="313" t="n">
        <f aca="false">G34/F14</f>
        <v>10.150860651833</v>
      </c>
      <c r="I34" s="314" t="str">
        <f aca="false">Assumptions!D40</f>
        <v>ETS</v>
      </c>
      <c r="J34" s="315"/>
      <c r="K34" s="344" t="n">
        <f aca="false">NPV(K32,$G$28:$R$28)</f>
        <v>80558.6004518385</v>
      </c>
      <c r="L34" s="345" t="n">
        <f aca="false">NPV(L32,$G$28:$R$28)</f>
        <v>67614.9246217905</v>
      </c>
      <c r="M34" s="257" t="n">
        <f aca="false">NPV(M32,$G$28:$R$28)</f>
        <v>57475.523108856</v>
      </c>
      <c r="P34" s="32"/>
      <c r="Q34" s="32"/>
      <c r="R34" s="32"/>
    </row>
    <row r="35" customFormat="false" ht="12.75" hidden="false" customHeight="false" outlineLevel="0" collapsed="false">
      <c r="F35" s="0"/>
      <c r="G35" s="32"/>
      <c r="H35" s="319"/>
      <c r="I35" s="319"/>
      <c r="J35" s="32"/>
      <c r="K35" s="32"/>
      <c r="L35" s="32"/>
      <c r="M35" s="32"/>
      <c r="P35" s="32"/>
      <c r="Q35" s="32"/>
      <c r="R35" s="32"/>
    </row>
    <row r="36" customFormat="false" ht="12.75" hidden="false" customHeight="false" outlineLevel="0" collapsed="false">
      <c r="F36" s="32"/>
      <c r="G36" s="32"/>
      <c r="H36" s="32"/>
      <c r="I36" s="32"/>
      <c r="J36" s="32"/>
      <c r="K36" s="32"/>
      <c r="L36" s="32"/>
      <c r="N36" s="32"/>
      <c r="O36" s="32"/>
      <c r="P36" s="32"/>
      <c r="Q36" s="32"/>
    </row>
    <row r="37" customFormat="false" ht="12.75" hidden="false" customHeight="false" outlineLevel="0" collapsed="false">
      <c r="E37" s="32"/>
      <c r="F37" s="32"/>
      <c r="G37" s="32"/>
      <c r="I37" s="27"/>
      <c r="J37" s="27"/>
      <c r="K37" s="27"/>
      <c r="L37" s="27"/>
      <c r="M37" s="27"/>
      <c r="N37" s="27"/>
      <c r="O37" s="27"/>
      <c r="P37" s="27"/>
      <c r="Q37" s="27"/>
    </row>
    <row r="38" customFormat="false" ht="12.75" hidden="false" customHeight="false" outlineLevel="0" collapsed="false">
      <c r="E38" s="32"/>
      <c r="F38" s="32"/>
      <c r="G38" s="32"/>
      <c r="H38" s="32"/>
      <c r="I38" s="27"/>
      <c r="J38" s="27"/>
      <c r="K38" s="27"/>
      <c r="L38" s="27"/>
      <c r="M38" s="27"/>
      <c r="N38" s="27"/>
      <c r="O38" s="27"/>
      <c r="P38" s="27"/>
      <c r="Q38" s="27"/>
    </row>
    <row r="39" customFormat="false" ht="13.5" hidden="false" customHeight="false" outlineLevel="0" collapsed="false">
      <c r="A39" s="13" t="s">
        <v>179</v>
      </c>
    </row>
    <row r="40" customFormat="false" ht="13.5" hidden="false" customHeight="false" outlineLevel="0" collapsed="false">
      <c r="B40" s="320" t="s">
        <v>180</v>
      </c>
      <c r="C40" s="321" t="s">
        <v>181</v>
      </c>
      <c r="F40" s="322" t="n">
        <f aca="false">G40-1</f>
        <v>2000</v>
      </c>
      <c r="G40" s="13" t="n">
        <f aca="false">Assumptions!D12</f>
        <v>2001</v>
      </c>
      <c r="H40" s="13" t="n">
        <f aca="false">G40+1</f>
        <v>2002</v>
      </c>
      <c r="I40" s="13" t="n">
        <f aca="false">H40+1</f>
        <v>2003</v>
      </c>
      <c r="J40" s="13" t="n">
        <f aca="false">I40+1</f>
        <v>2004</v>
      </c>
      <c r="K40" s="13" t="n">
        <f aca="false">J40+1</f>
        <v>2005</v>
      </c>
      <c r="L40" s="13" t="n">
        <f aca="false">K40+1</f>
        <v>2006</v>
      </c>
      <c r="M40" s="13" t="n">
        <f aca="false">L40+1</f>
        <v>2007</v>
      </c>
      <c r="N40" s="13" t="n">
        <f aca="false">M40+1</f>
        <v>2008</v>
      </c>
      <c r="O40" s="13" t="n">
        <f aca="false">N40+1</f>
        <v>2009</v>
      </c>
      <c r="P40" s="13" t="n">
        <f aca="false">O40+1</f>
        <v>2010</v>
      </c>
      <c r="Q40" s="13" t="n">
        <f aca="false">P40+1</f>
        <v>2011</v>
      </c>
    </row>
    <row r="41" customFormat="false" ht="13.5" hidden="false" customHeight="false" outlineLevel="0" collapsed="false">
      <c r="A41" s="323" t="str">
        <f aca="false">A2</f>
        <v>  Asset 3- Cash Flow Analysis</v>
      </c>
      <c r="B41" s="324" t="n">
        <f aca="false">Assumptions!C38</f>
        <v>1</v>
      </c>
      <c r="C41" s="325" t="n">
        <v>1</v>
      </c>
      <c r="D41" s="115"/>
      <c r="E41" s="326"/>
      <c r="F41" s="291" t="n">
        <f aca="false">F54*$B$41</f>
        <v>10783</v>
      </c>
      <c r="G41" s="116" t="n">
        <f aca="false">CHOOSE($C$41,G54,G57,G60)*$B$41+G42</f>
        <v>12458</v>
      </c>
      <c r="H41" s="116" t="n">
        <f aca="false">CHOOSE($C$41,H54,H57,H60)*$B$41+H42</f>
        <v>12458</v>
      </c>
      <c r="I41" s="116" t="n">
        <f aca="false">CHOOSE($C$41,I54,I57,I60)*$B$41+I42</f>
        <v>12458</v>
      </c>
      <c r="J41" s="116" t="n">
        <f aca="false">CHOOSE($C$41,J54,J57,J60)*$B$41+J42</f>
        <v>12458</v>
      </c>
      <c r="K41" s="116" t="n">
        <f aca="false">CHOOSE($C$41,K54,K57,K60)*$B$41+K42</f>
        <v>12458</v>
      </c>
      <c r="L41" s="116" t="n">
        <f aca="false">CHOOSE($C$41,L54,L57,L60)*$B$41+L42</f>
        <v>12458</v>
      </c>
      <c r="M41" s="116" t="n">
        <f aca="false">CHOOSE($C$41,M54,M57,M60)*$B$41+M42</f>
        <v>12458</v>
      </c>
      <c r="N41" s="116" t="n">
        <f aca="false">CHOOSE($C$41,N54,N57,N60)*$B$41+N42</f>
        <v>12458</v>
      </c>
      <c r="O41" s="116" t="n">
        <f aca="false">CHOOSE($C$41,O54,O57,O60)*$B$41+O42</f>
        <v>12458</v>
      </c>
      <c r="P41" s="116" t="n">
        <f aca="false">CHOOSE($C$41,P54,P57,P60)*$B$41+P42</f>
        <v>12458</v>
      </c>
      <c r="Q41" s="118" t="n">
        <f aca="false">CHOOSE($C$41,Q54,Q57,Q60)*$B$41+Q42</f>
        <v>12458</v>
      </c>
    </row>
    <row r="42" customFormat="false" ht="12.75" hidden="false" customHeight="false" outlineLevel="0" collapsed="false">
      <c r="C42" s="327"/>
      <c r="F42" s="284" t="s">
        <v>182</v>
      </c>
      <c r="G42" s="32" t="n">
        <v>0</v>
      </c>
      <c r="H42" s="32" t="n">
        <v>0</v>
      </c>
      <c r="I42" s="32" t="n">
        <v>0</v>
      </c>
      <c r="J42" s="32" t="n">
        <v>0</v>
      </c>
      <c r="K42" s="32" t="n">
        <v>0</v>
      </c>
      <c r="L42" s="32" t="n">
        <v>0</v>
      </c>
      <c r="M42" s="32" t="n">
        <v>0</v>
      </c>
      <c r="N42" s="32" t="n">
        <v>0</v>
      </c>
      <c r="O42" s="32" t="n">
        <v>0</v>
      </c>
      <c r="P42" s="32" t="n">
        <v>0</v>
      </c>
      <c r="Q42" s="32" t="n">
        <v>0</v>
      </c>
    </row>
    <row r="43" customFormat="false" ht="12.75" hidden="false" customHeight="false" outlineLevel="0" collapsed="false">
      <c r="C43" s="328"/>
      <c r="D43" s="279"/>
      <c r="F43" s="207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customFormat="false" ht="12.75" hidden="false" customHeight="false" outlineLevel="0" collapsed="false">
      <c r="A44" s="12" t="str">
        <f aca="false">Assumptions!B50</f>
        <v>1. Base Case</v>
      </c>
      <c r="C44" s="328" t="n">
        <v>1</v>
      </c>
    </row>
    <row r="45" customFormat="false" ht="12.75" hidden="false" customHeight="false" outlineLevel="0" collapsed="false">
      <c r="A45" s="0" t="s">
        <v>217</v>
      </c>
      <c r="C45" s="328"/>
      <c r="D45" s="282"/>
      <c r="F45" s="278" t="n">
        <v>0</v>
      </c>
      <c r="G45" s="32" t="n">
        <v>0</v>
      </c>
      <c r="H45" s="134" t="n">
        <f aca="false">G45</f>
        <v>0</v>
      </c>
      <c r="I45" s="134" t="n">
        <f aca="false">H45</f>
        <v>0</v>
      </c>
      <c r="J45" s="134" t="n">
        <f aca="false">I45</f>
        <v>0</v>
      </c>
      <c r="K45" s="134" t="n">
        <f aca="false">J45</f>
        <v>0</v>
      </c>
      <c r="L45" s="134" t="n">
        <f aca="false">K45</f>
        <v>0</v>
      </c>
      <c r="M45" s="134" t="n">
        <f aca="false">L45</f>
        <v>0</v>
      </c>
      <c r="N45" s="134" t="n">
        <f aca="false">M45</f>
        <v>0</v>
      </c>
      <c r="O45" s="134" t="n">
        <f aca="false">N45</f>
        <v>0</v>
      </c>
      <c r="P45" s="134" t="n">
        <f aca="false">O45</f>
        <v>0</v>
      </c>
      <c r="Q45" s="134" t="n">
        <f aca="false">P45</f>
        <v>0</v>
      </c>
    </row>
    <row r="46" customFormat="false" ht="12.75" hidden="false" customHeight="false" outlineLevel="0" collapsed="false">
      <c r="A46" s="0" t="s">
        <v>218</v>
      </c>
      <c r="C46" s="328"/>
      <c r="D46" s="282"/>
      <c r="F46" s="278" t="n">
        <v>0</v>
      </c>
      <c r="G46" s="32" t="n">
        <v>0</v>
      </c>
      <c r="H46" s="134" t="n">
        <f aca="false">G46</f>
        <v>0</v>
      </c>
      <c r="I46" s="134" t="n">
        <f aca="false">H46</f>
        <v>0</v>
      </c>
      <c r="J46" s="134" t="n">
        <f aca="false">I46</f>
        <v>0</v>
      </c>
      <c r="K46" s="134" t="n">
        <f aca="false">J46</f>
        <v>0</v>
      </c>
      <c r="L46" s="134" t="n">
        <f aca="false">K46</f>
        <v>0</v>
      </c>
      <c r="M46" s="134" t="n">
        <f aca="false">L46</f>
        <v>0</v>
      </c>
      <c r="N46" s="134" t="n">
        <f aca="false">M46</f>
        <v>0</v>
      </c>
      <c r="O46" s="134" t="n">
        <f aca="false">N46</f>
        <v>0</v>
      </c>
      <c r="P46" s="134" t="n">
        <f aca="false">O46</f>
        <v>0</v>
      </c>
      <c r="Q46" s="134" t="n">
        <f aca="false">P46</f>
        <v>0</v>
      </c>
    </row>
    <row r="47" customFormat="false" ht="12.75" hidden="false" customHeight="false" outlineLevel="0" collapsed="false">
      <c r="A47" s="0" t="s">
        <v>219</v>
      </c>
      <c r="C47" s="328"/>
      <c r="D47" s="282"/>
      <c r="F47" s="278" t="n">
        <v>10923</v>
      </c>
      <c r="G47" s="32" t="n">
        <v>12388</v>
      </c>
      <c r="H47" s="134" t="n">
        <f aca="false">G47</f>
        <v>12388</v>
      </c>
      <c r="I47" s="134" t="n">
        <f aca="false">H47</f>
        <v>12388</v>
      </c>
      <c r="J47" s="134" t="n">
        <f aca="false">I47</f>
        <v>12388</v>
      </c>
      <c r="K47" s="134" t="n">
        <f aca="false">J47</f>
        <v>12388</v>
      </c>
      <c r="L47" s="134" t="n">
        <f aca="false">K47</f>
        <v>12388</v>
      </c>
      <c r="M47" s="134" t="n">
        <f aca="false">L47</f>
        <v>12388</v>
      </c>
      <c r="N47" s="134" t="n">
        <f aca="false">M47</f>
        <v>12388</v>
      </c>
      <c r="O47" s="134" t="n">
        <f aca="false">N47</f>
        <v>12388</v>
      </c>
      <c r="P47" s="134" t="n">
        <f aca="false">O47</f>
        <v>12388</v>
      </c>
      <c r="Q47" s="134" t="n">
        <f aca="false">P47</f>
        <v>12388</v>
      </c>
    </row>
    <row r="48" customFormat="false" ht="12.75" hidden="false" customHeight="false" outlineLevel="0" collapsed="false">
      <c r="A48" s="0" t="s">
        <v>220</v>
      </c>
      <c r="C48" s="328"/>
      <c r="D48" s="282"/>
      <c r="F48" s="278" t="n">
        <v>0</v>
      </c>
      <c r="G48" s="32" t="n">
        <v>0</v>
      </c>
      <c r="H48" s="134" t="n">
        <f aca="false">G48</f>
        <v>0</v>
      </c>
      <c r="I48" s="134" t="n">
        <f aca="false">H48</f>
        <v>0</v>
      </c>
      <c r="J48" s="134" t="n">
        <f aca="false">I48</f>
        <v>0</v>
      </c>
      <c r="K48" s="134" t="n">
        <f aca="false">J48</f>
        <v>0</v>
      </c>
      <c r="L48" s="134" t="n">
        <f aca="false">K48</f>
        <v>0</v>
      </c>
      <c r="M48" s="134" t="n">
        <f aca="false">L48</f>
        <v>0</v>
      </c>
      <c r="N48" s="134" t="n">
        <f aca="false">M48</f>
        <v>0</v>
      </c>
      <c r="O48" s="134" t="n">
        <f aca="false">N48</f>
        <v>0</v>
      </c>
      <c r="P48" s="134" t="n">
        <f aca="false">O48</f>
        <v>0</v>
      </c>
      <c r="Q48" s="134" t="n">
        <f aca="false">P48</f>
        <v>0</v>
      </c>
    </row>
    <row r="49" customFormat="false" ht="12.75" hidden="false" customHeight="false" outlineLevel="0" collapsed="false">
      <c r="A49" s="0" t="s">
        <v>194</v>
      </c>
      <c r="C49" s="328"/>
      <c r="D49" s="282"/>
      <c r="E49" s="36"/>
      <c r="F49" s="346" t="n">
        <v>0</v>
      </c>
      <c r="G49" s="121" t="n">
        <v>70</v>
      </c>
      <c r="H49" s="134" t="n">
        <f aca="false">G49</f>
        <v>70</v>
      </c>
      <c r="I49" s="121" t="n">
        <f aca="false">H49</f>
        <v>70</v>
      </c>
      <c r="J49" s="121" t="n">
        <f aca="false">I49</f>
        <v>70</v>
      </c>
      <c r="K49" s="121" t="n">
        <f aca="false">J49</f>
        <v>70</v>
      </c>
      <c r="L49" s="121" t="n">
        <f aca="false">K49</f>
        <v>70</v>
      </c>
      <c r="M49" s="121" t="n">
        <f aca="false">L49</f>
        <v>70</v>
      </c>
      <c r="N49" s="121" t="n">
        <f aca="false">M49</f>
        <v>70</v>
      </c>
      <c r="O49" s="121" t="n">
        <f aca="false">N49</f>
        <v>70</v>
      </c>
      <c r="P49" s="121" t="n">
        <f aca="false">O49</f>
        <v>70</v>
      </c>
      <c r="Q49" s="121" t="n">
        <f aca="false">P49</f>
        <v>70</v>
      </c>
    </row>
    <row r="50" customFormat="false" ht="12.75" hidden="false" customHeight="false" outlineLevel="0" collapsed="false">
      <c r="A50" s="347" t="s">
        <v>195</v>
      </c>
      <c r="C50" s="328"/>
      <c r="D50" s="282"/>
      <c r="F50" s="278"/>
      <c r="G50" s="32"/>
      <c r="H50" s="121"/>
      <c r="I50" s="134"/>
      <c r="J50" s="134"/>
      <c r="K50" s="134"/>
      <c r="L50" s="134"/>
      <c r="M50" s="134"/>
      <c r="N50" s="134"/>
      <c r="O50" s="134"/>
      <c r="P50" s="134"/>
      <c r="Q50" s="134"/>
    </row>
    <row r="51" customFormat="false" ht="12.75" hidden="false" customHeight="false" outlineLevel="0" collapsed="false">
      <c r="A51" s="0" t="s">
        <v>221</v>
      </c>
      <c r="C51" s="328"/>
      <c r="D51" s="282"/>
      <c r="F51" s="278" t="n">
        <v>0</v>
      </c>
      <c r="G51" s="32" t="n">
        <v>0</v>
      </c>
      <c r="H51" s="121" t="n">
        <f aca="false">G51</f>
        <v>0</v>
      </c>
      <c r="I51" s="121" t="n">
        <f aca="false">H51</f>
        <v>0</v>
      </c>
      <c r="J51" s="121" t="n">
        <f aca="false">I51</f>
        <v>0</v>
      </c>
      <c r="K51" s="121" t="n">
        <f aca="false">J51</f>
        <v>0</v>
      </c>
      <c r="L51" s="121" t="n">
        <f aca="false">K51</f>
        <v>0</v>
      </c>
      <c r="M51" s="121" t="n">
        <f aca="false">L51</f>
        <v>0</v>
      </c>
      <c r="N51" s="121" t="n">
        <f aca="false">M51</f>
        <v>0</v>
      </c>
      <c r="O51" s="121" t="n">
        <f aca="false">N51</f>
        <v>0</v>
      </c>
      <c r="P51" s="121" t="n">
        <f aca="false">O51</f>
        <v>0</v>
      </c>
      <c r="Q51" s="121" t="n">
        <f aca="false">P51</f>
        <v>0</v>
      </c>
    </row>
    <row r="52" customFormat="false" ht="12.75" hidden="false" customHeight="false" outlineLevel="0" collapsed="false">
      <c r="A52" s="0" t="s">
        <v>222</v>
      </c>
      <c r="C52" s="328"/>
      <c r="D52" s="282"/>
      <c r="F52" s="278" t="n">
        <v>0</v>
      </c>
      <c r="G52" s="32" t="n">
        <v>0</v>
      </c>
      <c r="H52" s="121" t="n">
        <f aca="false">G52</f>
        <v>0</v>
      </c>
      <c r="I52" s="121" t="n">
        <f aca="false">H52</f>
        <v>0</v>
      </c>
      <c r="J52" s="121" t="n">
        <f aca="false">I52</f>
        <v>0</v>
      </c>
      <c r="K52" s="121" t="n">
        <f aca="false">J52</f>
        <v>0</v>
      </c>
      <c r="L52" s="121" t="n">
        <f aca="false">K52</f>
        <v>0</v>
      </c>
      <c r="M52" s="121" t="n">
        <f aca="false">L52</f>
        <v>0</v>
      </c>
      <c r="N52" s="121" t="n">
        <f aca="false">M52</f>
        <v>0</v>
      </c>
      <c r="O52" s="121" t="n">
        <f aca="false">N52</f>
        <v>0</v>
      </c>
      <c r="P52" s="121" t="n">
        <f aca="false">O52</f>
        <v>0</v>
      </c>
      <c r="Q52" s="121" t="n">
        <f aca="false">P52</f>
        <v>0</v>
      </c>
    </row>
    <row r="53" customFormat="false" ht="15" hidden="false" customHeight="false" outlineLevel="0" collapsed="false">
      <c r="A53" s="0" t="s">
        <v>194</v>
      </c>
      <c r="C53" s="328"/>
      <c r="D53" s="329"/>
      <c r="E53" s="36"/>
      <c r="F53" s="293" t="n">
        <v>-140</v>
      </c>
      <c r="G53" s="117" t="n">
        <v>0</v>
      </c>
      <c r="H53" s="117" t="n">
        <f aca="false">G53</f>
        <v>0</v>
      </c>
      <c r="I53" s="117" t="n">
        <f aca="false">H53</f>
        <v>0</v>
      </c>
      <c r="J53" s="117" t="n">
        <f aca="false">I53</f>
        <v>0</v>
      </c>
      <c r="K53" s="117" t="n">
        <f aca="false">J53</f>
        <v>0</v>
      </c>
      <c r="L53" s="117" t="n">
        <f aca="false">K53</f>
        <v>0</v>
      </c>
      <c r="M53" s="117" t="n">
        <f aca="false">L53</f>
        <v>0</v>
      </c>
      <c r="N53" s="117" t="n">
        <f aca="false">M53</f>
        <v>0</v>
      </c>
      <c r="O53" s="117" t="n">
        <f aca="false">N53</f>
        <v>0</v>
      </c>
      <c r="P53" s="117" t="n">
        <f aca="false">O53</f>
        <v>0</v>
      </c>
      <c r="Q53" s="117" t="n">
        <f aca="false">P53</f>
        <v>0</v>
      </c>
    </row>
    <row r="54" customFormat="false" ht="12.75" hidden="false" customHeight="false" outlineLevel="0" collapsed="false">
      <c r="A54" s="190" t="s">
        <v>153</v>
      </c>
      <c r="B54" s="330" t="n">
        <v>1</v>
      </c>
      <c r="C54" s="328"/>
      <c r="D54" s="282"/>
      <c r="E54" s="283"/>
      <c r="F54" s="278" t="n">
        <f aca="false">SUM(F45:F53)*$B$54</f>
        <v>10783</v>
      </c>
      <c r="G54" s="32" t="n">
        <f aca="false">SUM(G45:G53)*$B$54+G55</f>
        <v>12458</v>
      </c>
      <c r="H54" s="32" t="n">
        <f aca="false">SUM(H45:H53)*$B$54+H55</f>
        <v>12458</v>
      </c>
      <c r="I54" s="32" t="n">
        <f aca="false">SUM(I45:I53)*$B$54+I55</f>
        <v>12458</v>
      </c>
      <c r="J54" s="32" t="n">
        <f aca="false">SUM(J45:J53)*$B$54+J55</f>
        <v>12458</v>
      </c>
      <c r="K54" s="32" t="n">
        <f aca="false">SUM(K45:K53)*$B$54+K55</f>
        <v>12458</v>
      </c>
      <c r="L54" s="32" t="n">
        <f aca="false">SUM(L45:L53)*$B$54+L55</f>
        <v>12458</v>
      </c>
      <c r="M54" s="32" t="n">
        <f aca="false">SUM(M45:M53)*$B$54+M55</f>
        <v>12458</v>
      </c>
      <c r="N54" s="32" t="n">
        <f aca="false">SUM(N45:N53)*$B$54+N55</f>
        <v>12458</v>
      </c>
      <c r="O54" s="32" t="n">
        <f aca="false">SUM(O45:O53)*$B$54+O55</f>
        <v>12458</v>
      </c>
      <c r="P54" s="32" t="n">
        <f aca="false">SUM(P45:P53)*$B$54+P55</f>
        <v>12458</v>
      </c>
      <c r="Q54" s="32" t="n">
        <f aca="false">SUM(Q45:Q53)*$B$54+Q55</f>
        <v>12458</v>
      </c>
    </row>
    <row r="55" customFormat="false" ht="12.75" hidden="false" customHeight="false" outlineLevel="0" collapsed="false">
      <c r="C55" s="328"/>
      <c r="F55" s="284" t="s">
        <v>182</v>
      </c>
      <c r="G55" s="32" t="n">
        <v>0</v>
      </c>
      <c r="H55" s="32" t="n">
        <v>0</v>
      </c>
      <c r="I55" s="32" t="n">
        <f aca="false">H55</f>
        <v>0</v>
      </c>
      <c r="J55" s="32" t="n">
        <f aca="false">I55</f>
        <v>0</v>
      </c>
      <c r="K55" s="32" t="n">
        <f aca="false">J55</f>
        <v>0</v>
      </c>
      <c r="L55" s="32" t="n">
        <f aca="false">K55</f>
        <v>0</v>
      </c>
      <c r="M55" s="32" t="n">
        <f aca="false">L55</f>
        <v>0</v>
      </c>
      <c r="N55" s="32" t="n">
        <f aca="false">M55</f>
        <v>0</v>
      </c>
      <c r="O55" s="32" t="n">
        <f aca="false">N55</f>
        <v>0</v>
      </c>
      <c r="P55" s="32" t="n">
        <f aca="false">O55</f>
        <v>0</v>
      </c>
      <c r="Q55" s="32" t="n">
        <f aca="false">P55</f>
        <v>0</v>
      </c>
    </row>
    <row r="56" customFormat="false" ht="12.75" hidden="false" customHeight="false" outlineLevel="0" collapsed="false">
      <c r="C56" s="328"/>
    </row>
    <row r="57" customFormat="false" ht="12.75" hidden="false" customHeight="false" outlineLevel="0" collapsed="false">
      <c r="A57" s="12" t="str">
        <f aca="false">Assumptions!B51</f>
        <v>2. Optimistic</v>
      </c>
      <c r="B57" s="330" t="n">
        <v>1</v>
      </c>
      <c r="C57" s="328" t="n">
        <v>2</v>
      </c>
      <c r="D57" s="282"/>
      <c r="F57" s="278" t="n">
        <f aca="false">F54</f>
        <v>10783</v>
      </c>
      <c r="G57" s="134" t="n">
        <f aca="false">F57*$B$57+G58</f>
        <v>10783</v>
      </c>
      <c r="H57" s="134" t="n">
        <f aca="false">G57*$B$57+H58</f>
        <v>10783</v>
      </c>
      <c r="I57" s="134" t="n">
        <f aca="false">H57*$B$57+I58</f>
        <v>10783</v>
      </c>
      <c r="J57" s="134" t="n">
        <f aca="false">I57*$B$57+J58</f>
        <v>10783</v>
      </c>
      <c r="K57" s="134" t="n">
        <f aca="false">J57*$B$57+K58</f>
        <v>10783</v>
      </c>
      <c r="L57" s="134" t="n">
        <f aca="false">K57*$B$57+L58</f>
        <v>10783</v>
      </c>
      <c r="M57" s="134" t="n">
        <f aca="false">L57*$B$57+M58</f>
        <v>10783</v>
      </c>
      <c r="N57" s="134" t="n">
        <f aca="false">M57*$B$57+N58</f>
        <v>10783</v>
      </c>
      <c r="O57" s="134" t="n">
        <f aca="false">N57*$B$57+O58</f>
        <v>10783</v>
      </c>
      <c r="P57" s="134" t="n">
        <f aca="false">O57*$B$57+P58</f>
        <v>10783</v>
      </c>
      <c r="Q57" s="134" t="n">
        <f aca="false">P57*$B$57+Q58</f>
        <v>10783</v>
      </c>
    </row>
    <row r="58" customFormat="false" ht="12.75" hidden="false" customHeight="false" outlineLevel="0" collapsed="false">
      <c r="A58" s="12"/>
      <c r="C58" s="328"/>
      <c r="F58" s="284" t="s">
        <v>182</v>
      </c>
      <c r="G58" s="32" t="n">
        <v>0</v>
      </c>
      <c r="H58" s="32" t="n">
        <v>0</v>
      </c>
      <c r="I58" s="32" t="n">
        <f aca="false">H58</f>
        <v>0</v>
      </c>
      <c r="J58" s="32" t="n">
        <f aca="false">I58</f>
        <v>0</v>
      </c>
      <c r="K58" s="32" t="n">
        <f aca="false">J58</f>
        <v>0</v>
      </c>
      <c r="L58" s="32" t="n">
        <f aca="false">K58</f>
        <v>0</v>
      </c>
      <c r="M58" s="32" t="n">
        <f aca="false">L58</f>
        <v>0</v>
      </c>
      <c r="N58" s="32" t="n">
        <f aca="false">M58</f>
        <v>0</v>
      </c>
      <c r="O58" s="32" t="n">
        <f aca="false">N58</f>
        <v>0</v>
      </c>
      <c r="P58" s="32" t="n">
        <f aca="false">O58</f>
        <v>0</v>
      </c>
      <c r="Q58" s="32" t="n">
        <f aca="false">P58</f>
        <v>0</v>
      </c>
    </row>
    <row r="59" customFormat="false" ht="12.75" hidden="false" customHeight="false" outlineLevel="0" collapsed="false">
      <c r="A59" s="12"/>
      <c r="C59" s="328"/>
    </row>
    <row r="60" customFormat="false" ht="12.75" hidden="false" customHeight="false" outlineLevel="0" collapsed="false">
      <c r="A60" s="12" t="str">
        <f aca="false">Assumptions!B52</f>
        <v>3. Pessimistic</v>
      </c>
      <c r="B60" s="330" t="n">
        <v>1.02</v>
      </c>
      <c r="C60" s="328" t="n">
        <v>3</v>
      </c>
      <c r="D60" s="282"/>
      <c r="F60" s="278" t="n">
        <f aca="false">F54</f>
        <v>10783</v>
      </c>
      <c r="G60" s="134" t="n">
        <f aca="false">G54</f>
        <v>12458</v>
      </c>
      <c r="H60" s="134" t="n">
        <f aca="false">H54</f>
        <v>12458</v>
      </c>
      <c r="I60" s="134" t="n">
        <f aca="false">H60*$B$60+I61</f>
        <v>12707.16</v>
      </c>
      <c r="J60" s="134" t="n">
        <f aca="false">I60*$B$60+J61</f>
        <v>12961.3032</v>
      </c>
      <c r="K60" s="134" t="n">
        <f aca="false">J60*$B$60+K61</f>
        <v>13220.529264</v>
      </c>
      <c r="L60" s="134" t="n">
        <f aca="false">K60*$B$60+L61</f>
        <v>13484.93984928</v>
      </c>
      <c r="M60" s="134" t="n">
        <f aca="false">L60*$B$60+M61</f>
        <v>13754.6386462656</v>
      </c>
      <c r="N60" s="134" t="n">
        <f aca="false">M60*$B$60+N61</f>
        <v>14029.7314191909</v>
      </c>
      <c r="O60" s="134" t="n">
        <f aca="false">N60*$B$60+O61</f>
        <v>14310.3260475747</v>
      </c>
      <c r="P60" s="134" t="n">
        <f aca="false">O60*$B$60+P61</f>
        <v>14596.5325685262</v>
      </c>
      <c r="Q60" s="134" t="n">
        <f aca="false">P60*$B$60+Q61</f>
        <v>14888.4632198968</v>
      </c>
    </row>
    <row r="61" customFormat="false" ht="13.5" hidden="false" customHeight="false" outlineLevel="0" collapsed="false">
      <c r="C61" s="331"/>
      <c r="F61" s="284" t="s">
        <v>182</v>
      </c>
      <c r="G61" s="32" t="n">
        <v>0</v>
      </c>
      <c r="H61" s="32" t="n">
        <v>0</v>
      </c>
      <c r="I61" s="32" t="n">
        <f aca="false">H61</f>
        <v>0</v>
      </c>
      <c r="J61" s="32" t="n">
        <f aca="false">I61</f>
        <v>0</v>
      </c>
      <c r="K61" s="32" t="n">
        <f aca="false">J61</f>
        <v>0</v>
      </c>
      <c r="L61" s="32" t="n">
        <f aca="false">K61</f>
        <v>0</v>
      </c>
      <c r="M61" s="32" t="n">
        <f aca="false">L61</f>
        <v>0</v>
      </c>
      <c r="N61" s="32" t="n">
        <f aca="false">M61</f>
        <v>0</v>
      </c>
      <c r="O61" s="32" t="n">
        <f aca="false">N61</f>
        <v>0</v>
      </c>
      <c r="P61" s="32" t="n">
        <f aca="false">O61</f>
        <v>0</v>
      </c>
      <c r="Q61" s="32" t="n">
        <f aca="false">P61</f>
        <v>0</v>
      </c>
    </row>
    <row r="64" customFormat="false" ht="13.5" hidden="false" customHeight="false" outlineLevel="0" collapsed="false">
      <c r="A64" s="13" t="s">
        <v>184</v>
      </c>
    </row>
    <row r="65" customFormat="false" ht="13.5" hidden="false" customHeight="false" outlineLevel="0" collapsed="false">
      <c r="B65" s="320" t="s">
        <v>180</v>
      </c>
      <c r="C65" s="321" t="s">
        <v>181</v>
      </c>
      <c r="F65" s="322" t="n">
        <f aca="false">G65-1</f>
        <v>2000</v>
      </c>
      <c r="G65" s="13" t="n">
        <f aca="false">Assumptions!D12</f>
        <v>2001</v>
      </c>
      <c r="H65" s="13" t="n">
        <f aca="false">G65+1</f>
        <v>2002</v>
      </c>
      <c r="I65" s="13" t="n">
        <f aca="false">H65+1</f>
        <v>2003</v>
      </c>
      <c r="J65" s="13" t="n">
        <f aca="false">I65+1</f>
        <v>2004</v>
      </c>
      <c r="K65" s="13" t="n">
        <f aca="false">J65+1</f>
        <v>2005</v>
      </c>
      <c r="L65" s="13" t="n">
        <f aca="false">K65+1</f>
        <v>2006</v>
      </c>
      <c r="M65" s="13" t="n">
        <f aca="false">L65+1</f>
        <v>2007</v>
      </c>
      <c r="N65" s="13" t="n">
        <f aca="false">M65+1</f>
        <v>2008</v>
      </c>
      <c r="O65" s="13" t="n">
        <f aca="false">N65+1</f>
        <v>2009</v>
      </c>
      <c r="P65" s="13" t="n">
        <f aca="false">O65+1</f>
        <v>2010</v>
      </c>
      <c r="Q65" s="13" t="n">
        <f aca="false">P65+1</f>
        <v>2011</v>
      </c>
    </row>
    <row r="66" customFormat="false" ht="13.5" hidden="false" customHeight="false" outlineLevel="0" collapsed="false">
      <c r="A66" s="323" t="str">
        <f aca="false">A2</f>
        <v>  Asset 3- Cash Flow Analysis</v>
      </c>
      <c r="B66" s="324" t="n">
        <f aca="false">Assumptions!C38</f>
        <v>1</v>
      </c>
      <c r="C66" s="332" t="n">
        <v>1</v>
      </c>
      <c r="D66" s="115"/>
      <c r="E66" s="326"/>
      <c r="F66" s="333" t="n">
        <f aca="false">F90*$B$66</f>
        <v>4122</v>
      </c>
      <c r="G66" s="116" t="n">
        <f aca="false">CHOOSE($C$66,G90,G93,G96)*$B$66+G67</f>
        <v>4294</v>
      </c>
      <c r="H66" s="116" t="n">
        <f aca="false">CHOOSE($C$66,H90,H93,H96)*$B$66+H67</f>
        <v>4294</v>
      </c>
      <c r="I66" s="116" t="n">
        <f aca="false">CHOOSE($C$66,I90,I93,I96)*$B$66+I67</f>
        <v>4294</v>
      </c>
      <c r="J66" s="116" t="n">
        <f aca="false">CHOOSE($C$66,J90,J93,J96)*$B$66+J67</f>
        <v>4294</v>
      </c>
      <c r="K66" s="116" t="n">
        <f aca="false">CHOOSE($C$66,K90,K93,K96)*$B$66+K67</f>
        <v>4294</v>
      </c>
      <c r="L66" s="116" t="n">
        <f aca="false">CHOOSE($C$66,L90,L93,L96)*$B$66+L67</f>
        <v>4294</v>
      </c>
      <c r="M66" s="116" t="n">
        <f aca="false">CHOOSE($C$66,M90,M93,M96)*$B$66+M67</f>
        <v>4294</v>
      </c>
      <c r="N66" s="116" t="n">
        <f aca="false">CHOOSE($C$66,N90,N93,N96)*$B$66+N67</f>
        <v>4294</v>
      </c>
      <c r="O66" s="116" t="n">
        <f aca="false">CHOOSE($C$66,O90,O93,O96)*$B$66+O67</f>
        <v>4294</v>
      </c>
      <c r="P66" s="116" t="n">
        <f aca="false">CHOOSE($C$66,P90,P93,P96)*$B$66+P67</f>
        <v>4294</v>
      </c>
      <c r="Q66" s="118" t="n">
        <f aca="false">CHOOSE($C$66,Q90,Q93,Q96)*$B$66+Q67</f>
        <v>4294</v>
      </c>
    </row>
    <row r="67" customFormat="false" ht="12.75" hidden="false" customHeight="false" outlineLevel="0" collapsed="false">
      <c r="C67" s="334"/>
      <c r="F67" s="284" t="s">
        <v>182</v>
      </c>
      <c r="G67" s="32" t="n">
        <v>0</v>
      </c>
      <c r="H67" s="32" t="n">
        <v>0</v>
      </c>
      <c r="I67" s="32" t="n">
        <v>0</v>
      </c>
      <c r="J67" s="32" t="n">
        <v>0</v>
      </c>
      <c r="K67" s="32" t="n">
        <v>0</v>
      </c>
      <c r="L67" s="32" t="n">
        <v>0</v>
      </c>
      <c r="M67" s="32" t="n">
        <v>0</v>
      </c>
      <c r="N67" s="32" t="n">
        <v>0</v>
      </c>
      <c r="O67" s="32" t="n">
        <v>0</v>
      </c>
      <c r="P67" s="32" t="n">
        <v>0</v>
      </c>
      <c r="Q67" s="32" t="n">
        <v>0</v>
      </c>
    </row>
    <row r="68" customFormat="false" ht="12.75" hidden="false" customHeight="false" outlineLevel="0" collapsed="false">
      <c r="C68" s="335"/>
      <c r="D68" s="279"/>
      <c r="E68" s="285"/>
    </row>
    <row r="69" customFormat="false" ht="12.75" hidden="false" customHeight="false" outlineLevel="0" collapsed="false">
      <c r="A69" s="12" t="str">
        <f aca="false">Assumptions!B56</f>
        <v>1. Base Case</v>
      </c>
      <c r="C69" s="335"/>
    </row>
    <row r="70" customFormat="false" ht="12.75" hidden="false" customHeight="false" outlineLevel="0" collapsed="false">
      <c r="C70" s="335"/>
    </row>
    <row r="71" customFormat="false" ht="12.75" hidden="false" customHeight="false" outlineLevel="0" collapsed="false">
      <c r="A71" s="347" t="s">
        <v>200</v>
      </c>
      <c r="C71" s="335"/>
    </row>
    <row r="72" customFormat="false" ht="12.75" hidden="false" customHeight="false" outlineLevel="0" collapsed="false">
      <c r="A72" s="0" t="s">
        <v>201</v>
      </c>
      <c r="C72" s="335"/>
      <c r="D72" s="282"/>
      <c r="E72" s="26"/>
      <c r="F72" s="278" t="n">
        <v>1199</v>
      </c>
      <c r="G72" s="32" t="n">
        <v>1270</v>
      </c>
      <c r="H72" s="32" t="n">
        <f aca="false">G72</f>
        <v>1270</v>
      </c>
      <c r="I72" s="32" t="n">
        <f aca="false">H72</f>
        <v>1270</v>
      </c>
      <c r="J72" s="32" t="n">
        <f aca="false">I72</f>
        <v>1270</v>
      </c>
      <c r="K72" s="32" t="n">
        <f aca="false">J72</f>
        <v>1270</v>
      </c>
      <c r="L72" s="32" t="n">
        <f aca="false">K72</f>
        <v>1270</v>
      </c>
      <c r="M72" s="32" t="n">
        <f aca="false">L72</f>
        <v>1270</v>
      </c>
      <c r="N72" s="32" t="n">
        <f aca="false">M72</f>
        <v>1270</v>
      </c>
      <c r="O72" s="32" t="n">
        <f aca="false">N72</f>
        <v>1270</v>
      </c>
      <c r="P72" s="32" t="n">
        <f aca="false">O72</f>
        <v>1270</v>
      </c>
      <c r="Q72" s="32" t="n">
        <f aca="false">P72</f>
        <v>1270</v>
      </c>
    </row>
    <row r="73" customFormat="false" ht="12.75" hidden="false" customHeight="false" outlineLevel="0" collapsed="false">
      <c r="A73" s="0" t="s">
        <v>202</v>
      </c>
      <c r="C73" s="335"/>
      <c r="D73" s="282"/>
      <c r="E73" s="26"/>
      <c r="F73" s="278" t="n">
        <v>34</v>
      </c>
      <c r="G73" s="32" t="n">
        <v>40</v>
      </c>
      <c r="H73" s="32" t="n">
        <f aca="false">G73</f>
        <v>40</v>
      </c>
      <c r="I73" s="32" t="n">
        <f aca="false">H73</f>
        <v>40</v>
      </c>
      <c r="J73" s="32" t="n">
        <f aca="false">I73</f>
        <v>40</v>
      </c>
      <c r="K73" s="32" t="n">
        <f aca="false">J73</f>
        <v>40</v>
      </c>
      <c r="L73" s="32" t="n">
        <f aca="false">K73</f>
        <v>40</v>
      </c>
      <c r="M73" s="32" t="n">
        <f aca="false">L73</f>
        <v>40</v>
      </c>
      <c r="N73" s="32" t="n">
        <f aca="false">M73</f>
        <v>40</v>
      </c>
      <c r="O73" s="32" t="n">
        <f aca="false">N73</f>
        <v>40</v>
      </c>
      <c r="P73" s="32" t="n">
        <f aca="false">O73</f>
        <v>40</v>
      </c>
      <c r="Q73" s="32" t="n">
        <f aca="false">P73</f>
        <v>40</v>
      </c>
    </row>
    <row r="74" customFormat="false" ht="12.75" hidden="false" customHeight="false" outlineLevel="0" collapsed="false">
      <c r="A74" s="0" t="s">
        <v>223</v>
      </c>
      <c r="C74" s="335"/>
      <c r="D74" s="282"/>
      <c r="E74" s="26"/>
      <c r="F74" s="278" t="n">
        <v>15</v>
      </c>
      <c r="G74" s="32" t="n">
        <v>10</v>
      </c>
      <c r="H74" s="32" t="n">
        <f aca="false">G74</f>
        <v>10</v>
      </c>
      <c r="I74" s="32" t="n">
        <f aca="false">H74</f>
        <v>10</v>
      </c>
      <c r="J74" s="32" t="n">
        <f aca="false">I74</f>
        <v>10</v>
      </c>
      <c r="K74" s="32" t="n">
        <f aca="false">J74</f>
        <v>10</v>
      </c>
      <c r="L74" s="32" t="n">
        <f aca="false">K74</f>
        <v>10</v>
      </c>
      <c r="M74" s="32" t="n">
        <f aca="false">L74</f>
        <v>10</v>
      </c>
      <c r="N74" s="32" t="n">
        <f aca="false">M74</f>
        <v>10</v>
      </c>
      <c r="O74" s="32" t="n">
        <f aca="false">N74</f>
        <v>10</v>
      </c>
      <c r="P74" s="32" t="n">
        <f aca="false">O74</f>
        <v>10</v>
      </c>
      <c r="Q74" s="32" t="n">
        <f aca="false">P74</f>
        <v>10</v>
      </c>
    </row>
    <row r="75" customFormat="false" ht="12.75" hidden="false" customHeight="false" outlineLevel="0" collapsed="false">
      <c r="A75" s="0" t="s">
        <v>204</v>
      </c>
      <c r="C75" s="335"/>
      <c r="D75" s="282"/>
      <c r="E75" s="26"/>
      <c r="F75" s="278" t="n">
        <v>0</v>
      </c>
      <c r="G75" s="32" t="n">
        <v>0</v>
      </c>
      <c r="H75" s="32" t="n">
        <f aca="false">G75</f>
        <v>0</v>
      </c>
      <c r="I75" s="32" t="n">
        <f aca="false">H75</f>
        <v>0</v>
      </c>
      <c r="J75" s="32" t="n">
        <f aca="false">I75</f>
        <v>0</v>
      </c>
      <c r="K75" s="32" t="n">
        <f aca="false">J75</f>
        <v>0</v>
      </c>
      <c r="L75" s="32" t="n">
        <f aca="false">K75</f>
        <v>0</v>
      </c>
      <c r="M75" s="32" t="n">
        <f aca="false">L75</f>
        <v>0</v>
      </c>
      <c r="N75" s="32" t="n">
        <f aca="false">M75</f>
        <v>0</v>
      </c>
      <c r="O75" s="32" t="n">
        <f aca="false">N75</f>
        <v>0</v>
      </c>
      <c r="P75" s="32" t="n">
        <f aca="false">O75</f>
        <v>0</v>
      </c>
      <c r="Q75" s="32" t="n">
        <f aca="false">P75</f>
        <v>0</v>
      </c>
    </row>
    <row r="76" customFormat="false" ht="12.75" hidden="false" customHeight="false" outlineLevel="0" collapsed="false">
      <c r="A76" s="0" t="s">
        <v>205</v>
      </c>
      <c r="C76" s="335"/>
      <c r="D76" s="282"/>
      <c r="E76" s="26"/>
      <c r="F76" s="278" t="n">
        <v>0</v>
      </c>
      <c r="G76" s="32" t="n">
        <v>0</v>
      </c>
      <c r="H76" s="32" t="n">
        <f aca="false">G76</f>
        <v>0</v>
      </c>
      <c r="I76" s="32" t="n">
        <f aca="false">H76</f>
        <v>0</v>
      </c>
      <c r="J76" s="32" t="n">
        <f aca="false">I76</f>
        <v>0</v>
      </c>
      <c r="K76" s="32" t="n">
        <f aca="false">J76</f>
        <v>0</v>
      </c>
      <c r="L76" s="32" t="n">
        <f aca="false">K76</f>
        <v>0</v>
      </c>
      <c r="M76" s="32" t="n">
        <f aca="false">L76</f>
        <v>0</v>
      </c>
      <c r="N76" s="32" t="n">
        <f aca="false">M76</f>
        <v>0</v>
      </c>
      <c r="O76" s="32" t="n">
        <f aca="false">N76</f>
        <v>0</v>
      </c>
      <c r="P76" s="32" t="n">
        <f aca="false">O76</f>
        <v>0</v>
      </c>
      <c r="Q76" s="32" t="n">
        <f aca="false">P76</f>
        <v>0</v>
      </c>
    </row>
    <row r="77" customFormat="false" ht="12.75" hidden="false" customHeight="false" outlineLevel="0" collapsed="false">
      <c r="A77" s="0" t="s">
        <v>206</v>
      </c>
      <c r="C77" s="335"/>
      <c r="D77" s="282"/>
      <c r="E77" s="26"/>
      <c r="F77" s="278" t="n">
        <v>0</v>
      </c>
      <c r="G77" s="32" t="n">
        <v>0</v>
      </c>
      <c r="H77" s="32" t="n">
        <f aca="false">G77</f>
        <v>0</v>
      </c>
      <c r="I77" s="32" t="n">
        <f aca="false">H77</f>
        <v>0</v>
      </c>
      <c r="J77" s="32" t="n">
        <f aca="false">I77</f>
        <v>0</v>
      </c>
      <c r="K77" s="32" t="n">
        <f aca="false">J77</f>
        <v>0</v>
      </c>
      <c r="L77" s="32" t="n">
        <f aca="false">K77</f>
        <v>0</v>
      </c>
      <c r="M77" s="32" t="n">
        <f aca="false">L77</f>
        <v>0</v>
      </c>
      <c r="N77" s="32" t="n">
        <f aca="false">M77</f>
        <v>0</v>
      </c>
      <c r="O77" s="32" t="n">
        <f aca="false">N77</f>
        <v>0</v>
      </c>
      <c r="P77" s="32" t="n">
        <f aca="false">O77</f>
        <v>0</v>
      </c>
      <c r="Q77" s="32" t="n">
        <f aca="false">P77</f>
        <v>0</v>
      </c>
    </row>
    <row r="78" customFormat="false" ht="12.75" hidden="false" customHeight="false" outlineLevel="0" collapsed="false">
      <c r="A78" s="0" t="s">
        <v>207</v>
      </c>
      <c r="C78" s="335"/>
      <c r="D78" s="282"/>
      <c r="E78" s="26"/>
      <c r="F78" s="278" t="n">
        <v>0</v>
      </c>
      <c r="G78" s="32" t="n">
        <v>0</v>
      </c>
      <c r="H78" s="32" t="n">
        <f aca="false">G78</f>
        <v>0</v>
      </c>
      <c r="I78" s="32" t="n">
        <f aca="false">H78</f>
        <v>0</v>
      </c>
      <c r="J78" s="32" t="n">
        <f aca="false">I78</f>
        <v>0</v>
      </c>
      <c r="K78" s="32" t="n">
        <f aca="false">J78</f>
        <v>0</v>
      </c>
      <c r="L78" s="32" t="n">
        <f aca="false">K78</f>
        <v>0</v>
      </c>
      <c r="M78" s="32" t="n">
        <f aca="false">L78</f>
        <v>0</v>
      </c>
      <c r="N78" s="32" t="n">
        <f aca="false">M78</f>
        <v>0</v>
      </c>
      <c r="O78" s="32" t="n">
        <f aca="false">N78</f>
        <v>0</v>
      </c>
      <c r="P78" s="32" t="n">
        <f aca="false">O78</f>
        <v>0</v>
      </c>
      <c r="Q78" s="32" t="n">
        <f aca="false">P78</f>
        <v>0</v>
      </c>
    </row>
    <row r="79" customFormat="false" ht="12.75" hidden="false" customHeight="false" outlineLevel="0" collapsed="false">
      <c r="A79" s="0" t="s">
        <v>208</v>
      </c>
      <c r="C79" s="335"/>
      <c r="D79" s="282"/>
      <c r="E79" s="26"/>
      <c r="F79" s="278" t="n">
        <v>0</v>
      </c>
      <c r="G79" s="32" t="n">
        <v>0</v>
      </c>
      <c r="H79" s="32" t="n">
        <f aca="false">G79</f>
        <v>0</v>
      </c>
      <c r="I79" s="32" t="n">
        <f aca="false">H79</f>
        <v>0</v>
      </c>
      <c r="J79" s="32" t="n">
        <f aca="false">I79</f>
        <v>0</v>
      </c>
      <c r="K79" s="32" t="n">
        <f aca="false">J79</f>
        <v>0</v>
      </c>
      <c r="L79" s="32" t="n">
        <f aca="false">K79</f>
        <v>0</v>
      </c>
      <c r="M79" s="32" t="n">
        <f aca="false">L79</f>
        <v>0</v>
      </c>
      <c r="N79" s="32" t="n">
        <f aca="false">M79</f>
        <v>0</v>
      </c>
      <c r="O79" s="32" t="n">
        <f aca="false">N79</f>
        <v>0</v>
      </c>
      <c r="P79" s="32" t="n">
        <f aca="false">O79</f>
        <v>0</v>
      </c>
      <c r="Q79" s="32" t="n">
        <f aca="false">P79</f>
        <v>0</v>
      </c>
    </row>
    <row r="80" customFormat="false" ht="12.75" hidden="false" customHeight="false" outlineLevel="0" collapsed="false">
      <c r="A80" s="0" t="s">
        <v>224</v>
      </c>
      <c r="C80" s="335"/>
      <c r="D80" s="282"/>
      <c r="E80" s="26"/>
      <c r="F80" s="278" t="n">
        <v>0</v>
      </c>
      <c r="G80" s="32" t="n">
        <v>0</v>
      </c>
      <c r="H80" s="32" t="n">
        <f aca="false">G80</f>
        <v>0</v>
      </c>
      <c r="I80" s="32" t="n">
        <f aca="false">H80</f>
        <v>0</v>
      </c>
      <c r="J80" s="32" t="n">
        <f aca="false">I80</f>
        <v>0</v>
      </c>
      <c r="K80" s="32" t="n">
        <f aca="false">J80</f>
        <v>0</v>
      </c>
      <c r="L80" s="32" t="n">
        <f aca="false">K80</f>
        <v>0</v>
      </c>
      <c r="M80" s="32" t="n">
        <f aca="false">L80</f>
        <v>0</v>
      </c>
      <c r="N80" s="32" t="n">
        <f aca="false">M80</f>
        <v>0</v>
      </c>
      <c r="O80" s="32" t="n">
        <f aca="false">N80</f>
        <v>0</v>
      </c>
      <c r="P80" s="32" t="n">
        <f aca="false">O80</f>
        <v>0</v>
      </c>
      <c r="Q80" s="32" t="n">
        <f aca="false">P80</f>
        <v>0</v>
      </c>
    </row>
    <row r="81" customFormat="false" ht="12.75" hidden="false" customHeight="false" outlineLevel="0" collapsed="false">
      <c r="A81" s="0" t="s">
        <v>209</v>
      </c>
      <c r="C81" s="335"/>
      <c r="D81" s="282"/>
      <c r="E81" s="26"/>
      <c r="F81" s="278" t="n">
        <v>0</v>
      </c>
      <c r="G81" s="32" t="n">
        <v>0</v>
      </c>
      <c r="H81" s="32" t="n">
        <f aca="false">G81</f>
        <v>0</v>
      </c>
      <c r="I81" s="32" t="n">
        <f aca="false">H81</f>
        <v>0</v>
      </c>
      <c r="J81" s="32" t="n">
        <f aca="false">I81</f>
        <v>0</v>
      </c>
      <c r="K81" s="32" t="n">
        <f aca="false">J81</f>
        <v>0</v>
      </c>
      <c r="L81" s="32" t="n">
        <f aca="false">K81</f>
        <v>0</v>
      </c>
      <c r="M81" s="32" t="n">
        <f aca="false">L81</f>
        <v>0</v>
      </c>
      <c r="N81" s="32" t="n">
        <f aca="false">M81</f>
        <v>0</v>
      </c>
      <c r="O81" s="32" t="n">
        <f aca="false">N81</f>
        <v>0</v>
      </c>
      <c r="P81" s="32" t="n">
        <f aca="false">O81</f>
        <v>0</v>
      </c>
      <c r="Q81" s="32" t="n">
        <f aca="false">P81</f>
        <v>0</v>
      </c>
    </row>
    <row r="82" customFormat="false" ht="12.75" hidden="false" customHeight="false" outlineLevel="0" collapsed="false">
      <c r="A82" s="0" t="s">
        <v>225</v>
      </c>
      <c r="C82" s="335"/>
      <c r="D82" s="282"/>
      <c r="E82" s="26"/>
      <c r="F82" s="278" t="n">
        <v>0</v>
      </c>
      <c r="G82" s="32" t="n">
        <v>0</v>
      </c>
      <c r="H82" s="32" t="n">
        <f aca="false">G82</f>
        <v>0</v>
      </c>
      <c r="I82" s="32" t="n">
        <f aca="false">H82</f>
        <v>0</v>
      </c>
      <c r="J82" s="32" t="n">
        <f aca="false">I82</f>
        <v>0</v>
      </c>
      <c r="K82" s="32" t="n">
        <f aca="false">J82</f>
        <v>0</v>
      </c>
      <c r="L82" s="32" t="n">
        <f aca="false">K82</f>
        <v>0</v>
      </c>
      <c r="M82" s="32" t="n">
        <f aca="false">L82</f>
        <v>0</v>
      </c>
      <c r="N82" s="32" t="n">
        <f aca="false">M82</f>
        <v>0</v>
      </c>
      <c r="O82" s="32" t="n">
        <f aca="false">N82</f>
        <v>0</v>
      </c>
      <c r="P82" s="32" t="n">
        <f aca="false">O82</f>
        <v>0</v>
      </c>
      <c r="Q82" s="32" t="n">
        <f aca="false">P82</f>
        <v>0</v>
      </c>
    </row>
    <row r="83" customFormat="false" ht="12.75" hidden="false" customHeight="false" outlineLevel="0" collapsed="false">
      <c r="A83" s="0" t="s">
        <v>194</v>
      </c>
      <c r="C83" s="335"/>
      <c r="D83" s="282"/>
      <c r="E83" s="26"/>
      <c r="F83" s="278" t="n">
        <v>0</v>
      </c>
      <c r="G83" s="32" t="n">
        <v>0</v>
      </c>
      <c r="H83" s="32" t="n">
        <f aca="false">G83</f>
        <v>0</v>
      </c>
      <c r="I83" s="32" t="n">
        <f aca="false">H83</f>
        <v>0</v>
      </c>
      <c r="J83" s="32" t="n">
        <f aca="false">I83</f>
        <v>0</v>
      </c>
      <c r="K83" s="32" t="n">
        <f aca="false">J83</f>
        <v>0</v>
      </c>
      <c r="L83" s="32" t="n">
        <f aca="false">K83</f>
        <v>0</v>
      </c>
      <c r="M83" s="32" t="n">
        <f aca="false">L83</f>
        <v>0</v>
      </c>
      <c r="N83" s="32" t="n">
        <f aca="false">M83</f>
        <v>0</v>
      </c>
      <c r="O83" s="32" t="n">
        <f aca="false">N83</f>
        <v>0</v>
      </c>
      <c r="P83" s="32" t="n">
        <f aca="false">O83</f>
        <v>0</v>
      </c>
      <c r="Q83" s="32" t="n">
        <f aca="false">P83</f>
        <v>0</v>
      </c>
    </row>
    <row r="84" customFormat="false" ht="12.75" hidden="false" customHeight="false" outlineLevel="0" collapsed="false">
      <c r="A84" s="347" t="s">
        <v>210</v>
      </c>
      <c r="C84" s="335"/>
      <c r="D84" s="282"/>
      <c r="E84" s="26"/>
      <c r="F84" s="278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customFormat="false" ht="12.75" hidden="false" customHeight="false" outlineLevel="0" collapsed="false">
      <c r="A85" s="0" t="s">
        <v>211</v>
      </c>
      <c r="C85" s="335"/>
      <c r="D85" s="282"/>
      <c r="E85" s="26"/>
      <c r="F85" s="278" t="n">
        <v>2574</v>
      </c>
      <c r="G85" s="32" t="n">
        <v>2574</v>
      </c>
      <c r="H85" s="32" t="n">
        <f aca="false">G85</f>
        <v>2574</v>
      </c>
      <c r="I85" s="32" t="n">
        <f aca="false">H85</f>
        <v>2574</v>
      </c>
      <c r="J85" s="32" t="n">
        <f aca="false">I85</f>
        <v>2574</v>
      </c>
      <c r="K85" s="32" t="n">
        <f aca="false">J85</f>
        <v>2574</v>
      </c>
      <c r="L85" s="32" t="n">
        <f aca="false">K85</f>
        <v>2574</v>
      </c>
      <c r="M85" s="32" t="n">
        <f aca="false">L85</f>
        <v>2574</v>
      </c>
      <c r="N85" s="32" t="n">
        <f aca="false">M85</f>
        <v>2574</v>
      </c>
      <c r="O85" s="32" t="n">
        <f aca="false">N85</f>
        <v>2574</v>
      </c>
      <c r="P85" s="32" t="n">
        <f aca="false">O85</f>
        <v>2574</v>
      </c>
      <c r="Q85" s="32" t="n">
        <f aca="false">P85</f>
        <v>2574</v>
      </c>
    </row>
    <row r="86" customFormat="false" ht="12.75" hidden="false" customHeight="false" outlineLevel="0" collapsed="false">
      <c r="A86" s="0" t="s">
        <v>226</v>
      </c>
      <c r="C86" s="335"/>
      <c r="D86" s="282"/>
      <c r="E86" s="26"/>
      <c r="F86" s="278" t="n">
        <v>0</v>
      </c>
      <c r="G86" s="32" t="n">
        <v>0</v>
      </c>
      <c r="H86" s="32" t="n">
        <f aca="false">G86</f>
        <v>0</v>
      </c>
      <c r="I86" s="32" t="n">
        <f aca="false">H86</f>
        <v>0</v>
      </c>
      <c r="J86" s="32" t="n">
        <f aca="false">I86</f>
        <v>0</v>
      </c>
      <c r="K86" s="32" t="n">
        <f aca="false">J86</f>
        <v>0</v>
      </c>
      <c r="L86" s="32" t="n">
        <f aca="false">K86</f>
        <v>0</v>
      </c>
      <c r="M86" s="32" t="n">
        <f aca="false">L86</f>
        <v>0</v>
      </c>
      <c r="N86" s="32" t="n">
        <f aca="false">M86</f>
        <v>0</v>
      </c>
      <c r="O86" s="32" t="n">
        <f aca="false">N86</f>
        <v>0</v>
      </c>
      <c r="P86" s="32" t="n">
        <f aca="false">O86</f>
        <v>0</v>
      </c>
      <c r="Q86" s="32" t="n">
        <f aca="false">P86</f>
        <v>0</v>
      </c>
    </row>
    <row r="87" customFormat="false" ht="12.75" hidden="false" customHeight="false" outlineLevel="0" collapsed="false">
      <c r="A87" s="0" t="s">
        <v>214</v>
      </c>
      <c r="C87" s="335"/>
      <c r="D87" s="282"/>
      <c r="E87" s="26"/>
      <c r="F87" s="278" t="n">
        <v>300</v>
      </c>
      <c r="G87" s="32" t="n">
        <v>400</v>
      </c>
      <c r="H87" s="32" t="n">
        <f aca="false">G87</f>
        <v>400</v>
      </c>
      <c r="I87" s="32" t="n">
        <f aca="false">H87</f>
        <v>400</v>
      </c>
      <c r="J87" s="32" t="n">
        <f aca="false">I87</f>
        <v>400</v>
      </c>
      <c r="K87" s="32" t="n">
        <f aca="false">J87</f>
        <v>400</v>
      </c>
      <c r="L87" s="32" t="n">
        <f aca="false">K87</f>
        <v>400</v>
      </c>
      <c r="M87" s="32" t="n">
        <f aca="false">L87</f>
        <v>400</v>
      </c>
      <c r="N87" s="32" t="n">
        <f aca="false">M87</f>
        <v>400</v>
      </c>
      <c r="O87" s="32" t="n">
        <f aca="false">N87</f>
        <v>400</v>
      </c>
      <c r="P87" s="32" t="n">
        <f aca="false">O87</f>
        <v>400</v>
      </c>
      <c r="Q87" s="32" t="n">
        <f aca="false">P87</f>
        <v>400</v>
      </c>
    </row>
    <row r="88" customFormat="false" ht="12.75" hidden="false" customHeight="false" outlineLevel="0" collapsed="false">
      <c r="A88" s="0" t="s">
        <v>227</v>
      </c>
      <c r="C88" s="335"/>
      <c r="D88" s="282"/>
      <c r="E88" s="26"/>
      <c r="F88" s="278" t="n">
        <v>0</v>
      </c>
      <c r="G88" s="32" t="n">
        <v>0</v>
      </c>
      <c r="H88" s="32" t="n">
        <f aca="false">G88</f>
        <v>0</v>
      </c>
      <c r="I88" s="32" t="n">
        <f aca="false">H88</f>
        <v>0</v>
      </c>
      <c r="J88" s="32" t="n">
        <f aca="false">I88</f>
        <v>0</v>
      </c>
      <c r="K88" s="32" t="n">
        <f aca="false">J88</f>
        <v>0</v>
      </c>
      <c r="L88" s="32" t="n">
        <f aca="false">K88</f>
        <v>0</v>
      </c>
      <c r="M88" s="32" t="n">
        <f aca="false">L88</f>
        <v>0</v>
      </c>
      <c r="N88" s="32" t="n">
        <f aca="false">M88</f>
        <v>0</v>
      </c>
      <c r="O88" s="32" t="n">
        <f aca="false">N88</f>
        <v>0</v>
      </c>
      <c r="P88" s="32" t="n">
        <f aca="false">O88</f>
        <v>0</v>
      </c>
      <c r="Q88" s="32" t="n">
        <f aca="false">P88</f>
        <v>0</v>
      </c>
    </row>
    <row r="89" customFormat="false" ht="15" hidden="false" customHeight="false" outlineLevel="0" collapsed="false">
      <c r="A89" s="0" t="s">
        <v>215</v>
      </c>
      <c r="C89" s="335"/>
      <c r="D89" s="282"/>
      <c r="E89" s="349"/>
      <c r="F89" s="293" t="n">
        <v>0</v>
      </c>
      <c r="G89" s="117" t="n">
        <v>0</v>
      </c>
      <c r="H89" s="336" t="n">
        <f aca="false">G89</f>
        <v>0</v>
      </c>
      <c r="I89" s="336" t="n">
        <f aca="false">H89</f>
        <v>0</v>
      </c>
      <c r="J89" s="336" t="n">
        <f aca="false">I89</f>
        <v>0</v>
      </c>
      <c r="K89" s="336" t="n">
        <f aca="false">J89</f>
        <v>0</v>
      </c>
      <c r="L89" s="336" t="n">
        <f aca="false">K89</f>
        <v>0</v>
      </c>
      <c r="M89" s="336" t="n">
        <f aca="false">L89</f>
        <v>0</v>
      </c>
      <c r="N89" s="336" t="n">
        <f aca="false">M89</f>
        <v>0</v>
      </c>
      <c r="O89" s="336" t="n">
        <f aca="false">N89</f>
        <v>0</v>
      </c>
      <c r="P89" s="336" t="n">
        <f aca="false">O89</f>
        <v>0</v>
      </c>
      <c r="Q89" s="336" t="n">
        <f aca="false">P89</f>
        <v>0</v>
      </c>
    </row>
    <row r="90" customFormat="false" ht="12.75" hidden="false" customHeight="false" outlineLevel="0" collapsed="false">
      <c r="A90" s="190" t="s">
        <v>153</v>
      </c>
      <c r="B90" s="337" t="n">
        <v>1</v>
      </c>
      <c r="C90" s="328" t="n">
        <v>1</v>
      </c>
      <c r="D90" s="282"/>
      <c r="E90" s="26"/>
      <c r="F90" s="338" t="n">
        <f aca="false">SUM(F72:F89)</f>
        <v>4122</v>
      </c>
      <c r="G90" s="132" t="n">
        <f aca="false">SUM(G72:G89)*$B$90+G91</f>
        <v>4294</v>
      </c>
      <c r="H90" s="132" t="n">
        <f aca="false">SUM(H72:H89)*$B$90+H91</f>
        <v>4294</v>
      </c>
      <c r="I90" s="132" t="n">
        <f aca="false">SUM(I72:I89)*$B$90+I91</f>
        <v>4294</v>
      </c>
      <c r="J90" s="132" t="n">
        <f aca="false">SUM(J72:J89)*$B$90+J91</f>
        <v>4294</v>
      </c>
      <c r="K90" s="132" t="n">
        <f aca="false">SUM(K72:K89)*$B$90+K91</f>
        <v>4294</v>
      </c>
      <c r="L90" s="132" t="n">
        <f aca="false">SUM(L72:L89)*$B$90+L91</f>
        <v>4294</v>
      </c>
      <c r="M90" s="132" t="n">
        <f aca="false">SUM(M72:M89)*$B$90+M91</f>
        <v>4294</v>
      </c>
      <c r="N90" s="132" t="n">
        <f aca="false">SUM(N72:N89)*$B$90+N91</f>
        <v>4294</v>
      </c>
      <c r="O90" s="132" t="n">
        <f aca="false">SUM(O72:O89)*$B$90+O91</f>
        <v>4294</v>
      </c>
      <c r="P90" s="132" t="n">
        <f aca="false">SUM(P72:P89)*$B$90+P91</f>
        <v>4294</v>
      </c>
      <c r="Q90" s="132" t="n">
        <f aca="false">SUM(Q72:Q89)*$B$90+Q91</f>
        <v>4294</v>
      </c>
    </row>
    <row r="91" customFormat="false" ht="12.75" hidden="false" customHeight="false" outlineLevel="0" collapsed="false">
      <c r="C91" s="335"/>
      <c r="F91" s="284" t="s">
        <v>182</v>
      </c>
      <c r="G91" s="32" t="n">
        <v>0</v>
      </c>
      <c r="H91" s="32" t="n">
        <v>0</v>
      </c>
      <c r="I91" s="32" t="n">
        <v>0</v>
      </c>
      <c r="J91" s="32" t="n">
        <v>0</v>
      </c>
      <c r="K91" s="32" t="n">
        <v>0</v>
      </c>
      <c r="L91" s="32" t="n">
        <v>0</v>
      </c>
      <c r="M91" s="32" t="n">
        <v>0</v>
      </c>
      <c r="N91" s="32" t="n">
        <v>0</v>
      </c>
      <c r="O91" s="32" t="n">
        <v>0</v>
      </c>
      <c r="P91" s="32" t="n">
        <v>0</v>
      </c>
      <c r="Q91" s="32" t="n">
        <v>0</v>
      </c>
    </row>
    <row r="92" customFormat="false" ht="12.75" hidden="false" customHeight="false" outlineLevel="0" collapsed="false">
      <c r="C92" s="335"/>
    </row>
    <row r="93" customFormat="false" ht="12.75" hidden="false" customHeight="false" outlineLevel="0" collapsed="false">
      <c r="A93" s="12" t="str">
        <f aca="false">Assumptions!B57</f>
        <v>2. Optimistic</v>
      </c>
      <c r="B93" s="337" t="n">
        <v>1</v>
      </c>
      <c r="C93" s="328" t="n">
        <v>2</v>
      </c>
      <c r="D93" s="282"/>
      <c r="F93" s="338" t="n">
        <f aca="false">F90</f>
        <v>4122</v>
      </c>
      <c r="G93" s="134" t="n">
        <f aca="false">F93*$B$93+G94</f>
        <v>4122</v>
      </c>
      <c r="H93" s="134" t="n">
        <f aca="false">G93*$B$93+H94</f>
        <v>4122</v>
      </c>
      <c r="I93" s="134" t="n">
        <f aca="false">H93*$B$93+I94</f>
        <v>4122</v>
      </c>
      <c r="J93" s="134" t="n">
        <f aca="false">I93*$B$93+J94</f>
        <v>4122</v>
      </c>
      <c r="K93" s="134" t="n">
        <f aca="false">J93*$B$93+K94</f>
        <v>4122</v>
      </c>
      <c r="L93" s="134" t="n">
        <f aca="false">K93*$B$93+L94</f>
        <v>4122</v>
      </c>
      <c r="M93" s="134" t="n">
        <f aca="false">L93*$B$93+M94</f>
        <v>4122</v>
      </c>
      <c r="N93" s="134" t="n">
        <f aca="false">M93*$B$93+N94</f>
        <v>4122</v>
      </c>
      <c r="O93" s="134" t="n">
        <f aca="false">N93*$B$93+O94</f>
        <v>4122</v>
      </c>
      <c r="P93" s="134" t="n">
        <f aca="false">O93*$B$93+P94</f>
        <v>4122</v>
      </c>
      <c r="Q93" s="134" t="n">
        <f aca="false">P93*$B$93+Q94</f>
        <v>4122</v>
      </c>
    </row>
    <row r="94" customFormat="false" ht="12.75" hidden="false" customHeight="false" outlineLevel="0" collapsed="false">
      <c r="A94" s="12"/>
      <c r="C94" s="339"/>
      <c r="F94" s="284" t="s">
        <v>182</v>
      </c>
      <c r="G94" s="32" t="n">
        <v>0</v>
      </c>
      <c r="H94" s="32" t="n">
        <v>0</v>
      </c>
      <c r="I94" s="32" t="n">
        <f aca="false">H94</f>
        <v>0</v>
      </c>
      <c r="J94" s="32" t="n">
        <f aca="false">I94</f>
        <v>0</v>
      </c>
      <c r="K94" s="32" t="n">
        <f aca="false">J94</f>
        <v>0</v>
      </c>
      <c r="L94" s="32" t="n">
        <f aca="false">K94</f>
        <v>0</v>
      </c>
      <c r="M94" s="32" t="n">
        <f aca="false">L94</f>
        <v>0</v>
      </c>
      <c r="N94" s="32" t="n">
        <f aca="false">M94</f>
        <v>0</v>
      </c>
      <c r="O94" s="32" t="n">
        <f aca="false">N94</f>
        <v>0</v>
      </c>
      <c r="P94" s="32" t="n">
        <f aca="false">O94</f>
        <v>0</v>
      </c>
      <c r="Q94" s="32" t="n">
        <f aca="false">P94</f>
        <v>0</v>
      </c>
    </row>
    <row r="95" customFormat="false" ht="12.75" hidden="false" customHeight="false" outlineLevel="0" collapsed="false">
      <c r="A95" s="12"/>
      <c r="C95" s="339"/>
    </row>
    <row r="96" customFormat="false" ht="12.75" hidden="false" customHeight="false" outlineLevel="0" collapsed="false">
      <c r="A96" s="12" t="str">
        <f aca="false">Assumptions!B58</f>
        <v>3. Pessimistic</v>
      </c>
      <c r="B96" s="337" t="n">
        <v>1.01</v>
      </c>
      <c r="C96" s="328" t="n">
        <v>3</v>
      </c>
      <c r="D96" s="282"/>
      <c r="F96" s="338" t="n">
        <f aca="false">F90</f>
        <v>4122</v>
      </c>
      <c r="G96" s="134" t="n">
        <f aca="false">G90</f>
        <v>4294</v>
      </c>
      <c r="H96" s="134" t="n">
        <f aca="false">H90</f>
        <v>4294</v>
      </c>
      <c r="I96" s="134" t="n">
        <f aca="false">H96*$B$96+I97</f>
        <v>4336.94</v>
      </c>
      <c r="J96" s="134" t="n">
        <f aca="false">I96*$B$96+J97</f>
        <v>4380.3094</v>
      </c>
      <c r="K96" s="134" t="n">
        <f aca="false">J96*$B$96+K97</f>
        <v>4424.112494</v>
      </c>
      <c r="L96" s="134" t="n">
        <f aca="false">K96*$B$96+L97</f>
        <v>4468.35361894</v>
      </c>
      <c r="M96" s="134" t="n">
        <f aca="false">L96*$B$96+M97</f>
        <v>4513.0371551294</v>
      </c>
      <c r="N96" s="134" t="n">
        <f aca="false">M96*$B$96+N97</f>
        <v>4558.16752668069</v>
      </c>
      <c r="O96" s="134" t="n">
        <f aca="false">N96*$B$96+O97</f>
        <v>4603.7492019475</v>
      </c>
      <c r="P96" s="134" t="n">
        <f aca="false">O96*$B$96+P97</f>
        <v>4649.78669396698</v>
      </c>
      <c r="Q96" s="134" t="n">
        <f aca="false">P96*$B$96+Q97</f>
        <v>4696.28456090665</v>
      </c>
    </row>
    <row r="97" customFormat="false" ht="13.5" hidden="false" customHeight="false" outlineLevel="0" collapsed="false">
      <c r="C97" s="331"/>
      <c r="F97" s="284" t="s">
        <v>182</v>
      </c>
      <c r="G97" s="32" t="n">
        <v>0</v>
      </c>
      <c r="H97" s="32" t="n">
        <v>0</v>
      </c>
      <c r="I97" s="32" t="n">
        <f aca="false">H97</f>
        <v>0</v>
      </c>
      <c r="J97" s="32" t="n">
        <f aca="false">I97</f>
        <v>0</v>
      </c>
      <c r="K97" s="32" t="n">
        <f aca="false">J97</f>
        <v>0</v>
      </c>
      <c r="L97" s="32" t="n">
        <f aca="false">K97</f>
        <v>0</v>
      </c>
      <c r="M97" s="32" t="n">
        <f aca="false">L97</f>
        <v>0</v>
      </c>
      <c r="N97" s="32" t="n">
        <f aca="false">M97</f>
        <v>0</v>
      </c>
      <c r="O97" s="32" t="n">
        <f aca="false">N97</f>
        <v>0</v>
      </c>
      <c r="P97" s="32" t="n">
        <f aca="false">O97</f>
        <v>0</v>
      </c>
      <c r="Q97" s="32" t="n">
        <f aca="false">P97</f>
        <v>0</v>
      </c>
    </row>
    <row r="99" customFormat="false" ht="12.75" hidden="false" customHeight="false" outlineLevel="0" collapsed="false">
      <c r="A99" s="13" t="s">
        <v>131</v>
      </c>
    </row>
    <row r="100" customFormat="false" ht="12.75" hidden="false" customHeight="false" outlineLevel="0" collapsed="false">
      <c r="A100" s="0" t="s">
        <v>186</v>
      </c>
    </row>
    <row r="101" customFormat="false" ht="12.75" hidden="false" customHeight="false" outlineLevel="0" collapsed="false">
      <c r="A101" s="0" t="s">
        <v>228</v>
      </c>
    </row>
    <row r="102" customFormat="false" ht="12.75" hidden="false" customHeight="false" outlineLevel="0" collapsed="false">
      <c r="A102" s="52" t="s">
        <v>153</v>
      </c>
      <c r="F102" s="27" t="n">
        <f aca="false">SUM(F100:F101)</f>
        <v>0</v>
      </c>
      <c r="G102" s="27" t="n">
        <f aca="false">SUM(G100:G101)</f>
        <v>0</v>
      </c>
      <c r="H102" s="27" t="n">
        <f aca="false">SUM(H100:H101)</f>
        <v>0</v>
      </c>
      <c r="I102" s="27" t="n">
        <f aca="false">SUM(I100:I101)</f>
        <v>0</v>
      </c>
      <c r="J102" s="27" t="n">
        <f aca="false">SUM(J100:J101)</f>
        <v>0</v>
      </c>
      <c r="K102" s="27" t="n">
        <f aca="false">SUM(K100:K101)</f>
        <v>0</v>
      </c>
      <c r="L102" s="27" t="n">
        <f aca="false">SUM(L100:L101)</f>
        <v>0</v>
      </c>
      <c r="M102" s="27" t="n">
        <f aca="false">SUM(M100:M101)</f>
        <v>0</v>
      </c>
      <c r="N102" s="27" t="n">
        <f aca="false">SUM(N100:N101)</f>
        <v>0</v>
      </c>
      <c r="O102" s="27" t="n">
        <f aca="false">SUM(O100:O101)</f>
        <v>0</v>
      </c>
      <c r="P102" s="27" t="n">
        <f aca="false">SUM(P100:P101)</f>
        <v>0</v>
      </c>
      <c r="Q102" s="27" t="n">
        <f aca="false">SUM(Q100:Q101)</f>
        <v>0</v>
      </c>
    </row>
    <row r="103" customFormat="false" ht="12.75" hidden="false" customHeight="false" outlineLevel="0" collapsed="false">
      <c r="A103" s="52"/>
    </row>
    <row r="104" customFormat="false" ht="12.75" hidden="false" customHeight="false" outlineLevel="0" collapsed="false">
      <c r="A104" s="13" t="s">
        <v>188</v>
      </c>
    </row>
    <row r="105" customFormat="false" ht="12.75" hidden="false" customHeight="false" outlineLevel="0" collapsed="false">
      <c r="A105" s="225" t="s">
        <v>162</v>
      </c>
      <c r="B105" s="54" t="n">
        <f aca="false">Assumptions!D20</f>
        <v>20</v>
      </c>
      <c r="C105" s="227" t="n">
        <f aca="false">OBLPurPrice</f>
        <v>67614.8828018598</v>
      </c>
      <c r="D105" s="32"/>
      <c r="E105" s="36"/>
      <c r="F105" s="278"/>
      <c r="G105" s="340" t="n">
        <f aca="false">1/B105</f>
        <v>0.05</v>
      </c>
      <c r="H105" s="228" t="n">
        <f aca="false">G105</f>
        <v>0.05</v>
      </c>
      <c r="I105" s="228" t="n">
        <f aca="false">H105</f>
        <v>0.05</v>
      </c>
      <c r="J105" s="228" t="n">
        <f aca="false">I105</f>
        <v>0.05</v>
      </c>
      <c r="K105" s="228" t="n">
        <f aca="false">J105</f>
        <v>0.05</v>
      </c>
      <c r="L105" s="228" t="n">
        <f aca="false">K105</f>
        <v>0.05</v>
      </c>
      <c r="M105" s="228" t="n">
        <f aca="false">L105</f>
        <v>0.05</v>
      </c>
      <c r="N105" s="228" t="n">
        <f aca="false">M105</f>
        <v>0.05</v>
      </c>
      <c r="O105" s="228" t="n">
        <f aca="false">N105</f>
        <v>0.05</v>
      </c>
      <c r="P105" s="228" t="n">
        <f aca="false">O105</f>
        <v>0.05</v>
      </c>
      <c r="Q105" s="229" t="n">
        <f aca="false">P105</f>
        <v>0.05</v>
      </c>
    </row>
    <row r="106" customFormat="false" ht="12.75" hidden="false" customHeight="false" outlineLevel="0" collapsed="false">
      <c r="A106" s="32" t="s">
        <v>163</v>
      </c>
      <c r="C106" s="26"/>
      <c r="D106" s="26"/>
      <c r="E106" s="36"/>
      <c r="F106" s="278"/>
      <c r="G106" s="121" t="n">
        <f aca="false">C105/B105</f>
        <v>3380.74414009299</v>
      </c>
      <c r="H106" s="121" t="n">
        <f aca="false">+G106</f>
        <v>3380.74414009299</v>
      </c>
      <c r="I106" s="121" t="n">
        <f aca="false">+H106</f>
        <v>3380.74414009299</v>
      </c>
      <c r="J106" s="121" t="n">
        <f aca="false">+I106</f>
        <v>3380.74414009299</v>
      </c>
      <c r="K106" s="121" t="n">
        <f aca="false">+J106</f>
        <v>3380.74414009299</v>
      </c>
      <c r="L106" s="121" t="n">
        <f aca="false">+K106</f>
        <v>3380.74414009299</v>
      </c>
      <c r="M106" s="121" t="n">
        <f aca="false">+L106</f>
        <v>3380.74414009299</v>
      </c>
      <c r="N106" s="121" t="n">
        <f aca="false">+M106</f>
        <v>3380.74414009299</v>
      </c>
      <c r="O106" s="121" t="n">
        <f aca="false">+N106</f>
        <v>3380.74414009299</v>
      </c>
      <c r="P106" s="121" t="n">
        <f aca="false">+O106</f>
        <v>3380.74414009299</v>
      </c>
      <c r="Q106" s="121" t="n">
        <f aca="false">+P106</f>
        <v>3380.74414009299</v>
      </c>
    </row>
    <row r="107" customFormat="false" ht="15" hidden="false" customHeight="false" outlineLevel="0" collapsed="false">
      <c r="A107" s="32" t="s">
        <v>164</v>
      </c>
      <c r="E107" s="36"/>
      <c r="F107" s="278"/>
      <c r="G107" s="117" t="n">
        <f aca="false">($G$27*G105)</f>
        <v>0</v>
      </c>
      <c r="H107" s="117" t="n">
        <f aca="false">($G$27*H105)+($H$27*G105)</f>
        <v>0</v>
      </c>
      <c r="I107" s="117" t="n">
        <f aca="false">($G$27*I105)+($H$27*H105)+($I$27*G105)</f>
        <v>0</v>
      </c>
      <c r="J107" s="117" t="n">
        <f aca="false">($G$27*J105)+($H$27*I105)+($I$27*H105)+($J$27*G105)</f>
        <v>0</v>
      </c>
      <c r="K107" s="117" t="n">
        <f aca="false">($G$27*K105)+($H$27*J105)+($I$27*I105)+($J$27*H105)+($K$27*G105)</f>
        <v>0</v>
      </c>
      <c r="L107" s="117" t="n">
        <f aca="false">($G$27*L105)+($H$27*K105)+($I$27*J105)+($J$27*I105)+($K$27*H105)+($L$27*G105)</f>
        <v>0</v>
      </c>
      <c r="M107" s="117" t="n">
        <f aca="false">($G$27*M105)+($H$27*L105)+($I$27*K105)+($J$27*J105)+($K$27*I105)+($L$27*H105)+($M$27*G105)</f>
        <v>0</v>
      </c>
      <c r="N107" s="117" t="n">
        <f aca="false">($G$27*N105)+($H$27*M105)+($I$27*L105)+($J$27*K105)+($K$27*J105)+($L$27*I105)+($M$27*H105)+($N$27*G105)</f>
        <v>0</v>
      </c>
      <c r="O107" s="117" t="n">
        <f aca="false">($G$27*O105)+($H$27*N105)+($I$27*M105)+($J$27*L105)+($K$27*K105)+($L$27*J105)+($M$27*I105)+($N$27*H105)+($O$27*G105)</f>
        <v>0</v>
      </c>
      <c r="P107" s="117" t="n">
        <f aca="false">($G$27*P105)+($H$27*O105)+($I$27*N105)+($J$27*M105)+($K$27*L105)+($L$27*K105)+($M$27*J105)+($N$27*I105)+($O$27*H105)+($P$27*G105)</f>
        <v>0</v>
      </c>
      <c r="Q107" s="117" t="n">
        <f aca="false">($G$27*Q105)+($H$27*P105)+($I$27*O105)+($J$27*N105)+($K$27*M105)+($L$27*L105)+($M$27*K105)+($N$27*J105)+($O$27*I105)+($P$27*H105)+($Q$27*G105)</f>
        <v>0</v>
      </c>
    </row>
    <row r="108" customFormat="false" ht="12.75" hidden="false" customHeight="false" outlineLevel="0" collapsed="false">
      <c r="A108" s="52" t="s">
        <v>153</v>
      </c>
      <c r="E108" s="36"/>
      <c r="F108" s="278"/>
      <c r="G108" s="32" t="n">
        <f aca="false">SUM(G106:G107)</f>
        <v>3380.74414009299</v>
      </c>
      <c r="H108" s="32" t="n">
        <f aca="false">SUM(H106:H107)</f>
        <v>3380.74414009299</v>
      </c>
      <c r="I108" s="32" t="n">
        <f aca="false">SUM(I106:I107)</f>
        <v>3380.74414009299</v>
      </c>
      <c r="J108" s="32" t="n">
        <f aca="false">SUM(J106:J107)</f>
        <v>3380.74414009299</v>
      </c>
      <c r="K108" s="32" t="n">
        <f aca="false">SUM(K106:K107)</f>
        <v>3380.74414009299</v>
      </c>
      <c r="L108" s="32" t="n">
        <f aca="false">SUM(L106:L107)</f>
        <v>3380.74414009299</v>
      </c>
      <c r="M108" s="32" t="n">
        <f aca="false">SUM(M106:M107)</f>
        <v>3380.74414009299</v>
      </c>
      <c r="N108" s="32" t="n">
        <f aca="false">SUM(N106:N107)</f>
        <v>3380.74414009299</v>
      </c>
      <c r="O108" s="32" t="n">
        <f aca="false">SUM(O106:O107)</f>
        <v>3380.74414009299</v>
      </c>
      <c r="P108" s="32" t="n">
        <f aca="false">SUM(P106:P107)</f>
        <v>3380.74414009299</v>
      </c>
      <c r="Q108" s="32" t="n">
        <f aca="false">SUM(Q106:Q107)</f>
        <v>3380.74414009299</v>
      </c>
    </row>
    <row r="109" customFormat="false" ht="12.75" hidden="false" customHeight="false" outlineLevel="0" collapsed="false">
      <c r="A109" s="32"/>
      <c r="E109" s="36"/>
      <c r="F109" s="278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customFormat="false" ht="12.75" hidden="false" customHeight="false" outlineLevel="0" collapsed="false">
      <c r="A110" s="341" t="s">
        <v>165</v>
      </c>
      <c r="E110" s="36"/>
      <c r="F110" s="278"/>
      <c r="G110" s="233" t="n">
        <v>0.05</v>
      </c>
      <c r="H110" s="234" t="n">
        <v>0.095</v>
      </c>
      <c r="I110" s="234" t="n">
        <v>0.0855</v>
      </c>
      <c r="J110" s="234" t="n">
        <v>0.077</v>
      </c>
      <c r="K110" s="234" t="n">
        <v>0.0693</v>
      </c>
      <c r="L110" s="234" t="n">
        <v>0.0623</v>
      </c>
      <c r="M110" s="234" t="n">
        <v>0.059</v>
      </c>
      <c r="N110" s="234" t="n">
        <v>0.059</v>
      </c>
      <c r="O110" s="234" t="n">
        <v>0.0591</v>
      </c>
      <c r="P110" s="234" t="n">
        <v>0.059</v>
      </c>
      <c r="Q110" s="235" t="n">
        <v>0.0591</v>
      </c>
    </row>
    <row r="111" customFormat="false" ht="12.75" hidden="false" customHeight="false" outlineLevel="0" collapsed="false">
      <c r="A111" s="32" t="s">
        <v>163</v>
      </c>
      <c r="B111" s="236"/>
      <c r="E111" s="36"/>
      <c r="F111" s="278"/>
      <c r="G111" s="32" t="n">
        <f aca="false">G110*$C$105</f>
        <v>3380.74414009299</v>
      </c>
      <c r="H111" s="32" t="n">
        <f aca="false">H110*$C$105</f>
        <v>6423.41386617668</v>
      </c>
      <c r="I111" s="32" t="n">
        <f aca="false">I110*$C$105</f>
        <v>5781.07247955901</v>
      </c>
      <c r="J111" s="32" t="n">
        <f aca="false">J110*$C$105</f>
        <v>5206.34597574321</v>
      </c>
      <c r="K111" s="32" t="n">
        <f aca="false">K110*$C$105</f>
        <v>4685.71137816888</v>
      </c>
      <c r="L111" s="32" t="n">
        <f aca="false">L110*$C$105</f>
        <v>4212.40719855587</v>
      </c>
      <c r="M111" s="32" t="n">
        <f aca="false">M110*$C$105</f>
        <v>3989.27808530973</v>
      </c>
      <c r="N111" s="32" t="n">
        <f aca="false">N110*$C$105</f>
        <v>3989.27808530973</v>
      </c>
      <c r="O111" s="32" t="n">
        <f aca="false">O110*$C$105</f>
        <v>3996.03957358991</v>
      </c>
      <c r="P111" s="32" t="n">
        <f aca="false">P110*$C$105</f>
        <v>3989.27808530973</v>
      </c>
      <c r="Q111" s="32" t="n">
        <f aca="false">Q110*$C$105</f>
        <v>3996.03957358991</v>
      </c>
    </row>
    <row r="112" customFormat="false" ht="15" hidden="false" customHeight="false" outlineLevel="0" collapsed="false">
      <c r="A112" s="32" t="s">
        <v>164</v>
      </c>
      <c r="B112" s="199"/>
      <c r="E112" s="214"/>
      <c r="F112" s="278"/>
      <c r="G112" s="117" t="n">
        <f aca="false">($G$27*G$110)</f>
        <v>0</v>
      </c>
      <c r="H112" s="117" t="n">
        <f aca="false">($G$27*H110)+($H$27*G110)</f>
        <v>0</v>
      </c>
      <c r="I112" s="117" t="n">
        <f aca="false">($G$27*I110)+($H$27*H110)+($I$27*G110)</f>
        <v>0</v>
      </c>
      <c r="J112" s="117" t="n">
        <f aca="false">($G$27*J110)+($H$27*I110)+($I$27*H110)+($J$27*G110)</f>
        <v>0</v>
      </c>
      <c r="K112" s="117" t="n">
        <f aca="false">($G$27*K110)+($H$27*J110)+($I$27*I110)+($J$27*H110)+($K$27*G110)</f>
        <v>0</v>
      </c>
      <c r="L112" s="117" t="n">
        <f aca="false">($G$27*L110)+($H$27*K110)+($I$27*J110)+($J$27*I110)+($K$27*H110)+($L$27*G110)</f>
        <v>0</v>
      </c>
      <c r="M112" s="117" t="n">
        <f aca="false">($G$27*M110)+($H$27*L110)+($I$27*K110)+($J$27*J110)+($K$27*I110)+($L$27*H110)+($M$27*G110)</f>
        <v>0</v>
      </c>
      <c r="N112" s="117" t="n">
        <f aca="false">($G$27*N110)+($H$27*M110)+($I$27*L110)+($J$27*K110)+($K$27*J110)+($L$27*I110)+($M$27*H110)+($N$27*G110)</f>
        <v>0</v>
      </c>
      <c r="O112" s="117" t="n">
        <f aca="false">($G$27*O110)+($H$27*N110)+($I$27*M110)+($J$27*L110)+($K$27*K110)+($L$27*J110)+($M$27*I110)+($N$27*H110)+($O$27*G110)</f>
        <v>0</v>
      </c>
      <c r="P112" s="117" t="n">
        <f aca="false">($G$27*P110)+($H$27*O110)+($I$27*N110)+($J$27*M110)+($K$27*L110)+($L$27*K110)+($M$27*J110)+($N$27*I110)+($O$27*H110)+($P$27*G110)</f>
        <v>0</v>
      </c>
      <c r="Q112" s="117" t="n">
        <f aca="false">($G$27*Q110)+($H$27*P110)+($I$27*O110)+($J$27*N110)+($K$27*M110)+($L$27*L110)+($M$27*K110)+($N$27*J110)+($O$27*I110)+($P$27*H110)+($Q$27*G110)</f>
        <v>0</v>
      </c>
    </row>
    <row r="113" customFormat="false" ht="12.75" hidden="false" customHeight="false" outlineLevel="0" collapsed="false">
      <c r="A113" s="52" t="s">
        <v>153</v>
      </c>
      <c r="E113" s="36"/>
      <c r="F113" s="278"/>
      <c r="G113" s="32" t="n">
        <f aca="false">SUM(G111:G112)</f>
        <v>3380.74414009299</v>
      </c>
      <c r="H113" s="32" t="n">
        <f aca="false">SUM(H111:H112)</f>
        <v>6423.41386617668</v>
      </c>
      <c r="I113" s="32" t="n">
        <f aca="false">SUM(I111:I112)</f>
        <v>5781.07247955901</v>
      </c>
      <c r="J113" s="32" t="n">
        <f aca="false">SUM(J111:J112)</f>
        <v>5206.34597574321</v>
      </c>
      <c r="K113" s="32" t="n">
        <f aca="false">SUM(K111:K112)</f>
        <v>4685.71137816888</v>
      </c>
      <c r="L113" s="32" t="n">
        <f aca="false">SUM(L111:L112)</f>
        <v>4212.40719855587</v>
      </c>
      <c r="M113" s="32" t="n">
        <f aca="false">SUM(M111:M112)</f>
        <v>3989.27808530973</v>
      </c>
      <c r="N113" s="32" t="n">
        <f aca="false">SUM(N111:N112)</f>
        <v>3989.27808530973</v>
      </c>
      <c r="O113" s="32" t="n">
        <f aca="false">SUM(O111:O112)</f>
        <v>3996.03957358991</v>
      </c>
      <c r="P113" s="32" t="n">
        <f aca="false">SUM(P111:P112)</f>
        <v>3989.27808530973</v>
      </c>
      <c r="Q113" s="32" t="n">
        <f aca="false">SUM(Q111:Q112)</f>
        <v>3996.03957358991</v>
      </c>
    </row>
  </sheetData>
  <mergeCells count="1">
    <mergeCell ref="K31:M31"/>
  </mergeCells>
  <conditionalFormatting sqref="D93 D96 D60 D57 C9:D9 D12:D13 D45:D54 D72:D90">
    <cfRule type="cellIs" priority="2" operator="notBetween" aboveAverage="0" equalAverage="0" bottom="0" percent="0" rank="0" text="" dxfId="4">
      <formula>0.25</formula>
      <formula>-0.25</formula>
    </cfRule>
  </conditionalFormatting>
  <printOptions headings="false" gridLines="false" gridLinesSet="true" horizontalCentered="false" verticalCentered="false"/>
  <pageMargins left="0.5" right="0.5" top="0.75" bottom="0.75" header="0.511811023622047" footer="0.5"/>
  <pageSetup paperSize="1" scale="4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37" man="true" max="16383" min="0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3" activeCellId="0" sqref="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3" min="2" style="0" width="12.85"/>
    <col collapsed="false" customWidth="true" hidden="false" outlineLevel="0" max="4" min="4" style="0" width="12.7"/>
    <col collapsed="false" customWidth="true" hidden="false" outlineLevel="0" max="5" min="5" style="0" width="9.85"/>
  </cols>
  <sheetData>
    <row r="1" customFormat="false" ht="18" hidden="false" customHeight="false" outlineLevel="0" collapsed="false">
      <c r="A1" s="350" t="str">
        <f aca="false">Assumptions!D5</f>
        <v>PG&amp;E Gas Transmission</v>
      </c>
      <c r="B1" s="12"/>
    </row>
    <row r="2" customFormat="false" ht="15.75" hidden="false" customHeight="false" outlineLevel="0" collapsed="false">
      <c r="A2" s="351" t="s">
        <v>229</v>
      </c>
      <c r="B2" s="12"/>
    </row>
    <row r="3" customFormat="false" ht="12.75" hidden="false" customHeight="false" outlineLevel="0" collapsed="false">
      <c r="B3" s="352"/>
    </row>
    <row r="4" customFormat="false" ht="12.75" hidden="false" customHeight="false" outlineLevel="0" collapsed="false">
      <c r="A4" s="320"/>
      <c r="B4" s="353" t="n">
        <v>36708</v>
      </c>
      <c r="C4" s="354" t="s">
        <v>230</v>
      </c>
      <c r="D4" s="354" t="s">
        <v>231</v>
      </c>
    </row>
    <row r="5" customFormat="false" ht="12.75" hidden="false" customHeight="false" outlineLevel="0" collapsed="false">
      <c r="A5" s="13"/>
      <c r="B5" s="355"/>
      <c r="C5" s="354"/>
      <c r="D5" s="354"/>
    </row>
    <row r="6" customFormat="false" ht="12.75" hidden="false" customHeight="false" outlineLevel="0" collapsed="false">
      <c r="A6" s="0" t="s">
        <v>232</v>
      </c>
    </row>
    <row r="7" customFormat="false" ht="12.75" hidden="false" customHeight="false" outlineLevel="0" collapsed="false">
      <c r="A7" s="0" t="s">
        <v>233</v>
      </c>
    </row>
    <row r="8" customFormat="false" ht="12.75" hidden="false" customHeight="false" outlineLevel="0" collapsed="false">
      <c r="A8" s="356" t="s">
        <v>234</v>
      </c>
      <c r="B8" s="134"/>
      <c r="C8" s="32"/>
      <c r="D8" s="32"/>
      <c r="E8" s="32"/>
    </row>
    <row r="9" customFormat="false" ht="12.75" hidden="false" customHeight="false" outlineLevel="0" collapsed="false">
      <c r="A9" s="356" t="s">
        <v>235</v>
      </c>
      <c r="B9" s="134" t="n">
        <v>-1535</v>
      </c>
      <c r="C9" s="32" t="n">
        <v>0</v>
      </c>
      <c r="D9" s="121" t="n">
        <f aca="false">SUM(B9:C9)</f>
        <v>-1535</v>
      </c>
      <c r="E9" s="32"/>
    </row>
    <row r="10" customFormat="false" ht="12.75" hidden="false" customHeight="false" outlineLevel="0" collapsed="false">
      <c r="A10" s="356" t="s">
        <v>236</v>
      </c>
      <c r="B10" s="134" t="n">
        <v>2763</v>
      </c>
      <c r="C10" s="32" t="n">
        <v>0</v>
      </c>
      <c r="D10" s="121" t="n">
        <f aca="false">SUM(B10:C10)</f>
        <v>2763</v>
      </c>
      <c r="E10" s="32"/>
    </row>
    <row r="11" customFormat="false" ht="12.75" hidden="false" customHeight="false" outlineLevel="0" collapsed="false">
      <c r="A11" s="0" t="s">
        <v>237</v>
      </c>
      <c r="B11" s="258" t="n">
        <v>7</v>
      </c>
      <c r="C11" s="121" t="n">
        <v>0</v>
      </c>
      <c r="D11" s="121" t="n">
        <f aca="false">SUM(B11:C11)</f>
        <v>7</v>
      </c>
      <c r="E11" s="32"/>
    </row>
    <row r="12" customFormat="false" ht="12.75" hidden="false" customHeight="false" outlineLevel="0" collapsed="false">
      <c r="A12" s="356" t="s">
        <v>238</v>
      </c>
      <c r="B12" s="134" t="n">
        <v>27020</v>
      </c>
      <c r="C12" s="121" t="n">
        <v>0</v>
      </c>
      <c r="D12" s="121" t="n">
        <f aca="false">SUM(B12:C12)</f>
        <v>27020</v>
      </c>
      <c r="E12" s="32"/>
    </row>
    <row r="13" customFormat="false" ht="12.75" hidden="false" customHeight="false" outlineLevel="0" collapsed="false">
      <c r="A13" s="356" t="s">
        <v>239</v>
      </c>
      <c r="B13" s="134" t="n">
        <v>9110</v>
      </c>
      <c r="C13" s="121" t="n">
        <v>0</v>
      </c>
      <c r="D13" s="121" t="n">
        <f aca="false">SUM(B13:C13)</f>
        <v>9110</v>
      </c>
      <c r="E13" s="32"/>
    </row>
    <row r="14" customFormat="false" ht="12.75" hidden="false" customHeight="false" outlineLevel="0" collapsed="false">
      <c r="A14" s="356" t="s">
        <v>240</v>
      </c>
      <c r="B14" s="134" t="n">
        <v>0</v>
      </c>
      <c r="C14" s="121" t="n">
        <v>0</v>
      </c>
      <c r="D14" s="121" t="n">
        <f aca="false">SUM(B14:C14)</f>
        <v>0</v>
      </c>
      <c r="E14" s="32"/>
    </row>
    <row r="15" customFormat="false" ht="15" hidden="false" customHeight="false" outlineLevel="0" collapsed="false">
      <c r="A15" s="356" t="s">
        <v>241</v>
      </c>
      <c r="B15" s="336" t="n">
        <v>10850</v>
      </c>
      <c r="C15" s="117" t="n">
        <v>0</v>
      </c>
      <c r="D15" s="117" t="n">
        <f aca="false">SUM(B15:C15)</f>
        <v>10850</v>
      </c>
      <c r="E15" s="32"/>
    </row>
    <row r="16" customFormat="false" ht="12.75" hidden="false" customHeight="false" outlineLevel="0" collapsed="false">
      <c r="A16" s="190" t="s">
        <v>242</v>
      </c>
      <c r="B16" s="357" t="n">
        <f aca="false">SUM(B9:B15)</f>
        <v>48215</v>
      </c>
      <c r="C16" s="357" t="n">
        <f aca="false">SUM(C9:C15)</f>
        <v>0</v>
      </c>
      <c r="D16" s="357" t="n">
        <f aca="false">SUM(D9:D15)</f>
        <v>48215</v>
      </c>
      <c r="E16" s="32"/>
    </row>
    <row r="17" customFormat="false" ht="12.75" hidden="false" customHeight="false" outlineLevel="0" collapsed="false">
      <c r="A17" s="280" t="s">
        <v>243</v>
      </c>
      <c r="B17" s="357"/>
      <c r="C17" s="357"/>
      <c r="D17" s="357"/>
      <c r="E17" s="32"/>
    </row>
    <row r="18" customFormat="false" ht="12.75" hidden="false" customHeight="false" outlineLevel="0" collapsed="false">
      <c r="A18" s="280" t="s">
        <v>244</v>
      </c>
      <c r="B18" s="357" t="n">
        <v>102263</v>
      </c>
      <c r="C18" s="121" t="n">
        <v>0</v>
      </c>
      <c r="D18" s="121" t="n">
        <f aca="false">SUM(B18:C18)</f>
        <v>102263</v>
      </c>
      <c r="E18" s="32"/>
    </row>
    <row r="19" customFormat="false" ht="15" hidden="false" customHeight="false" outlineLevel="0" collapsed="false">
      <c r="A19" s="280" t="s">
        <v>245</v>
      </c>
      <c r="B19" s="358" t="n">
        <v>-19169</v>
      </c>
      <c r="C19" s="117" t="n">
        <v>0</v>
      </c>
      <c r="D19" s="117" t="n">
        <f aca="false">SUM(B19:C19)</f>
        <v>-19169</v>
      </c>
      <c r="E19" s="32"/>
    </row>
    <row r="20" customFormat="false" ht="12.75" hidden="false" customHeight="false" outlineLevel="0" collapsed="false">
      <c r="A20" s="190" t="s">
        <v>242</v>
      </c>
      <c r="B20" s="357" t="n">
        <f aca="false">B19+B18</f>
        <v>83094</v>
      </c>
      <c r="C20" s="357" t="n">
        <f aca="false">C19+C18</f>
        <v>0</v>
      </c>
      <c r="D20" s="357" t="n">
        <f aca="false">D19+D18</f>
        <v>83094</v>
      </c>
      <c r="E20" s="32"/>
    </row>
    <row r="21" customFormat="false" ht="12.75" hidden="false" customHeight="false" outlineLevel="0" collapsed="false">
      <c r="A21" s="280" t="s">
        <v>246</v>
      </c>
      <c r="B21" s="357" t="n">
        <v>4875</v>
      </c>
      <c r="C21" s="121" t="n">
        <v>0</v>
      </c>
      <c r="D21" s="121" t="n">
        <f aca="false">SUM(B21:C21)</f>
        <v>4875</v>
      </c>
      <c r="E21" s="32"/>
    </row>
    <row r="22" customFormat="false" ht="13.5" hidden="false" customHeight="false" outlineLevel="0" collapsed="false">
      <c r="A22" s="190"/>
      <c r="B22" s="357"/>
      <c r="C22" s="32"/>
      <c r="D22" s="32"/>
      <c r="E22" s="32"/>
    </row>
    <row r="23" customFormat="false" ht="13.5" hidden="false" customHeight="false" outlineLevel="0" collapsed="false">
      <c r="A23" s="359" t="s">
        <v>247</v>
      </c>
      <c r="B23" s="360" t="n">
        <f aca="false">B21+B20+B16</f>
        <v>136184</v>
      </c>
      <c r="C23" s="360" t="n">
        <f aca="false">C21+C20+C16</f>
        <v>0</v>
      </c>
      <c r="D23" s="361" t="n">
        <f aca="false">D21+D20+D16</f>
        <v>136184</v>
      </c>
      <c r="E23" s="32"/>
    </row>
    <row r="24" customFormat="false" ht="15" hidden="false" customHeight="false" outlineLevel="0" collapsed="false">
      <c r="A24" s="32"/>
      <c r="B24" s="32"/>
      <c r="C24" s="117"/>
      <c r="D24" s="32"/>
      <c r="E24" s="32"/>
    </row>
    <row r="25" customFormat="false" ht="12.75" hidden="false" customHeight="false" outlineLevel="0" collapsed="false">
      <c r="A25" s="0" t="s">
        <v>248</v>
      </c>
      <c r="C25" s="32"/>
      <c r="D25" s="32"/>
      <c r="E25" s="32"/>
    </row>
    <row r="26" customFormat="false" ht="12.75" hidden="false" customHeight="false" outlineLevel="0" collapsed="false">
      <c r="A26" s="52"/>
      <c r="C26" s="32"/>
      <c r="D26" s="32"/>
      <c r="E26" s="32"/>
    </row>
    <row r="27" customFormat="false" ht="12.75" hidden="false" customHeight="false" outlineLevel="0" collapsed="false">
      <c r="A27" s="356" t="s">
        <v>249</v>
      </c>
      <c r="C27" s="32"/>
      <c r="D27" s="32"/>
      <c r="E27" s="32"/>
    </row>
    <row r="28" customFormat="false" ht="12.75" hidden="false" customHeight="false" outlineLevel="0" collapsed="false">
      <c r="A28" s="356" t="s">
        <v>250</v>
      </c>
      <c r="B28" s="362" t="n">
        <v>0</v>
      </c>
      <c r="C28" s="362" t="n">
        <v>0</v>
      </c>
      <c r="D28" s="121" t="n">
        <f aca="false">SUM(B28:C28)</f>
        <v>0</v>
      </c>
      <c r="E28" s="32"/>
    </row>
    <row r="29" customFormat="false" ht="12.75" hidden="false" customHeight="false" outlineLevel="0" collapsed="false">
      <c r="A29" s="356" t="s">
        <v>251</v>
      </c>
      <c r="B29" s="362" t="n">
        <v>6773</v>
      </c>
      <c r="C29" s="362" t="n">
        <v>0</v>
      </c>
      <c r="D29" s="121" t="n">
        <f aca="false">SUM(B29:C29)</f>
        <v>6773</v>
      </c>
      <c r="E29" s="32"/>
    </row>
    <row r="30" customFormat="false" ht="12.75" hidden="false" customHeight="false" outlineLevel="0" collapsed="false">
      <c r="A30" s="356" t="s">
        <v>252</v>
      </c>
      <c r="B30" s="362" t="n">
        <v>43</v>
      </c>
      <c r="C30" s="362" t="n">
        <v>0</v>
      </c>
      <c r="D30" s="121" t="n">
        <f aca="false">SUM(B30:C30)</f>
        <v>43</v>
      </c>
      <c r="E30" s="32"/>
    </row>
    <row r="31" customFormat="false" ht="12.75" hidden="false" customHeight="false" outlineLevel="0" collapsed="false">
      <c r="A31" s="356" t="s">
        <v>253</v>
      </c>
      <c r="B31" s="362" t="n">
        <v>2191</v>
      </c>
      <c r="C31" s="362" t="n">
        <v>0</v>
      </c>
      <c r="D31" s="121" t="n">
        <f aca="false">SUM(B31:C31)</f>
        <v>2191</v>
      </c>
      <c r="E31" s="32"/>
    </row>
    <row r="32" customFormat="false" ht="12.75" hidden="false" customHeight="false" outlineLevel="0" collapsed="false">
      <c r="A32" s="356" t="s">
        <v>254</v>
      </c>
      <c r="B32" s="362" t="n">
        <v>-11832</v>
      </c>
      <c r="C32" s="362" t="n">
        <v>0</v>
      </c>
      <c r="D32" s="121" t="n">
        <f aca="false">SUM(B32:C32)</f>
        <v>-11832</v>
      </c>
      <c r="E32" s="32"/>
    </row>
    <row r="33" customFormat="false" ht="15" hidden="false" customHeight="false" outlineLevel="0" collapsed="false">
      <c r="A33" s="363" t="s">
        <v>255</v>
      </c>
      <c r="B33" s="358" t="n">
        <v>0</v>
      </c>
      <c r="C33" s="117" t="n">
        <v>0</v>
      </c>
      <c r="D33" s="117" t="n">
        <f aca="false">SUM(B33:C33)</f>
        <v>0</v>
      </c>
      <c r="E33" s="32"/>
    </row>
    <row r="34" customFormat="false" ht="12.75" hidden="false" customHeight="false" outlineLevel="0" collapsed="false">
      <c r="A34" s="52" t="s">
        <v>242</v>
      </c>
      <c r="B34" s="357" t="n">
        <f aca="false">SUM(B28:B33)</f>
        <v>-2825</v>
      </c>
      <c r="C34" s="357" t="n">
        <f aca="false">SUM(C28:C33)</f>
        <v>0</v>
      </c>
      <c r="D34" s="357" t="n">
        <f aca="false">SUM(D28:D33)</f>
        <v>-2825</v>
      </c>
      <c r="E34" s="32"/>
    </row>
    <row r="35" customFormat="false" ht="12.75" hidden="false" customHeight="false" outlineLevel="0" collapsed="false">
      <c r="A35" s="363" t="s">
        <v>256</v>
      </c>
      <c r="B35" s="357"/>
      <c r="C35" s="32"/>
      <c r="D35" s="32"/>
      <c r="E35" s="32"/>
    </row>
    <row r="36" customFormat="false" ht="12.75" hidden="false" customHeight="false" outlineLevel="0" collapsed="false">
      <c r="A36" s="363" t="s">
        <v>257</v>
      </c>
      <c r="B36" s="134" t="n">
        <v>0</v>
      </c>
      <c r="C36" s="32" t="n">
        <f aca="false">-B36</f>
        <v>-0</v>
      </c>
      <c r="D36" s="32" t="n">
        <f aca="false">SUM(B36:C36)</f>
        <v>0</v>
      </c>
      <c r="E36" s="32"/>
    </row>
    <row r="37" customFormat="false" ht="15" hidden="false" customHeight="false" outlineLevel="0" collapsed="false">
      <c r="A37" s="363" t="s">
        <v>258</v>
      </c>
      <c r="B37" s="358" t="n">
        <v>-52378</v>
      </c>
      <c r="C37" s="117" t="n">
        <v>0</v>
      </c>
      <c r="D37" s="117" t="n">
        <f aca="false">SUM(B37:C37)</f>
        <v>-52378</v>
      </c>
      <c r="E37" s="32"/>
    </row>
    <row r="38" customFormat="false" ht="12.75" hidden="false" customHeight="false" outlineLevel="0" collapsed="false">
      <c r="A38" s="52" t="s">
        <v>242</v>
      </c>
      <c r="B38" s="357" t="n">
        <f aca="false">SUM(B36:B37)</f>
        <v>-52378</v>
      </c>
      <c r="C38" s="32" t="n">
        <f aca="false">SUM(C36:C37)</f>
        <v>0</v>
      </c>
      <c r="D38" s="32" t="n">
        <f aca="false">SUM(D36:D37)</f>
        <v>-52378</v>
      </c>
      <c r="E38" s="32"/>
    </row>
    <row r="39" customFormat="false" ht="12.75" hidden="false" customHeight="false" outlineLevel="0" collapsed="false">
      <c r="A39" s="363" t="s">
        <v>259</v>
      </c>
      <c r="B39" s="134"/>
      <c r="C39" s="32"/>
      <c r="D39" s="32"/>
      <c r="E39" s="32"/>
    </row>
    <row r="40" customFormat="false" ht="12.75" hidden="false" customHeight="false" outlineLevel="0" collapsed="false">
      <c r="A40" s="363" t="s">
        <v>260</v>
      </c>
      <c r="B40" s="134" t="n">
        <v>0</v>
      </c>
      <c r="C40" s="32" t="n">
        <v>0</v>
      </c>
      <c r="D40" s="32" t="n">
        <f aca="false">SUM(B40:C40)</f>
        <v>0</v>
      </c>
      <c r="E40" s="32"/>
    </row>
    <row r="41" customFormat="false" ht="12.75" hidden="false" customHeight="false" outlineLevel="0" collapsed="false">
      <c r="A41" s="363" t="s">
        <v>261</v>
      </c>
      <c r="B41" s="364" t="n">
        <v>575987</v>
      </c>
      <c r="C41" s="121" t="n">
        <v>0</v>
      </c>
      <c r="D41" s="121" t="n">
        <f aca="false">SUM(B41:C41)</f>
        <v>575987</v>
      </c>
      <c r="E41" s="32"/>
    </row>
    <row r="42" customFormat="false" ht="15" hidden="false" customHeight="false" outlineLevel="0" collapsed="false">
      <c r="A42" s="0" t="s">
        <v>262</v>
      </c>
      <c r="B42" s="358" t="n">
        <v>-384600</v>
      </c>
      <c r="C42" s="117" t="n">
        <v>0</v>
      </c>
      <c r="D42" s="117" t="n">
        <f aca="false">SUM(B42:C42)</f>
        <v>-384600</v>
      </c>
      <c r="E42" s="32"/>
    </row>
    <row r="43" customFormat="false" ht="12.75" hidden="false" customHeight="false" outlineLevel="0" collapsed="false">
      <c r="A43" s="52" t="s">
        <v>242</v>
      </c>
      <c r="B43" s="357" t="n">
        <f aca="false">SUM(B40:B42)</f>
        <v>191387</v>
      </c>
      <c r="C43" s="357" t="n">
        <f aca="false">SUM(C40:C42)</f>
        <v>0</v>
      </c>
      <c r="D43" s="357" t="n">
        <f aca="false">SUM(D40:D42)</f>
        <v>191387</v>
      </c>
      <c r="E43" s="32"/>
    </row>
    <row r="44" customFormat="false" ht="13.5" hidden="false" customHeight="false" outlineLevel="0" collapsed="false">
      <c r="C44" s="32"/>
      <c r="D44" s="32"/>
      <c r="E44" s="32"/>
    </row>
    <row r="45" customFormat="false" ht="13.5" hidden="false" customHeight="false" outlineLevel="0" collapsed="false">
      <c r="A45" s="359" t="s">
        <v>263</v>
      </c>
      <c r="B45" s="360" t="n">
        <f aca="false">B43+B38+B34</f>
        <v>136184</v>
      </c>
      <c r="C45" s="360" t="n">
        <f aca="false">C43+C38+C34</f>
        <v>0</v>
      </c>
      <c r="D45" s="361" t="n">
        <f aca="false">D43+D38+D34</f>
        <v>136184</v>
      </c>
      <c r="E45" s="32"/>
    </row>
    <row r="46" customFormat="false" ht="12.75" hidden="false" customHeight="false" outlineLevel="0" collapsed="false">
      <c r="A46" s="32"/>
      <c r="B46" s="32" t="n">
        <f aca="false">B23-B45</f>
        <v>0</v>
      </c>
      <c r="C46" s="32" t="n">
        <f aca="false">C23-C45</f>
        <v>0</v>
      </c>
      <c r="D46" s="32" t="n">
        <f aca="false">D23-D45</f>
        <v>0</v>
      </c>
      <c r="E46" s="32"/>
    </row>
    <row r="47" customFormat="false" ht="12.75" hidden="false" customHeight="false" outlineLevel="0" collapsed="false">
      <c r="A47" s="54"/>
      <c r="B47" s="54"/>
      <c r="C47" s="121"/>
      <c r="D47" s="121"/>
      <c r="E47" s="121"/>
    </row>
    <row r="48" customFormat="false" ht="12.75" hidden="false" customHeight="false" outlineLevel="0" collapsed="false">
      <c r="C48" s="32"/>
      <c r="D48" s="32"/>
      <c r="E48" s="32"/>
    </row>
    <row r="49" customFormat="false" ht="12.75" hidden="false" customHeight="false" outlineLevel="0" collapsed="false">
      <c r="C49" s="32"/>
      <c r="D49" s="32"/>
      <c r="E49" s="32"/>
    </row>
    <row r="50" customFormat="false" ht="12.75" hidden="false" customHeight="false" outlineLevel="0" collapsed="false">
      <c r="D50" s="32"/>
      <c r="E50" s="32"/>
    </row>
    <row r="51" customFormat="false" ht="12.75" hidden="false" customHeight="false" outlineLevel="0" collapsed="false">
      <c r="C51" s="32"/>
      <c r="D51" s="32"/>
      <c r="E51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2000-03-08T23:13:06Z</dcterms:created>
  <dc:creator>MLR</dc:creator>
  <dc:description/>
  <dc:language>en-US</dc:language>
  <cp:lastModifiedBy>mratner</cp:lastModifiedBy>
  <cp:lastPrinted>2001-02-28T13:16:48Z</cp:lastPrinted>
  <dcterms:modified xsi:type="dcterms:W3CDTF">2001-03-30T18:38:18Z</dcterms:modified>
  <cp:revision>0</cp:revision>
  <dc:subject/>
  <dc:title/>
</cp:coreProperties>
</file>