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4" sheetId="1" state="visible" r:id="rId3"/>
    <sheet name="ex3" sheetId="2" state="visible" r:id="rId4"/>
    <sheet name="ex5" sheetId="3" state="visible" r:id="rId5"/>
    <sheet name="ex6" sheetId="4" state="visible" r:id="rId6"/>
    <sheet name="ex7" sheetId="5" state="visible" r:id="rId7"/>
    <sheet name="ex8" sheetId="6" state="visible" r:id="rId8"/>
    <sheet name="ex9" sheetId="7" state="visible" r:id="rId9"/>
    <sheet name="Chart89" sheetId="8" state="visible" r:id="rId10"/>
    <sheet name="thrpt.trend" sheetId="9" state="visible" r:id="rId11"/>
    <sheet name="thrpt.bymo" sheetId="10" state="visible" r:id="rId12"/>
    <sheet name="trend.pct" sheetId="11" state="visible" r:id="rId13"/>
    <sheet name="trend.dy" sheetId="12" state="visible" r:id="rId14"/>
    <sheet name="trend.mo" sheetId="13" state="visible" r:id="rId15"/>
    <sheet name="scatter1" sheetId="14" state="visible" r:id="rId16"/>
    <sheet name="scatter1p" sheetId="15" state="visible" r:id="rId17"/>
    <sheet name="daily" sheetId="16" state="visible" r:id="rId18"/>
    <sheet name="filings" sheetId="17" state="visible" r:id="rId19"/>
    <sheet name="regr" sheetId="18" state="visible" r:id="rId20"/>
  </sheets>
  <definedNames>
    <definedName function="false" hidden="false" localSheetId="15" name="_xlnm.Print_Area" vbProcedure="false">daily!$C$18:$W$118</definedName>
    <definedName function="false" hidden="false" localSheetId="15" name="_xlnm.Print_Titles" vbProcedure="false">daily!$A:$B,daily!$1:$7</definedName>
    <definedName function="false" hidden="false" localSheetId="5" name="_xlnm.Print_Titles" vbProcedure="false">ex8!$A:$C,ex8!$1:$4</definedName>
    <definedName function="false" hidden="false" localSheetId="6" name="_xlnm.Print_Titles" vbProcedure="false">ex9!$A:$C,ex9!$1:$4</definedName>
    <definedName function="false" hidden="false" localSheetId="16" name="_xlnm.Print_Area" vbProcedure="false">filings!$C$18:$Y$100</definedName>
    <definedName function="false" hidden="false" localSheetId="16" name="_xlnm.Print_Titles" vbProcedure="false">filings!$A:$B,filings!$1:$7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<sst xmlns="http://schemas.openxmlformats.org/spreadsheetml/2006/main" count="355" uniqueCount="155">
  <si>
    <t xml:space="preserve">#</t>
  </si>
  <si>
    <t xml:space="preserve">start</t>
  </si>
  <si>
    <t xml:space="preserve">end</t>
  </si>
  <si>
    <t xml:space="preserve">open</t>
  </si>
  <si>
    <t xml:space="preserve">close</t>
  </si>
  <si>
    <t xml:space="preserve">change</t>
  </si>
  <si>
    <t xml:space="preserve">surch</t>
  </si>
  <si>
    <t xml:space="preserve">leak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</si>
  <si>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</si>
  <si>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</si>
  <si>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</si>
  <si>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</si>
  <si>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</si>
  <si>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</si>
  <si>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</si>
  <si>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</si>
  <si>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</si>
  <si>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</si>
  <si>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</si>
  <si>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</si>
  <si>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</si>
  <si>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</si>
  <si>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</si>
  <si>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</si>
  <si>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PGT post</t>
  </si>
  <si>
    <t xml:space="preserve">PGT filed</t>
  </si>
  <si>
    <t xml:space="preserve">monthly</t>
  </si>
  <si>
    <t xml:space="preserve">cumulative</t>
  </si>
  <si>
    <t xml:space="preserve">Tot Uses</t>
  </si>
  <si>
    <t xml:space="preserve">Month</t>
  </si>
  <si>
    <t xml:space="preserve">#d</t>
  </si>
  <si>
    <t xml:space="preserve">retention</t>
  </si>
  <si>
    <t xml:space="preserve">fuel</t>
  </si>
  <si>
    <t xml:space="preserve">loss</t>
  </si>
  <si>
    <t xml:space="preserve">fuel+loss</t>
  </si>
  <si>
    <t xml:space="preserve">retained</t>
  </si>
  <si>
    <t xml:space="preserve">surcharge</t>
  </si>
  <si>
    <t xml:space="preserve">fuel imbal</t>
  </si>
  <si>
    <t xml:space="preserve">throughput</t>
  </si>
  <si>
    <t xml:space="preserve">Fuel</t>
  </si>
  <si>
    <t xml:space="preserve">Used</t>
  </si>
  <si>
    <t xml:space="preserve">Fuel Only</t>
  </si>
  <si>
    <t xml:space="preserve">Total Use</t>
  </si>
  <si>
    <t xml:space="preserve">exceeds</t>
  </si>
  <si>
    <t xml:space="preserve">%/mile</t>
  </si>
  <si>
    <t xml:space="preserve">Mdt/mo</t>
  </si>
  <si>
    <t xml:space="preserve">e9 dt.mi/d</t>
  </si>
  <si>
    <t xml:space="preserve">Mdt/d</t>
  </si>
  <si>
    <t xml:space="preserve">0.0041%</t>
  </si>
  <si>
    <t xml:space="preserve">Count</t>
  </si>
  <si>
    <t xml:space="preserve">Count&gt;=</t>
  </si>
  <si>
    <t xml:space="preserve">i</t>
  </si>
  <si>
    <t xml:space="preserve">PGT est</t>
  </si>
  <si>
    <t xml:space="preserve">est</t>
  </si>
  <si>
    <t xml:space="preserve">estimate</t>
  </si>
  <si>
    <t xml:space="preserve">posted</t>
  </si>
  <si>
    <t xml:space="preserve">#days</t>
  </si>
  <si>
    <t xml:space="preserve">system avg</t>
  </si>
  <si>
    <t xml:space="preserve">miles</t>
  </si>
  <si>
    <t xml:space="preserve">e9 dt.mi</t>
  </si>
  <si>
    <t xml:space="preserve">Mdt/day</t>
  </si>
  <si>
    <t xml:space="preserve">for Feb-94 through Apr-95 estimated mileage is derived.</t>
  </si>
  <si>
    <t xml:space="preserve">example: Nov-94, 1.8374%/(0.0037%/mile) = 496.6 miles</t>
  </si>
  <si>
    <t xml:space="preserve">Count&gt;=0.0041%</t>
  </si>
  <si>
    <t xml:space="preserve">column</t>
  </si>
  <si>
    <t xml:space="preserve">units</t>
  </si>
  <si>
    <t xml:space="preserve">dt/dt.mi</t>
  </si>
  <si>
    <t xml:space="preserve">max.0041</t>
  </si>
  <si>
    <t xml:space="preserve">max.0050</t>
  </si>
  <si>
    <t xml:space="preserve">fuel.0022</t>
  </si>
  <si>
    <t xml:space="preserve">formula</t>
  </si>
  <si>
    <t xml:space="preserve">actual</t>
  </si>
  <si>
    <t xml:space="preserve">Adjusted</t>
  </si>
  <si>
    <t xml:space="preserve">dy</t>
  </si>
  <si>
    <t xml:space="preserve">month</t>
  </si>
  <si>
    <t xml:space="preserve">Est</t>
  </si>
  <si>
    <t xml:space="preserve">Total to be</t>
  </si>
  <si>
    <t xml:space="preserve">fuel/dt-mile</t>
  </si>
  <si>
    <t xml:space="preserve">total</t>
  </si>
  <si>
    <t xml:space="preserve">current</t>
  </si>
  <si>
    <t xml:space="preserve">used</t>
  </si>
  <si>
    <t xml:space="preserve">Est.Used</t>
  </si>
  <si>
    <t xml:space="preserve">Est.Thrpt</t>
  </si>
  <si>
    <t xml:space="preserve">Retained</t>
  </si>
  <si>
    <t xml:space="preserve">over/under</t>
  </si>
  <si>
    <t xml:space="preserve">2be.retain</t>
  </si>
  <si>
    <t xml:space="preserve">act.fuel</t>
  </si>
  <si>
    <t xml:space="preserve">act.used</t>
  </si>
  <si>
    <t xml:space="preserve">act.thrpt</t>
  </si>
  <si>
    <t xml:space="preserve">Act.Fuel</t>
  </si>
  <si>
    <t xml:space="preserve">Act.Used</t>
  </si>
  <si>
    <t xml:space="preserve">Kept.Cap</t>
  </si>
  <si>
    <t xml:space="preserve">Adj.Est</t>
  </si>
  <si>
    <t xml:space="preserve">obs.limit</t>
  </si>
  <si>
    <t xml:space="preserve">T</t>
  </si>
  <si>
    <t xml:space="preserve">P</t>
  </si>
  <si>
    <t xml:space="preserve">W</t>
  </si>
  <si>
    <t xml:space="preserve">used.90%</t>
  </si>
  <si>
    <t xml:space="preserve">fuel.100%</t>
  </si>
  <si>
    <t xml:space="preserve">Appendix C, Schedule 2, One Page per Month</t>
  </si>
  <si>
    <t xml:space="preserve">Appendix C, Schedule 1</t>
  </si>
  <si>
    <t xml:space="preserve">Form 11</t>
  </si>
  <si>
    <t xml:space="preserve">calc</t>
  </si>
  <si>
    <t xml:space="preserve">Mdt</t>
  </si>
  <si>
    <t xml:space="preserve">dt/dt</t>
  </si>
  <si>
    <t xml:space="preserve">mi</t>
  </si>
  <si>
    <t xml:space="preserve">MMcf</t>
  </si>
  <si>
    <t xml:space="preserve">avg mi</t>
  </si>
  <si>
    <t xml:space="preserve">TJs</t>
  </si>
  <si>
    <t xml:space="preserve">*</t>
  </si>
  <si>
    <t xml:space="preserve">=3-4-5</t>
  </si>
  <si>
    <t xml:space="preserve">=2-6</t>
  </si>
  <si>
    <t xml:space="preserve">=7/1</t>
  </si>
  <si>
    <t xml:space="preserve">=8/9</t>
  </si>
  <si>
    <t xml:space="preserve">rolling</t>
  </si>
  <si>
    <t xml:space="preserve">+purch</t>
  </si>
  <si>
    <t xml:space="preserve">ending</t>
  </si>
  <si>
    <t xml:space="preserve">TCBC</t>
  </si>
  <si>
    <t xml:space="preserve">Sum</t>
  </si>
  <si>
    <t xml:space="preserve">prior.act</t>
  </si>
  <si>
    <t xml:space="preserve">applied</t>
  </si>
  <si>
    <t xml:space="preserve">IT+FT</t>
  </si>
  <si>
    <t xml:space="preserve">6-month</t>
  </si>
  <si>
    <t xml:space="preserve">-sold</t>
  </si>
  <si>
    <t xml:space="preserve">2mo.prior</t>
  </si>
  <si>
    <t xml:space="preserve">thrpt</t>
  </si>
  <si>
    <t xml:space="preserve">distance</t>
  </si>
  <si>
    <t xml:space="preserve">Line.Pack</t>
  </si>
  <si>
    <t xml:space="preserve">OBA.Imb</t>
  </si>
  <si>
    <t xml:space="preserve">Ship.Imb</t>
  </si>
  <si>
    <t xml:space="preserve">Est.surch</t>
  </si>
  <si>
    <t xml:space="preserve">mth.o/&lt;u&gt;</t>
  </si>
  <si>
    <t xml:space="preserve">cml.o/&lt;u&gt;</t>
  </si>
  <si>
    <t xml:space="preserve">semi-ann.</t>
  </si>
  <si>
    <t xml:space="preserve">TCBC.loss</t>
  </si>
  <si>
    <t xml:space="preserve">losses</t>
  </si>
  <si>
    <t xml:space="preserve">X</t>
  </si>
  <si>
    <t xml:space="preserve">Y</t>
  </si>
  <si>
    <t xml:space="preserve">regr.fuel</t>
  </si>
  <si>
    <t xml:space="preserve">Y2</t>
  </si>
  <si>
    <t xml:space="preserve">regr.used</t>
  </si>
  <si>
    <t xml:space="preserve">n=</t>
  </si>
  <si>
    <t xml:space="preserve">sum(x*y)</t>
  </si>
  <si>
    <t xml:space="preserve">sum(x)</t>
  </si>
  <si>
    <t xml:space="preserve">sum(y)</t>
  </si>
  <si>
    <t xml:space="preserve">sum(x^2)</t>
  </si>
  <si>
    <t xml:space="preserve">sum(y^2)</t>
  </si>
  <si>
    <t xml:space="preserve">intercept</t>
  </si>
  <si>
    <t xml:space="preserve">slope</t>
  </si>
  <si>
    <t xml:space="preserve">rsq</t>
  </si>
  <si>
    <t xml:space="preserve">alpha</t>
  </si>
  <si>
    <t xml:space="preserve">F</t>
  </si>
  <si>
    <t xml:space="preserve">F* .05</t>
  </si>
  <si>
    <t xml:space="preserve">F* .01</t>
  </si>
  <si>
    <t xml:space="preserve">F* .001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</si>
</sst>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mm\-yy"/>
    <numFmt numFmtId="166" formatCode="0.0"/>
    <numFmt numFmtId="167" formatCode="0"/>
    <numFmt numFmtId="168" formatCode="0.0000%"/>
    <numFmt numFmtId="169" formatCode="#,##0.0"/>
    <numFmt numFmtId="170" formatCode="#,##0"/>
    <numFmt numFmtId="171" formatCode="0.000"/>
    <numFmt numFmtId="172" formatCode="0%"/>
    <numFmt numFmtId="173" formatCode="0.000000"/>
    <numFmt numFmtId="174" formatCode="0.00"/>
    <numFmt numFmtId="175" formatCode="0.00000000"/>
    <numFmt numFmtId="176" formatCode="0.0000"/>
    <numFmt numFmtId="177" formatCode="0.00%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000000"/>
      <name val="Arial"/>
      <family val="2"/>
    </font>
    <font>
      <sz val="10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sz val="17"/>
      <name val="Arial"/>
      <family val="2"/>
    </font>
    <font>
      <b val="true"/>
      <sz val="10.75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i val="true"/>
      <sz val="10"/>
      <color rgb="FFFF00FF"/>
      <name val="Arial"/>
      <family val="2"/>
    </font>
    <font>
      <b val="true"/>
      <i val="true"/>
      <sz val="10"/>
      <color rgb="FFFF00FF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b val="true"/>
      <sz val="10"/>
      <color rgb="FFFF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9.5"/>
      <color rgb="FF000000"/>
      <name val="Arial"/>
      <family val="2"/>
    </font>
    <font>
      <b val="true"/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PGT Cumulative Fuel Imbalance +Over/&lt;under&gt;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filings!$AB$7</c:f>
              <c:strCache>
                <c:ptCount val="1"/>
                <c:pt idx="0">
                  <c:v>cml.o/&lt;u&gt;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filings!$B$18:$B$111</c:f>
              <c:strCache>
                <c:ptCount val="94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</c:strCache>
            </c:strRef>
          </c:cat>
          <c:val>
            <c:numRef>
              <c:f>filings!$AB$18:$AB$111</c:f>
              <c:numCache>
                <c:formatCode>0.0</c:formatCode>
                <c:ptCount val="94"/>
                <c:pt idx="0">
                  <c:v>63.1529999999984</c:v>
                </c:pt>
                <c:pt idx="1">
                  <c:v>-110.618000000002</c:v>
                </c:pt>
                <c:pt idx="2">
                  <c:v>-556.965000000002</c:v>
                </c:pt>
                <c:pt idx="3">
                  <c:v>-303.397000000002</c:v>
                </c:pt>
                <c:pt idx="4">
                  <c:v>106.198999999999</c:v>
                </c:pt>
                <c:pt idx="5">
                  <c:v>187.645999999999</c:v>
                </c:pt>
                <c:pt idx="6">
                  <c:v>221.230999999999</c:v>
                </c:pt>
                <c:pt idx="7">
                  <c:v>295.448999999999</c:v>
                </c:pt>
                <c:pt idx="8">
                  <c:v>31.2689999999985</c:v>
                </c:pt>
                <c:pt idx="9">
                  <c:v>-598.952000000002</c:v>
                </c:pt>
                <c:pt idx="10">
                  <c:v>-567.596000000002</c:v>
                </c:pt>
                <c:pt idx="11">
                  <c:v>-1026.646</c:v>
                </c:pt>
                <c:pt idx="12">
                  <c:v>-1210.587</c:v>
                </c:pt>
                <c:pt idx="13">
                  <c:v>-1519.31</c:v>
                </c:pt>
                <c:pt idx="14">
                  <c:v>-1940.173</c:v>
                </c:pt>
                <c:pt idx="15">
                  <c:v>-1457.384</c:v>
                </c:pt>
                <c:pt idx="16">
                  <c:v>-1595.072</c:v>
                </c:pt>
                <c:pt idx="17">
                  <c:v>-1494.523</c:v>
                </c:pt>
                <c:pt idx="18">
                  <c:v>-1294.552</c:v>
                </c:pt>
                <c:pt idx="19">
                  <c:v>-957.193000000002</c:v>
                </c:pt>
                <c:pt idx="20">
                  <c:v>-813.337000000001</c:v>
                </c:pt>
                <c:pt idx="21">
                  <c:v>-629.078000000001</c:v>
                </c:pt>
                <c:pt idx="22">
                  <c:v>-515.628000000001</c:v>
                </c:pt>
                <c:pt idx="23">
                  <c:v>-760.406000000001</c:v>
                </c:pt>
                <c:pt idx="24">
                  <c:v>-834.573000000001</c:v>
                </c:pt>
                <c:pt idx="25">
                  <c:v>-1056.705</c:v>
                </c:pt>
                <c:pt idx="26">
                  <c:v>-1160.656</c:v>
                </c:pt>
                <c:pt idx="27">
                  <c:v>-1026.016</c:v>
                </c:pt>
                <c:pt idx="28">
                  <c:v>-863.285000000001</c:v>
                </c:pt>
                <c:pt idx="29">
                  <c:v>-810.675000000001</c:v>
                </c:pt>
                <c:pt idx="30">
                  <c:v>-1062.461</c:v>
                </c:pt>
                <c:pt idx="31">
                  <c:v>-1279.905</c:v>
                </c:pt>
                <c:pt idx="32">
                  <c:v>-1785.417</c:v>
                </c:pt>
                <c:pt idx="33">
                  <c:v>-2166.376</c:v>
                </c:pt>
                <c:pt idx="34">
                  <c:v>-2607.195</c:v>
                </c:pt>
                <c:pt idx="35">
                  <c:v>-2936.017</c:v>
                </c:pt>
                <c:pt idx="36">
                  <c:v>-3433.008</c:v>
                </c:pt>
                <c:pt idx="37">
                  <c:v>-3672.431</c:v>
                </c:pt>
                <c:pt idx="38">
                  <c:v>-3182.424</c:v>
                </c:pt>
                <c:pt idx="39">
                  <c:v>-2606.995</c:v>
                </c:pt>
                <c:pt idx="40">
                  <c:v>-2045.691</c:v>
                </c:pt>
                <c:pt idx="41">
                  <c:v>-1786.548</c:v>
                </c:pt>
                <c:pt idx="42">
                  <c:v>-1337.266</c:v>
                </c:pt>
                <c:pt idx="43">
                  <c:v>-1129.129</c:v>
                </c:pt>
                <c:pt idx="44">
                  <c:v>-1241.565</c:v>
                </c:pt>
                <c:pt idx="45">
                  <c:v>-1376.91</c:v>
                </c:pt>
                <c:pt idx="46">
                  <c:v>-1479.31</c:v>
                </c:pt>
                <c:pt idx="47">
                  <c:v>-1683.134</c:v>
                </c:pt>
                <c:pt idx="48">
                  <c:v>-1687.402</c:v>
                </c:pt>
                <c:pt idx="49">
                  <c:v>-1708.049</c:v>
                </c:pt>
                <c:pt idx="50">
                  <c:v>-1469.404</c:v>
                </c:pt>
                <c:pt idx="51">
                  <c:v>-1335.901</c:v>
                </c:pt>
                <c:pt idx="52">
                  <c:v>-1353.474</c:v>
                </c:pt>
                <c:pt idx="53">
                  <c:v>-1560.104</c:v>
                </c:pt>
                <c:pt idx="54">
                  <c:v>-1792.354</c:v>
                </c:pt>
                <c:pt idx="55">
                  <c:v>-1641.157</c:v>
                </c:pt>
                <c:pt idx="56">
                  <c:v>-1874.18</c:v>
                </c:pt>
                <c:pt idx="57">
                  <c:v>-1855.565</c:v>
                </c:pt>
                <c:pt idx="58">
                  <c:v>-2088.77</c:v>
                </c:pt>
                <c:pt idx="59">
                  <c:v>-1670.349</c:v>
                </c:pt>
                <c:pt idx="60">
                  <c:v>-1482.348</c:v>
                </c:pt>
                <c:pt idx="61">
                  <c:v>-1255.451</c:v>
                </c:pt>
                <c:pt idx="62">
                  <c:v>-707.465</c:v>
                </c:pt>
                <c:pt idx="63">
                  <c:v>-170.327</c:v>
                </c:pt>
                <c:pt idx="64">
                  <c:v>247.009</c:v>
                </c:pt>
                <c:pt idx="65">
                  <c:v>-14.8030000000001</c:v>
                </c:pt>
                <c:pt idx="66">
                  <c:v>-74.2050000000002</c:v>
                </c:pt>
                <c:pt idx="67">
                  <c:v>238.915</c:v>
                </c:pt>
                <c:pt idx="68">
                  <c:v>109.515</c:v>
                </c:pt>
                <c:pt idx="69">
                  <c:v>-191.456</c:v>
                </c:pt>
                <c:pt idx="70">
                  <c:v>-538.062</c:v>
                </c:pt>
                <c:pt idx="71">
                  <c:v>-1086.59</c:v>
                </c:pt>
                <c:pt idx="72">
                  <c:v>-1204.557</c:v>
                </c:pt>
                <c:pt idx="73">
                  <c:v>-1396.886</c:v>
                </c:pt>
                <c:pt idx="74">
                  <c:v>-1129.58</c:v>
                </c:pt>
                <c:pt idx="75">
                  <c:v>-746.581</c:v>
                </c:pt>
                <c:pt idx="76">
                  <c:v>-999.251</c:v>
                </c:pt>
                <c:pt idx="77">
                  <c:v>-1114.858</c:v>
                </c:pt>
                <c:pt idx="78">
                  <c:v>-1409.79</c:v>
                </c:pt>
                <c:pt idx="79">
                  <c:v>-1821.311</c:v>
                </c:pt>
                <c:pt idx="80">
                  <c:v>-2149.38</c:v>
                </c:pt>
                <c:pt idx="81">
                  <c:v>-2332.214</c:v>
                </c:pt>
                <c:pt idx="82">
                  <c:v>-2373.744</c:v>
                </c:pt>
                <c:pt idx="83">
                  <c:v>-2168.5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filings!$AC$7</c:f>
              <c:strCache>
                <c:ptCount val="1"/>
                <c:pt idx="0">
                  <c:v>semi-ann.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filings!$B$18:$B$111</c:f>
              <c:strCache>
                <c:ptCount val="94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</c:strCache>
            </c:strRef>
          </c:cat>
          <c:val>
            <c:numRef>
              <c:f>filings!$AC$18:$AC$111</c:f>
              <c:numCache>
                <c:formatCode>0.0</c:formatCode>
                <c:ptCount val="94"/>
                <c:pt idx="7">
                  <c:v>295.448999999999</c:v>
                </c:pt>
                <c:pt idx="13">
                  <c:v>-1519.31</c:v>
                </c:pt>
                <c:pt idx="19">
                  <c:v>-957.193000000002</c:v>
                </c:pt>
                <c:pt idx="25">
                  <c:v>-1056.705</c:v>
                </c:pt>
                <c:pt idx="31">
                  <c:v>-1279.905</c:v>
                </c:pt>
                <c:pt idx="37">
                  <c:v>-3672.431</c:v>
                </c:pt>
                <c:pt idx="43">
                  <c:v>-1129.129</c:v>
                </c:pt>
                <c:pt idx="49">
                  <c:v>-1708.049</c:v>
                </c:pt>
                <c:pt idx="55">
                  <c:v>-1641.157</c:v>
                </c:pt>
                <c:pt idx="61">
                  <c:v>-1255.451</c:v>
                </c:pt>
                <c:pt idx="67">
                  <c:v>238.915</c:v>
                </c:pt>
                <c:pt idx="73">
                  <c:v>-1396.886</c:v>
                </c:pt>
                <c:pt idx="79">
                  <c:v>-1821.311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filings!$S$7</c:f>
              <c:strCache>
                <c:ptCount val="1"/>
                <c:pt idx="0">
                  <c:v>surcharge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triangle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filings!$B$18:$B$111</c:f>
              <c:strCache>
                <c:ptCount val="94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</c:strCache>
            </c:strRef>
          </c:cat>
          <c:val>
            <c:numRef>
              <c:f>filings!$S$18:$S$111</c:f>
              <c:numCache>
                <c:formatCode>0.0</c:formatCode>
                <c:ptCount val="94"/>
                <c:pt idx="8">
                  <c:v>-143.534</c:v>
                </c:pt>
                <c:pt idx="9">
                  <c:v>-142.252</c:v>
                </c:pt>
                <c:pt idx="10">
                  <c:v>-130.946</c:v>
                </c:pt>
                <c:pt idx="11">
                  <c:v>-127.283</c:v>
                </c:pt>
                <c:pt idx="12">
                  <c:v>-136.298</c:v>
                </c:pt>
                <c:pt idx="13">
                  <c:v>-150.561</c:v>
                </c:pt>
                <c:pt idx="14">
                  <c:v>293.848</c:v>
                </c:pt>
                <c:pt idx="15">
                  <c:v>263.291</c:v>
                </c:pt>
                <c:pt idx="16">
                  <c:v>298.939</c:v>
                </c:pt>
                <c:pt idx="17">
                  <c:v>276.183</c:v>
                </c:pt>
                <c:pt idx="18">
                  <c:v>277.033</c:v>
                </c:pt>
                <c:pt idx="19">
                  <c:v>279.894</c:v>
                </c:pt>
                <c:pt idx="20">
                  <c:v>245.948</c:v>
                </c:pt>
                <c:pt idx="21">
                  <c:v>260.819</c:v>
                </c:pt>
                <c:pt idx="22">
                  <c:v>249.743</c:v>
                </c:pt>
                <c:pt idx="23">
                  <c:v>253.163</c:v>
                </c:pt>
                <c:pt idx="24">
                  <c:v>248.471</c:v>
                </c:pt>
                <c:pt idx="25">
                  <c:v>259.111</c:v>
                </c:pt>
                <c:pt idx="26">
                  <c:v>69.689</c:v>
                </c:pt>
                <c:pt idx="27">
                  <c:v>62.806</c:v>
                </c:pt>
                <c:pt idx="28">
                  <c:v>98.996</c:v>
                </c:pt>
                <c:pt idx="29">
                  <c:v>65.483</c:v>
                </c:pt>
                <c:pt idx="30">
                  <c:v>75.297</c:v>
                </c:pt>
                <c:pt idx="31">
                  <c:v>72.993</c:v>
                </c:pt>
                <c:pt idx="32">
                  <c:v>150.884</c:v>
                </c:pt>
                <c:pt idx="33">
                  <c:v>154.389</c:v>
                </c:pt>
                <c:pt idx="34">
                  <c:v>150.251</c:v>
                </c:pt>
                <c:pt idx="35">
                  <c:v>156.732</c:v>
                </c:pt>
                <c:pt idx="36">
                  <c:v>154.118</c:v>
                </c:pt>
                <c:pt idx="37">
                  <c:v>156.935</c:v>
                </c:pt>
                <c:pt idx="38">
                  <c:v>594.12</c:v>
                </c:pt>
                <c:pt idx="39">
                  <c:v>547.847</c:v>
                </c:pt>
                <c:pt idx="40">
                  <c:v>636.941</c:v>
                </c:pt>
                <c:pt idx="41">
                  <c:v>601.712</c:v>
                </c:pt>
                <c:pt idx="42">
                  <c:v>601.059</c:v>
                </c:pt>
                <c:pt idx="43">
                  <c:v>608.032</c:v>
                </c:pt>
                <c:pt idx="44">
                  <c:v>276.117</c:v>
                </c:pt>
                <c:pt idx="45">
                  <c:v>286.522</c:v>
                </c:pt>
                <c:pt idx="46">
                  <c:v>274.58</c:v>
                </c:pt>
                <c:pt idx="47">
                  <c:v>286.323</c:v>
                </c:pt>
                <c:pt idx="48">
                  <c:v>283.462</c:v>
                </c:pt>
                <c:pt idx="49">
                  <c:v>281.865</c:v>
                </c:pt>
                <c:pt idx="50">
                  <c:v>279.8858125</c:v>
                </c:pt>
                <c:pt idx="51">
                  <c:v>263.336645833333</c:v>
                </c:pt>
                <c:pt idx="52">
                  <c:v>299.422977777778</c:v>
                </c:pt>
                <c:pt idx="53">
                  <c:v>285.169906976744</c:v>
                </c:pt>
                <c:pt idx="54">
                  <c:v>280.588159090909</c:v>
                </c:pt>
                <c:pt idx="55">
                  <c:v>277.229431818182</c:v>
                </c:pt>
                <c:pt idx="56">
                  <c:v>286.182</c:v>
                </c:pt>
                <c:pt idx="57">
                  <c:v>283.937</c:v>
                </c:pt>
                <c:pt idx="58">
                  <c:v>280.99</c:v>
                </c:pt>
                <c:pt idx="59">
                  <c:v>279.989</c:v>
                </c:pt>
                <c:pt idx="60">
                  <c:v>278.135</c:v>
                </c:pt>
                <c:pt idx="61">
                  <c:v>287.25</c:v>
                </c:pt>
                <c:pt idx="62">
                  <c:v>351.817</c:v>
                </c:pt>
                <c:pt idx="63">
                  <c:v>314.588</c:v>
                </c:pt>
                <c:pt idx="64">
                  <c:v>324.479</c:v>
                </c:pt>
                <c:pt idx="65">
                  <c:v>339.023</c:v>
                </c:pt>
                <c:pt idx="66">
                  <c:v>330.114</c:v>
                </c:pt>
                <c:pt idx="67">
                  <c:v>304.194</c:v>
                </c:pt>
                <c:pt idx="68">
                  <c:v>-36.521</c:v>
                </c:pt>
                <c:pt idx="69">
                  <c:v>-37.789</c:v>
                </c:pt>
                <c:pt idx="70">
                  <c:v>-38.6</c:v>
                </c:pt>
                <c:pt idx="71">
                  <c:v>-39.872</c:v>
                </c:pt>
                <c:pt idx="72">
                  <c:v>-38.562</c:v>
                </c:pt>
                <c:pt idx="73">
                  <c:v>-41.179</c:v>
                </c:pt>
                <c:pt idx="74">
                  <c:v>203.496</c:v>
                </c:pt>
                <c:pt idx="75">
                  <c:v>191.904</c:v>
                </c:pt>
                <c:pt idx="76">
                  <c:v>198.395</c:v>
                </c:pt>
                <c:pt idx="77">
                  <c:v>177.186</c:v>
                </c:pt>
                <c:pt idx="78">
                  <c:v>194.007</c:v>
                </c:pt>
                <c:pt idx="79">
                  <c:v>193.066</c:v>
                </c:pt>
                <c:pt idx="80">
                  <c:v>244.166</c:v>
                </c:pt>
                <c:pt idx="81">
                  <c:v>231.004</c:v>
                </c:pt>
                <c:pt idx="82">
                  <c:v>229.313</c:v>
                </c:pt>
                <c:pt idx="83">
                  <c:v>239.985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362585"/>
        <c:axId val="16630537"/>
      </c:lineChart>
      <c:catAx>
        <c:axId val="77362585"/>
        <c:scaling>
          <c:orientation val="minMax"/>
        </c:scaling>
        <c:delete val="0"/>
        <c:axPos val="b"/>
        <c:numFmt formatCode="[$-409]mmm\-yy" sourceLinked="1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30537"/>
        <c:crossesAt val="-20000"/>
        <c:auto val="1"/>
        <c:lblAlgn val="ctr"/>
        <c:lblOffset val="100"/>
        <c:noMultiLvlLbl val="0"/>
      </c:catAx>
      <c:valAx>
        <c:axId val="16630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Total Monthly Fuel  in  Mdt/mo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62585"/>
        <c:crossesAt val="1"/>
        <c:crossBetween val="midCat"/>
        <c:majorUnit val="50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filings!$R$7</c:f>
              <c:strCache>
                <c:ptCount val="1"/>
                <c:pt idx="0">
                  <c:v>Retained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/>
                </c:pt>
                <c:pt idx="99">
                  <c:v/>
                </c:pt>
              </c:strCache>
            </c:strRef>
          </c:cat>
          <c:val>
            <c:numRef>
              <c:f>filings!$R$18:$R$117</c:f>
              <c:numCache>
                <c:formatCode>0.0</c:formatCode>
                <c:ptCount val="100"/>
                <c:pt idx="0">
                  <c:v>1204.482</c:v>
                </c:pt>
                <c:pt idx="1">
                  <c:v>585.1</c:v>
                </c:pt>
                <c:pt idx="2">
                  <c:v>315</c:v>
                </c:pt>
                <c:pt idx="3">
                  <c:v>900.9</c:v>
                </c:pt>
                <c:pt idx="4">
                  <c:v>994.763</c:v>
                </c:pt>
                <c:pt idx="5">
                  <c:v>803.835</c:v>
                </c:pt>
                <c:pt idx="6">
                  <c:v>747.411</c:v>
                </c:pt>
                <c:pt idx="7">
                  <c:v>621.639</c:v>
                </c:pt>
                <c:pt idx="8">
                  <c:v>574.134</c:v>
                </c:pt>
                <c:pt idx="9">
                  <c:v>640.133</c:v>
                </c:pt>
                <c:pt idx="10">
                  <c:v>818.413</c:v>
                </c:pt>
                <c:pt idx="11">
                  <c:v>954.621</c:v>
                </c:pt>
                <c:pt idx="12">
                  <c:v>1260.753</c:v>
                </c:pt>
                <c:pt idx="13">
                  <c:v>1392.687</c:v>
                </c:pt>
                <c:pt idx="14">
                  <c:v>1469.242</c:v>
                </c:pt>
                <c:pt idx="15">
                  <c:v>1448.102</c:v>
                </c:pt>
                <c:pt idx="16">
                  <c:v>1644.167</c:v>
                </c:pt>
                <c:pt idx="17">
                  <c:v>1657.096</c:v>
                </c:pt>
                <c:pt idx="18">
                  <c:v>1662.2</c:v>
                </c:pt>
                <c:pt idx="19">
                  <c:v>1679.365</c:v>
                </c:pt>
                <c:pt idx="20">
                  <c:v>1651.363</c:v>
                </c:pt>
                <c:pt idx="21">
                  <c:v>1751.213</c:v>
                </c:pt>
                <c:pt idx="22">
                  <c:v>1676.848</c:v>
                </c:pt>
                <c:pt idx="23">
                  <c:v>1446.647</c:v>
                </c:pt>
                <c:pt idx="24">
                  <c:v>1455.332</c:v>
                </c:pt>
                <c:pt idx="25">
                  <c:v>1591.681</c:v>
                </c:pt>
                <c:pt idx="26">
                  <c:v>1498.32</c:v>
                </c:pt>
                <c:pt idx="27">
                  <c:v>1350.338</c:v>
                </c:pt>
                <c:pt idx="28">
                  <c:v>1483.407</c:v>
                </c:pt>
                <c:pt idx="29">
                  <c:v>1145.944</c:v>
                </c:pt>
                <c:pt idx="30">
                  <c:v>1317.703</c:v>
                </c:pt>
                <c:pt idx="31">
                  <c:v>1386.869</c:v>
                </c:pt>
                <c:pt idx="32">
                  <c:v>1508.835</c:v>
                </c:pt>
                <c:pt idx="33">
                  <c:v>1659.683</c:v>
                </c:pt>
                <c:pt idx="34">
                  <c:v>1652.756</c:v>
                </c:pt>
                <c:pt idx="35">
                  <c:v>1763.236</c:v>
                </c:pt>
                <c:pt idx="36">
                  <c:v>1733.829</c:v>
                </c:pt>
                <c:pt idx="37">
                  <c:v>1765.524</c:v>
                </c:pt>
                <c:pt idx="38">
                  <c:v>2116.552</c:v>
                </c:pt>
                <c:pt idx="39">
                  <c:v>1951.706</c:v>
                </c:pt>
                <c:pt idx="40">
                  <c:v>2070.057</c:v>
                </c:pt>
                <c:pt idx="41">
                  <c:v>1842.744</c:v>
                </c:pt>
                <c:pt idx="42">
                  <c:v>1840.743</c:v>
                </c:pt>
                <c:pt idx="43">
                  <c:v>1672.089</c:v>
                </c:pt>
                <c:pt idx="44">
                  <c:v>1735.496</c:v>
                </c:pt>
                <c:pt idx="45">
                  <c:v>1882.536</c:v>
                </c:pt>
                <c:pt idx="46">
                  <c:v>1804.075</c:v>
                </c:pt>
                <c:pt idx="47">
                  <c:v>2003.657</c:v>
                </c:pt>
                <c:pt idx="48">
                  <c:v>1994.185</c:v>
                </c:pt>
                <c:pt idx="49">
                  <c:v>1993.232</c:v>
                </c:pt>
                <c:pt idx="50">
                  <c:v>1919.217</c:v>
                </c:pt>
                <c:pt idx="51">
                  <c:v>1805.737</c:v>
                </c:pt>
                <c:pt idx="52">
                  <c:v>1924.862</c:v>
                </c:pt>
                <c:pt idx="53">
                  <c:v>1751.758</c:v>
                </c:pt>
                <c:pt idx="54">
                  <c:v>1763.697</c:v>
                </c:pt>
                <c:pt idx="55">
                  <c:v>1742.585</c:v>
                </c:pt>
                <c:pt idx="56">
                  <c:v>1798.757</c:v>
                </c:pt>
                <c:pt idx="57">
                  <c:v>1947.445</c:v>
                </c:pt>
                <c:pt idx="58">
                  <c:v>1927.23</c:v>
                </c:pt>
                <c:pt idx="59">
                  <c:v>1920.366</c:v>
                </c:pt>
                <c:pt idx="60">
                  <c:v>1907.647</c:v>
                </c:pt>
                <c:pt idx="61">
                  <c:v>1970.166</c:v>
                </c:pt>
                <c:pt idx="62">
                  <c:v>1876.355</c:v>
                </c:pt>
                <c:pt idx="63">
                  <c:v>1467.979</c:v>
                </c:pt>
                <c:pt idx="64">
                  <c:v>1297.914</c:v>
                </c:pt>
                <c:pt idx="65">
                  <c:v>1318.643</c:v>
                </c:pt>
                <c:pt idx="66">
                  <c:v>1283.991</c:v>
                </c:pt>
                <c:pt idx="67">
                  <c:v>1284.601</c:v>
                </c:pt>
                <c:pt idx="68">
                  <c:v>1096.718</c:v>
                </c:pt>
                <c:pt idx="69">
                  <c:v>1134.819</c:v>
                </c:pt>
                <c:pt idx="70">
                  <c:v>1544.004</c:v>
                </c:pt>
                <c:pt idx="71">
                  <c:v>1594.875</c:v>
                </c:pt>
                <c:pt idx="72">
                  <c:v>1542.469</c:v>
                </c:pt>
                <c:pt idx="73">
                  <c:v>1647.16</c:v>
                </c:pt>
                <c:pt idx="74">
                  <c:v>1872.09</c:v>
                </c:pt>
                <c:pt idx="75">
                  <c:v>1765.445</c:v>
                </c:pt>
                <c:pt idx="76">
                  <c:v>1348.708</c:v>
                </c:pt>
                <c:pt idx="77">
                  <c:v>1133.626</c:v>
                </c:pt>
                <c:pt idx="78">
                  <c:v>1241.247</c:v>
                </c:pt>
                <c:pt idx="79">
                  <c:v>1312.478</c:v>
                </c:pt>
                <c:pt idx="80">
                  <c:v>1750.294</c:v>
                </c:pt>
                <c:pt idx="81">
                  <c:v>1808.959</c:v>
                </c:pt>
                <c:pt idx="82">
                  <c:v>1795.718</c:v>
                </c:pt>
                <c:pt idx="83">
                  <c:v>1879.284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filings!$Q$7</c:f>
              <c:strCache>
                <c:ptCount val="1"/>
                <c:pt idx="0">
                  <c:v>Used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custDash>
                <a:ds d="300000" sp="300000"/>
              </a:custDash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/>
                </c:pt>
                <c:pt idx="99">
                  <c:v/>
                </c:pt>
              </c:strCache>
            </c:strRef>
          </c:cat>
          <c:val>
            <c:numRef>
              <c:f>filings!$Q$18:$Q$117</c:f>
              <c:numCache>
                <c:formatCode>0.0</c:formatCode>
                <c:ptCount val="100"/>
                <c:pt idx="0">
                  <c:v>661.284</c:v>
                </c:pt>
                <c:pt idx="1">
                  <c:v>758.871</c:v>
                </c:pt>
                <c:pt idx="2">
                  <c:v>761.347</c:v>
                </c:pt>
                <c:pt idx="3">
                  <c:v>647.332</c:v>
                </c:pt>
                <c:pt idx="4">
                  <c:v>585.167</c:v>
                </c:pt>
                <c:pt idx="5">
                  <c:v>722.388</c:v>
                </c:pt>
                <c:pt idx="6">
                  <c:v>713.826</c:v>
                </c:pt>
                <c:pt idx="7">
                  <c:v>547.421</c:v>
                </c:pt>
                <c:pt idx="8">
                  <c:v>838.314</c:v>
                </c:pt>
                <c:pt idx="9">
                  <c:v>1270.354</c:v>
                </c:pt>
                <c:pt idx="10">
                  <c:v>787.057</c:v>
                </c:pt>
                <c:pt idx="11">
                  <c:v>1413.671</c:v>
                </c:pt>
                <c:pt idx="12">
                  <c:v>1444.694</c:v>
                </c:pt>
                <c:pt idx="13">
                  <c:v>1701.41</c:v>
                </c:pt>
                <c:pt idx="14">
                  <c:v>1890.105</c:v>
                </c:pt>
                <c:pt idx="15">
                  <c:v>965.313</c:v>
                </c:pt>
                <c:pt idx="16">
                  <c:v>1781.855</c:v>
                </c:pt>
                <c:pt idx="17">
                  <c:v>1556.547</c:v>
                </c:pt>
                <c:pt idx="18">
                  <c:v>1462.229</c:v>
                </c:pt>
                <c:pt idx="19">
                  <c:v>1342.006</c:v>
                </c:pt>
                <c:pt idx="20">
                  <c:v>1507.507</c:v>
                </c:pt>
                <c:pt idx="21">
                  <c:v>1566.954</c:v>
                </c:pt>
                <c:pt idx="22">
                  <c:v>1563.398</c:v>
                </c:pt>
                <c:pt idx="23">
                  <c:v>1691.425</c:v>
                </c:pt>
                <c:pt idx="24">
                  <c:v>1529.499</c:v>
                </c:pt>
                <c:pt idx="25">
                  <c:v>1813.813</c:v>
                </c:pt>
                <c:pt idx="26">
                  <c:v>1602.271</c:v>
                </c:pt>
                <c:pt idx="27">
                  <c:v>1215.698</c:v>
                </c:pt>
                <c:pt idx="28">
                  <c:v>1320.676</c:v>
                </c:pt>
                <c:pt idx="29">
                  <c:v>1093.334</c:v>
                </c:pt>
                <c:pt idx="30">
                  <c:v>1569.489</c:v>
                </c:pt>
                <c:pt idx="31">
                  <c:v>1604.313</c:v>
                </c:pt>
                <c:pt idx="32">
                  <c:v>2014.347</c:v>
                </c:pt>
                <c:pt idx="33">
                  <c:v>2040.642</c:v>
                </c:pt>
                <c:pt idx="34">
                  <c:v>2093.575</c:v>
                </c:pt>
                <c:pt idx="35">
                  <c:v>2092.058</c:v>
                </c:pt>
                <c:pt idx="36">
                  <c:v>2230.82</c:v>
                </c:pt>
                <c:pt idx="37">
                  <c:v>2004.947</c:v>
                </c:pt>
                <c:pt idx="38">
                  <c:v>1626.545</c:v>
                </c:pt>
                <c:pt idx="39">
                  <c:v>1376.277</c:v>
                </c:pt>
                <c:pt idx="40">
                  <c:v>1508.753</c:v>
                </c:pt>
                <c:pt idx="41">
                  <c:v>1583.601</c:v>
                </c:pt>
                <c:pt idx="42">
                  <c:v>1391.461</c:v>
                </c:pt>
                <c:pt idx="43">
                  <c:v>1463.952</c:v>
                </c:pt>
                <c:pt idx="44">
                  <c:v>1847.932</c:v>
                </c:pt>
                <c:pt idx="45">
                  <c:v>2017.881</c:v>
                </c:pt>
                <c:pt idx="46">
                  <c:v>1906.475</c:v>
                </c:pt>
                <c:pt idx="47">
                  <c:v>2207.481</c:v>
                </c:pt>
                <c:pt idx="48">
                  <c:v>1998.453</c:v>
                </c:pt>
                <c:pt idx="49">
                  <c:v>2013.879</c:v>
                </c:pt>
                <c:pt idx="50">
                  <c:v>1680.572</c:v>
                </c:pt>
                <c:pt idx="51">
                  <c:v>1672.234</c:v>
                </c:pt>
                <c:pt idx="52">
                  <c:v>1942.435</c:v>
                </c:pt>
                <c:pt idx="53">
                  <c:v>1958.388</c:v>
                </c:pt>
                <c:pt idx="54">
                  <c:v>1995.947</c:v>
                </c:pt>
                <c:pt idx="55">
                  <c:v>1591.388</c:v>
                </c:pt>
                <c:pt idx="56">
                  <c:v>2031.78</c:v>
                </c:pt>
                <c:pt idx="57">
                  <c:v>1928.83</c:v>
                </c:pt>
                <c:pt idx="58">
                  <c:v>2160.435</c:v>
                </c:pt>
                <c:pt idx="59">
                  <c:v>1501.945</c:v>
                </c:pt>
                <c:pt idx="60">
                  <c:v>1719.646</c:v>
                </c:pt>
                <c:pt idx="61">
                  <c:v>1743.269</c:v>
                </c:pt>
                <c:pt idx="62">
                  <c:v>1328.369</c:v>
                </c:pt>
                <c:pt idx="63">
                  <c:v>930.841</c:v>
                </c:pt>
                <c:pt idx="64">
                  <c:v>880.578</c:v>
                </c:pt>
                <c:pt idx="65">
                  <c:v>1580.455</c:v>
                </c:pt>
                <c:pt idx="66">
                  <c:v>1343.393</c:v>
                </c:pt>
                <c:pt idx="67">
                  <c:v>971.481</c:v>
                </c:pt>
                <c:pt idx="68">
                  <c:v>1226.118</c:v>
                </c:pt>
                <c:pt idx="69">
                  <c:v>1435.79</c:v>
                </c:pt>
                <c:pt idx="70">
                  <c:v>1890.61</c:v>
                </c:pt>
                <c:pt idx="71">
                  <c:v>2143.403</c:v>
                </c:pt>
                <c:pt idx="72">
                  <c:v>1660.436</c:v>
                </c:pt>
                <c:pt idx="73">
                  <c:v>1839.489</c:v>
                </c:pt>
                <c:pt idx="74">
                  <c:v>1604.784</c:v>
                </c:pt>
                <c:pt idx="75">
                  <c:v>1382.446</c:v>
                </c:pt>
                <c:pt idx="76">
                  <c:v>1601.378</c:v>
                </c:pt>
                <c:pt idx="77">
                  <c:v>1249.233</c:v>
                </c:pt>
                <c:pt idx="78">
                  <c:v>1536.179</c:v>
                </c:pt>
                <c:pt idx="79">
                  <c:v>1723.999</c:v>
                </c:pt>
                <c:pt idx="80">
                  <c:v>2078.363</c:v>
                </c:pt>
                <c:pt idx="81">
                  <c:v>1991.793</c:v>
                </c:pt>
                <c:pt idx="82">
                  <c:v>1837.248</c:v>
                </c:pt>
                <c:pt idx="83">
                  <c:v>1674.04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filings!$D$7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custDash>
                <a:ds d="300000" sp="300000"/>
              </a:custDash>
              <a:round/>
            </a:ln>
          </c:spPr>
          <c:marker>
            <c:symbol val="triangle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/>
                </c:pt>
                <c:pt idx="99">
                  <c:v/>
                </c:pt>
              </c:strCache>
            </c:strRef>
          </c:cat>
          <c:val>
            <c:numRef>
              <c:f>filings!$D$18:$D$117</c:f>
              <c:numCache>
                <c:formatCode>0.0</c:formatCode>
                <c:ptCount val="100"/>
                <c:pt idx="3">
                  <c:v>901.8</c:v>
                </c:pt>
                <c:pt idx="4">
                  <c:v>729.9</c:v>
                </c:pt>
                <c:pt idx="5">
                  <c:v>896.9</c:v>
                </c:pt>
                <c:pt idx="6">
                  <c:v>1177</c:v>
                </c:pt>
                <c:pt idx="7">
                  <c:v>717.5</c:v>
                </c:pt>
                <c:pt idx="8">
                  <c:v>767.6</c:v>
                </c:pt>
                <c:pt idx="9">
                  <c:v>935.9</c:v>
                </c:pt>
                <c:pt idx="10">
                  <c:v>871.7</c:v>
                </c:pt>
                <c:pt idx="11">
                  <c:v>701.5</c:v>
                </c:pt>
                <c:pt idx="12">
                  <c:v>1000</c:v>
                </c:pt>
                <c:pt idx="13">
                  <c:v>1250.7</c:v>
                </c:pt>
                <c:pt idx="14">
                  <c:v>1316.6</c:v>
                </c:pt>
                <c:pt idx="15">
                  <c:v>1420</c:v>
                </c:pt>
                <c:pt idx="16">
                  <c:v>1275</c:v>
                </c:pt>
                <c:pt idx="17">
                  <c:v>1490</c:v>
                </c:pt>
                <c:pt idx="18">
                  <c:v>1825</c:v>
                </c:pt>
                <c:pt idx="19">
                  <c:v>1485</c:v>
                </c:pt>
                <c:pt idx="20">
                  <c:v>1580</c:v>
                </c:pt>
                <c:pt idx="21">
                  <c:v>1800</c:v>
                </c:pt>
                <c:pt idx="22">
                  <c:v>1575</c:v>
                </c:pt>
                <c:pt idx="23">
                  <c:v>1485</c:v>
                </c:pt>
                <c:pt idx="24">
                  <c:v>1425</c:v>
                </c:pt>
                <c:pt idx="25">
                  <c:v>1175</c:v>
                </c:pt>
                <c:pt idx="26">
                  <c:v>1250</c:v>
                </c:pt>
                <c:pt idx="27">
                  <c:v>1100</c:v>
                </c:pt>
                <c:pt idx="28">
                  <c:v>1350</c:v>
                </c:pt>
                <c:pt idx="29">
                  <c:v>1375</c:v>
                </c:pt>
                <c:pt idx="30">
                  <c:v>1525</c:v>
                </c:pt>
                <c:pt idx="31">
                  <c:v>1482</c:v>
                </c:pt>
                <c:pt idx="32">
                  <c:v>1370</c:v>
                </c:pt>
                <c:pt idx="33">
                  <c:v>1540</c:v>
                </c:pt>
                <c:pt idx="34">
                  <c:v>1300</c:v>
                </c:pt>
                <c:pt idx="35">
                  <c:v>1375</c:v>
                </c:pt>
                <c:pt idx="36">
                  <c:v>1295</c:v>
                </c:pt>
                <c:pt idx="37">
                  <c:v>1400</c:v>
                </c:pt>
                <c:pt idx="38">
                  <c:v>1650</c:v>
                </c:pt>
                <c:pt idx="39">
                  <c:v>1700</c:v>
                </c:pt>
                <c:pt idx="40">
                  <c:v>1850</c:v>
                </c:pt>
                <c:pt idx="41">
                  <c:v>1825</c:v>
                </c:pt>
                <c:pt idx="42">
                  <c:v>1750</c:v>
                </c:pt>
                <c:pt idx="43">
                  <c:v>1460</c:v>
                </c:pt>
                <c:pt idx="44">
                  <c:v>1640</c:v>
                </c:pt>
                <c:pt idx="45">
                  <c:v>1540</c:v>
                </c:pt>
                <c:pt idx="46">
                  <c:v>1550</c:v>
                </c:pt>
                <c:pt idx="47">
                  <c:v>1720</c:v>
                </c:pt>
                <c:pt idx="48">
                  <c:v>1473.5</c:v>
                </c:pt>
                <c:pt idx="49">
                  <c:v>1825</c:v>
                </c:pt>
                <c:pt idx="50">
                  <c:v>1560</c:v>
                </c:pt>
                <c:pt idx="51">
                  <c:v>1810</c:v>
                </c:pt>
                <c:pt idx="52">
                  <c:v>1700</c:v>
                </c:pt>
                <c:pt idx="53">
                  <c:v>1575</c:v>
                </c:pt>
                <c:pt idx="54">
                  <c:v>1600</c:v>
                </c:pt>
                <c:pt idx="55">
                  <c:v>1530</c:v>
                </c:pt>
                <c:pt idx="56">
                  <c:v>1500</c:v>
                </c:pt>
                <c:pt idx="57">
                  <c:v>1650</c:v>
                </c:pt>
                <c:pt idx="58">
                  <c:v>1500</c:v>
                </c:pt>
                <c:pt idx="59">
                  <c:v>1695</c:v>
                </c:pt>
                <c:pt idx="60">
                  <c:v>1600</c:v>
                </c:pt>
                <c:pt idx="61">
                  <c:v>1950</c:v>
                </c:pt>
                <c:pt idx="62">
                  <c:v>1875</c:v>
                </c:pt>
                <c:pt idx="63">
                  <c:v>1455</c:v>
                </c:pt>
                <c:pt idx="64">
                  <c:v>1470</c:v>
                </c:pt>
                <c:pt idx="65">
                  <c:v>1635</c:v>
                </c:pt>
                <c:pt idx="66">
                  <c:v>1300</c:v>
                </c:pt>
                <c:pt idx="67">
                  <c:v>1000</c:v>
                </c:pt>
                <c:pt idx="68">
                  <c:v>925</c:v>
                </c:pt>
                <c:pt idx="69">
                  <c:v>1100</c:v>
                </c:pt>
                <c:pt idx="70">
                  <c:v>1410</c:v>
                </c:pt>
                <c:pt idx="71">
                  <c:v>1210</c:v>
                </c:pt>
                <c:pt idx="72">
                  <c:v>1300</c:v>
                </c:pt>
                <c:pt idx="73">
                  <c:v>1225</c:v>
                </c:pt>
                <c:pt idx="74">
                  <c:v>1800</c:v>
                </c:pt>
                <c:pt idx="75">
                  <c:v>1635</c:v>
                </c:pt>
                <c:pt idx="76">
                  <c:v>1350</c:v>
                </c:pt>
                <c:pt idx="77">
                  <c:v>1450</c:v>
                </c:pt>
                <c:pt idx="78">
                  <c:v>800</c:v>
                </c:pt>
                <c:pt idx="79">
                  <c:v>1025</c:v>
                </c:pt>
                <c:pt idx="80">
                  <c:v>1178.5</c:v>
                </c:pt>
                <c:pt idx="81">
                  <c:v>1165</c:v>
                </c:pt>
                <c:pt idx="82">
                  <c:v>1250</c:v>
                </c:pt>
                <c:pt idx="83">
                  <c:v>1325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filings!$I$7</c:f>
              <c:strCache>
                <c:ptCount val="1"/>
                <c:pt idx="0">
                  <c:v>2be.retain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custDash>
                <a:ds d="300000" sp="300000"/>
              </a:custDash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filings!$B$18:$B$117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/>
                </c:pt>
                <c:pt idx="99">
                  <c:v/>
                </c:pt>
              </c:strCache>
            </c:strRef>
          </c:cat>
          <c:val>
            <c:numRef>
              <c:f>filings!$I$18:$I$117</c:f>
              <c:numCache>
                <c:formatCode>0.0</c:formatCode>
                <c:ptCount val="100"/>
                <c:pt idx="3">
                  <c:v>981.7</c:v>
                </c:pt>
                <c:pt idx="4">
                  <c:v>1085.9</c:v>
                </c:pt>
                <c:pt idx="5">
                  <c:v>783.9</c:v>
                </c:pt>
                <c:pt idx="6">
                  <c:v>767.404</c:v>
                </c:pt>
                <c:pt idx="7">
                  <c:v>636.056</c:v>
                </c:pt>
                <c:pt idx="8">
                  <c:v>733.475</c:v>
                </c:pt>
                <c:pt idx="9">
                  <c:v>861.672</c:v>
                </c:pt>
                <c:pt idx="10">
                  <c:v>1135.88</c:v>
                </c:pt>
                <c:pt idx="11">
                  <c:v>1331.721</c:v>
                </c:pt>
                <c:pt idx="12">
                  <c:v>1289.169</c:v>
                </c:pt>
                <c:pt idx="13">
                  <c:v>1586.289</c:v>
                </c:pt>
                <c:pt idx="14">
                  <c:v>1763.861</c:v>
                </c:pt>
                <c:pt idx="15">
                  <c:v>1986.905</c:v>
                </c:pt>
                <c:pt idx="16">
                  <c:v>1927.681</c:v>
                </c:pt>
                <c:pt idx="17">
                  <c:v>1278.12</c:v>
                </c:pt>
                <c:pt idx="18">
                  <c:v>1658.521</c:v>
                </c:pt>
                <c:pt idx="19">
                  <c:v>1632.001</c:v>
                </c:pt>
                <c:pt idx="20">
                  <c:v>1615.291</c:v>
                </c:pt>
                <c:pt idx="21">
                  <c:v>1730.726</c:v>
                </c:pt>
                <c:pt idx="22">
                  <c:v>1665.718</c:v>
                </c:pt>
                <c:pt idx="23">
                  <c:v>1560.616</c:v>
                </c:pt>
                <c:pt idx="24">
                  <c:v>1523.784</c:v>
                </c:pt>
                <c:pt idx="25">
                  <c:v>1625.403</c:v>
                </c:pt>
                <c:pt idx="26">
                  <c:v>1537.582</c:v>
                </c:pt>
                <c:pt idx="27">
                  <c:v>1501.202</c:v>
                </c:pt>
                <c:pt idx="28">
                  <c:v>1516.742</c:v>
                </c:pt>
                <c:pt idx="29">
                  <c:v>1304.313</c:v>
                </c:pt>
                <c:pt idx="30">
                  <c:v>1433.199</c:v>
                </c:pt>
                <c:pt idx="31">
                  <c:v>1514.076</c:v>
                </c:pt>
                <c:pt idx="32">
                  <c:v>1700.072</c:v>
                </c:pt>
                <c:pt idx="33">
                  <c:v>1838.497</c:v>
                </c:pt>
                <c:pt idx="34">
                  <c:v>1935.512</c:v>
                </c:pt>
                <c:pt idx="35">
                  <c:v>1883.866</c:v>
                </c:pt>
                <c:pt idx="36">
                  <c:v>1853.546</c:v>
                </c:pt>
                <c:pt idx="37">
                  <c:v>1853.266</c:v>
                </c:pt>
                <c:pt idx="38">
                  <c:v>2262.78</c:v>
                </c:pt>
                <c:pt idx="39">
                  <c:v>2090.534</c:v>
                </c:pt>
                <c:pt idx="40">
                  <c:v>1879.291</c:v>
                </c:pt>
                <c:pt idx="41">
                  <c:v>1761.852</c:v>
                </c:pt>
                <c:pt idx="42">
                  <c:v>1760.125</c:v>
                </c:pt>
                <c:pt idx="43">
                  <c:v>1677.592</c:v>
                </c:pt>
                <c:pt idx="44">
                  <c:v>1726.228</c:v>
                </c:pt>
                <c:pt idx="45">
                  <c:v>1891.863</c:v>
                </c:pt>
                <c:pt idx="46">
                  <c:v>1871.129</c:v>
                </c:pt>
                <c:pt idx="47">
                  <c:v>1937.849</c:v>
                </c:pt>
                <c:pt idx="48">
                  <c:v>1970.83</c:v>
                </c:pt>
                <c:pt idx="49">
                  <c:v>2021.164</c:v>
                </c:pt>
                <c:pt idx="50">
                  <c:v>1960.042</c:v>
                </c:pt>
                <c:pt idx="51">
                  <c:v>1985.127</c:v>
                </c:pt>
                <c:pt idx="52">
                  <c:v>1909.094</c:v>
                </c:pt>
                <c:pt idx="53">
                  <c:v>1701.783</c:v>
                </c:pt>
                <c:pt idx="54">
                  <c:v>1866.462</c:v>
                </c:pt>
                <c:pt idx="55">
                  <c:v>1985.7</c:v>
                </c:pt>
                <c:pt idx="56">
                  <c:v>1970.886</c:v>
                </c:pt>
                <c:pt idx="57">
                  <c:v>1761.303</c:v>
                </c:pt>
                <c:pt idx="58">
                  <c:v>1971.659</c:v>
                </c:pt>
                <c:pt idx="59">
                  <c:v>1923.573</c:v>
                </c:pt>
                <c:pt idx="60">
                  <c:v>1896.15</c:v>
                </c:pt>
                <c:pt idx="61">
                  <c:v>1815.954</c:v>
                </c:pt>
                <c:pt idx="62">
                  <c:v>1934.195</c:v>
                </c:pt>
                <c:pt idx="63">
                  <c:v>1440.291</c:v>
                </c:pt>
                <c:pt idx="64">
                  <c:v>1197.639</c:v>
                </c:pt>
                <c:pt idx="65">
                  <c:v>1448.202</c:v>
                </c:pt>
                <c:pt idx="66">
                  <c:v>1207.664</c:v>
                </c:pt>
                <c:pt idx="67">
                  <c:v>1392.665</c:v>
                </c:pt>
                <c:pt idx="68">
                  <c:v>1222.259</c:v>
                </c:pt>
                <c:pt idx="69">
                  <c:v>1047.406</c:v>
                </c:pt>
                <c:pt idx="70">
                  <c:v>1447.424</c:v>
                </c:pt>
                <c:pt idx="71">
                  <c:v>1470.638</c:v>
                </c:pt>
                <c:pt idx="72">
                  <c:v>1519.324</c:v>
                </c:pt>
                <c:pt idx="73">
                  <c:v>1742.883</c:v>
                </c:pt>
                <c:pt idx="74">
                  <c:v>1872.967</c:v>
                </c:pt>
                <c:pt idx="75">
                  <c:v>1786.454</c:v>
                </c:pt>
                <c:pt idx="76">
                  <c:v>1229.433</c:v>
                </c:pt>
                <c:pt idx="77">
                  <c:v>1224.61</c:v>
                </c:pt>
                <c:pt idx="78">
                  <c:v>1177.67</c:v>
                </c:pt>
                <c:pt idx="79">
                  <c:v>1300.763</c:v>
                </c:pt>
                <c:pt idx="80">
                  <c:v>1657.573</c:v>
                </c:pt>
                <c:pt idx="81">
                  <c:v>1747.845</c:v>
                </c:pt>
                <c:pt idx="82">
                  <c:v>1751.858</c:v>
                </c:pt>
                <c:pt idx="83">
                  <c:v>1676.983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115132"/>
        <c:axId val="30845382"/>
      </c:lineChart>
      <c:catAx>
        <c:axId val="13115132"/>
        <c:scaling>
          <c:orientation val="minMax"/>
        </c:scaling>
        <c:delete val="0"/>
        <c:axPos val="b"/>
        <c:numFmt formatCode="[$-409]mmm\-yy" sourceLinked="1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45382"/>
        <c:crossesAt val="0"/>
        <c:auto val="1"/>
        <c:lblAlgn val="ctr"/>
        <c:lblOffset val="100"/>
        <c:noMultiLvlLbl val="0"/>
      </c:catAx>
      <c:valAx>
        <c:axId val="308453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Total Monthly Fuel  in  Mdt/mo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1513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daily!$N$7</c:f>
              <c:strCache>
                <c:ptCount val="1"/>
                <c:pt idx="0">
                  <c:v>act.fuel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daily!$N$18:$N$114</c:f>
              <c:numCache>
                <c:formatCode>0.0</c:formatCode>
                <c:ptCount val="97"/>
                <c:pt idx="0">
                  <c:v>26.1025666666667</c:v>
                </c:pt>
                <c:pt idx="1">
                  <c:v>29.3289677419355</c:v>
                </c:pt>
                <c:pt idx="2">
                  <c:v>29.7138064516129</c:v>
                </c:pt>
                <c:pt idx="3">
                  <c:v>31.8445</c:v>
                </c:pt>
                <c:pt idx="4">
                  <c:v>25.2742258064516</c:v>
                </c:pt>
                <c:pt idx="5">
                  <c:v>27.0608</c:v>
                </c:pt>
                <c:pt idx="6">
                  <c:v>24.3742258064516</c:v>
                </c:pt>
                <c:pt idx="7">
                  <c:v>28.4310666666667</c:v>
                </c:pt>
                <c:pt idx="8">
                  <c:v>38.9326129032258</c:v>
                </c:pt>
                <c:pt idx="9">
                  <c:v>41.5963870967742</c:v>
                </c:pt>
                <c:pt idx="10">
                  <c:v>37.6551</c:v>
                </c:pt>
                <c:pt idx="11">
                  <c:v>39.0286774193548</c:v>
                </c:pt>
                <c:pt idx="12">
                  <c:v>41.6146666666667</c:v>
                </c:pt>
                <c:pt idx="13">
                  <c:v>49.8972580645161</c:v>
                </c:pt>
                <c:pt idx="14">
                  <c:v>48.3485806451613</c:v>
                </c:pt>
                <c:pt idx="15">
                  <c:v>42.7329285714286</c:v>
                </c:pt>
                <c:pt idx="16">
                  <c:v>51.4991290322581</c:v>
                </c:pt>
                <c:pt idx="17">
                  <c:v>45.1138</c:v>
                </c:pt>
                <c:pt idx="18">
                  <c:v>39.2468387096774</c:v>
                </c:pt>
                <c:pt idx="19">
                  <c:v>40.0669666666667</c:v>
                </c:pt>
                <c:pt idx="20">
                  <c:v>42.6071290322581</c:v>
                </c:pt>
                <c:pt idx="21">
                  <c:v>47.6471290322581</c:v>
                </c:pt>
                <c:pt idx="22">
                  <c:v>47.3285666666667</c:v>
                </c:pt>
                <c:pt idx="23">
                  <c:v>46.5763225806452</c:v>
                </c:pt>
                <c:pt idx="24">
                  <c:v>46.9672</c:v>
                </c:pt>
                <c:pt idx="25">
                  <c:v>53.0790322580645</c:v>
                </c:pt>
                <c:pt idx="26">
                  <c:v>46.7697741935484</c:v>
                </c:pt>
                <c:pt idx="27">
                  <c:v>38.990724137931</c:v>
                </c:pt>
                <c:pt idx="28">
                  <c:v>34.6343870967742</c:v>
                </c:pt>
                <c:pt idx="29">
                  <c:v>35.8238</c:v>
                </c:pt>
                <c:pt idx="30">
                  <c:v>43.5401290322581</c:v>
                </c:pt>
                <c:pt idx="31">
                  <c:v>50.5952666666667</c:v>
                </c:pt>
                <c:pt idx="32">
                  <c:v>52.6807741935484</c:v>
                </c:pt>
                <c:pt idx="33">
                  <c:v>51.9802580645161</c:v>
                </c:pt>
                <c:pt idx="34">
                  <c:v>56.3888333333333</c:v>
                </c:pt>
                <c:pt idx="35">
                  <c:v>55.4519677419355</c:v>
                </c:pt>
                <c:pt idx="36">
                  <c:v>65.1917666666667</c:v>
                </c:pt>
                <c:pt idx="37">
                  <c:v>59.907064516129</c:v>
                </c:pt>
                <c:pt idx="38">
                  <c:v>50.6221612903226</c:v>
                </c:pt>
                <c:pt idx="39">
                  <c:v>46.5868571428571</c:v>
                </c:pt>
                <c:pt idx="40">
                  <c:v>48.7270322580645</c:v>
                </c:pt>
                <c:pt idx="41">
                  <c:v>48.6817</c:v>
                </c:pt>
                <c:pt idx="42">
                  <c:v>46.932064516129</c:v>
                </c:pt>
                <c:pt idx="43">
                  <c:v>54.1994666666667</c:v>
                </c:pt>
                <c:pt idx="44">
                  <c:v>59.0307741935484</c:v>
                </c:pt>
                <c:pt idx="45">
                  <c:v>61.1037419354839</c:v>
                </c:pt>
                <c:pt idx="46">
                  <c:v>66.3942</c:v>
                </c:pt>
                <c:pt idx="47">
                  <c:v>66.8804516129032</c:v>
                </c:pt>
                <c:pt idx="48">
                  <c:v>68.5863333333333</c:v>
                </c:pt>
                <c:pt idx="49">
                  <c:v>62.2303225806452</c:v>
                </c:pt>
                <c:pt idx="50">
                  <c:v>57.434935483871</c:v>
                </c:pt>
                <c:pt idx="51">
                  <c:v>60.0907142857143</c:v>
                </c:pt>
                <c:pt idx="52">
                  <c:v>64.0927419354839</c:v>
                </c:pt>
                <c:pt idx="53">
                  <c:v>64.7378333333333</c:v>
                </c:pt>
                <c:pt idx="54">
                  <c:v>57.6197741935484</c:v>
                </c:pt>
                <c:pt idx="55">
                  <c:v>54.6791333333333</c:v>
                </c:pt>
                <c:pt idx="56">
                  <c:v>62.1944838709677</c:v>
                </c:pt>
                <c:pt idx="57">
                  <c:v>62.5502258064516</c:v>
                </c:pt>
                <c:pt idx="58">
                  <c:v>64.6477333333333</c:v>
                </c:pt>
                <c:pt idx="59">
                  <c:v>59.8452903225806</c:v>
                </c:pt>
                <c:pt idx="60">
                  <c:v>59.755</c:v>
                </c:pt>
                <c:pt idx="61">
                  <c:v>58.43</c:v>
                </c:pt>
                <c:pt idx="62">
                  <c:v>47.922</c:v>
                </c:pt>
                <c:pt idx="63">
                  <c:v>45.4049642857143</c:v>
                </c:pt>
                <c:pt idx="64">
                  <c:v>38.2479032258064</c:v>
                </c:pt>
                <c:pt idx="65">
                  <c:v>50.577</c:v>
                </c:pt>
                <c:pt idx="66">
                  <c:v>45.71</c:v>
                </c:pt>
                <c:pt idx="67">
                  <c:v>35.3135333333333</c:v>
                </c:pt>
                <c:pt idx="68">
                  <c:v>42.7728709677419</c:v>
                </c:pt>
                <c:pt idx="69">
                  <c:v>48.5982580645161</c:v>
                </c:pt>
                <c:pt idx="70">
                  <c:v>60.2988</c:v>
                </c:pt>
                <c:pt idx="71">
                  <c:v>61.9134838709677</c:v>
                </c:pt>
                <c:pt idx="72">
                  <c:v>55.3167333333333</c:v>
                </c:pt>
                <c:pt idx="73">
                  <c:v>62.3829677419355</c:v>
                </c:pt>
                <c:pt idx="74">
                  <c:v>57.5182258064516</c:v>
                </c:pt>
                <c:pt idx="75">
                  <c:v>51.1666896551724</c:v>
                </c:pt>
                <c:pt idx="76">
                  <c:v>47.3859677419355</c:v>
                </c:pt>
                <c:pt idx="77">
                  <c:v>41.1849</c:v>
                </c:pt>
                <c:pt idx="78">
                  <c:v>49.6490967741936</c:v>
                </c:pt>
                <c:pt idx="79">
                  <c:v>56.1821666666667</c:v>
                </c:pt>
                <c:pt idx="80">
                  <c:v>62.4288709677419</c:v>
                </c:pt>
                <c:pt idx="81">
                  <c:v>57.1818709677419</c:v>
                </c:pt>
                <c:pt idx="82">
                  <c:v>57.0217666666667</c:v>
                </c:pt>
                <c:pt idx="83">
                  <c:v>56.3612580645161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daily!$P$7</c:f>
              <c:strCache>
                <c:ptCount val="1"/>
                <c:pt idx="0">
                  <c:v>act.used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square"/>
            <c:size val="3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daily!$P$18:$P$114</c:f>
              <c:numCache>
                <c:formatCode>0.0</c:formatCode>
                <c:ptCount val="97"/>
                <c:pt idx="0">
                  <c:v>22.0428</c:v>
                </c:pt>
                <c:pt idx="1">
                  <c:v>24.4797096774194</c:v>
                </c:pt>
                <c:pt idx="2">
                  <c:v>24.5595806451613</c:v>
                </c:pt>
                <c:pt idx="3">
                  <c:v>23.119</c:v>
                </c:pt>
                <c:pt idx="4">
                  <c:v>18.8763548387097</c:v>
                </c:pt>
                <c:pt idx="5">
                  <c:v>24.0796</c:v>
                </c:pt>
                <c:pt idx="6">
                  <c:v>23.0266451612903</c:v>
                </c:pt>
                <c:pt idx="7">
                  <c:v>18.2473666666667</c:v>
                </c:pt>
                <c:pt idx="8">
                  <c:v>27.0423870967742</c:v>
                </c:pt>
                <c:pt idx="9">
                  <c:v>40.9791612903226</c:v>
                </c:pt>
                <c:pt idx="10">
                  <c:v>26.2352333333333</c:v>
                </c:pt>
                <c:pt idx="11">
                  <c:v>45.6022903225806</c:v>
                </c:pt>
                <c:pt idx="12">
                  <c:v>48.1564666666667</c:v>
                </c:pt>
                <c:pt idx="13">
                  <c:v>54.8841935483871</c:v>
                </c:pt>
                <c:pt idx="14">
                  <c:v>60.9711290322581</c:v>
                </c:pt>
                <c:pt idx="15">
                  <c:v>34.4754642857143</c:v>
                </c:pt>
                <c:pt idx="16">
                  <c:v>57.4791935483871</c:v>
                </c:pt>
                <c:pt idx="17">
                  <c:v>51.8849</c:v>
                </c:pt>
                <c:pt idx="18">
                  <c:v>47.1686774193548</c:v>
                </c:pt>
                <c:pt idx="19">
                  <c:v>44.7335333333333</c:v>
                </c:pt>
                <c:pt idx="20">
                  <c:v>48.6292580645161</c:v>
                </c:pt>
                <c:pt idx="21">
                  <c:v>50.5469032258065</c:v>
                </c:pt>
                <c:pt idx="22">
                  <c:v>52.1132666666667</c:v>
                </c:pt>
                <c:pt idx="23">
                  <c:v>54.5620967741936</c:v>
                </c:pt>
                <c:pt idx="24">
                  <c:v>50.9833</c:v>
                </c:pt>
                <c:pt idx="25">
                  <c:v>58.5100967741936</c:v>
                </c:pt>
                <c:pt idx="26">
                  <c:v>51.6861612903226</c:v>
                </c:pt>
                <c:pt idx="27">
                  <c:v>41.9206206896552</c:v>
                </c:pt>
                <c:pt idx="28">
                  <c:v>42.6024516129032</c:v>
                </c:pt>
                <c:pt idx="29">
                  <c:v>36.4444666666667</c:v>
                </c:pt>
                <c:pt idx="30">
                  <c:v>50.6286774193548</c:v>
                </c:pt>
                <c:pt idx="31">
                  <c:v>53.4771</c:v>
                </c:pt>
                <c:pt idx="32">
                  <c:v>64.978935483871</c:v>
                </c:pt>
                <c:pt idx="33">
                  <c:v>65.8271612903226</c:v>
                </c:pt>
                <c:pt idx="34">
                  <c:v>69.7858333333333</c:v>
                </c:pt>
                <c:pt idx="35">
                  <c:v>67.4857419354839</c:v>
                </c:pt>
                <c:pt idx="36">
                  <c:v>74.3606666666667</c:v>
                </c:pt>
                <c:pt idx="37">
                  <c:v>64.6757096774194</c:v>
                </c:pt>
                <c:pt idx="38">
                  <c:v>52.4691935483871</c:v>
                </c:pt>
                <c:pt idx="39">
                  <c:v>49.15275</c:v>
                </c:pt>
                <c:pt idx="40">
                  <c:v>48.6694516129032</c:v>
                </c:pt>
                <c:pt idx="41">
                  <c:v>52.7867</c:v>
                </c:pt>
                <c:pt idx="42">
                  <c:v>44.8858387096774</c:v>
                </c:pt>
                <c:pt idx="43">
                  <c:v>48.7984</c:v>
                </c:pt>
                <c:pt idx="44">
                  <c:v>59.6107096774194</c:v>
                </c:pt>
                <c:pt idx="45">
                  <c:v>65.092935483871</c:v>
                </c:pt>
                <c:pt idx="46">
                  <c:v>63.5491666666667</c:v>
                </c:pt>
                <c:pt idx="47">
                  <c:v>71.209064516129</c:v>
                </c:pt>
                <c:pt idx="48">
                  <c:v>66.6151</c:v>
                </c:pt>
                <c:pt idx="49">
                  <c:v>64.9638387096774</c:v>
                </c:pt>
                <c:pt idx="50">
                  <c:v>54.212</c:v>
                </c:pt>
                <c:pt idx="51">
                  <c:v>59.7226428571429</c:v>
                </c:pt>
                <c:pt idx="52">
                  <c:v>62.6591935483871</c:v>
                </c:pt>
                <c:pt idx="53">
                  <c:v>65.2796</c:v>
                </c:pt>
                <c:pt idx="54">
                  <c:v>64.3853870967742</c:v>
                </c:pt>
                <c:pt idx="55">
                  <c:v>53.0462666666667</c:v>
                </c:pt>
                <c:pt idx="56">
                  <c:v>65.5412903225807</c:v>
                </c:pt>
                <c:pt idx="57">
                  <c:v>62.2203225806452</c:v>
                </c:pt>
                <c:pt idx="58">
                  <c:v>72.0145</c:v>
                </c:pt>
                <c:pt idx="59">
                  <c:v>48.4498387096774</c:v>
                </c:pt>
                <c:pt idx="60">
                  <c:v>57.3215333333333</c:v>
                </c:pt>
                <c:pt idx="61">
                  <c:v>56.2344838709677</c:v>
                </c:pt>
                <c:pt idx="62">
                  <c:v>42.8506129032258</c:v>
                </c:pt>
                <c:pt idx="63">
                  <c:v>33.2443214285714</c:v>
                </c:pt>
                <c:pt idx="64">
                  <c:v>28.4057419354839</c:v>
                </c:pt>
                <c:pt idx="65">
                  <c:v>52.6818333333333</c:v>
                </c:pt>
                <c:pt idx="66">
                  <c:v>43.3352580645161</c:v>
                </c:pt>
                <c:pt idx="67">
                  <c:v>32.3827</c:v>
                </c:pt>
                <c:pt idx="68">
                  <c:v>39.5521935483871</c:v>
                </c:pt>
                <c:pt idx="69">
                  <c:v>46.3158064516129</c:v>
                </c:pt>
                <c:pt idx="70">
                  <c:v>63.0203333333333</c:v>
                </c:pt>
                <c:pt idx="71">
                  <c:v>69.1420322580645</c:v>
                </c:pt>
                <c:pt idx="72">
                  <c:v>55.3478666666667</c:v>
                </c:pt>
                <c:pt idx="73">
                  <c:v>59.3383548387097</c:v>
                </c:pt>
                <c:pt idx="74">
                  <c:v>51.7672258064516</c:v>
                </c:pt>
                <c:pt idx="75">
                  <c:v>47.6705517241379</c:v>
                </c:pt>
                <c:pt idx="76">
                  <c:v>51.6573548387097</c:v>
                </c:pt>
                <c:pt idx="77">
                  <c:v>41.6411</c:v>
                </c:pt>
                <c:pt idx="78">
                  <c:v>49.5541612903226</c:v>
                </c:pt>
                <c:pt idx="79">
                  <c:v>57.4666333333333</c:v>
                </c:pt>
                <c:pt idx="80">
                  <c:v>67.0439677419355</c:v>
                </c:pt>
                <c:pt idx="81">
                  <c:v>64.2513870967742</c:v>
                </c:pt>
                <c:pt idx="82">
                  <c:v>61.2416</c:v>
                </c:pt>
                <c:pt idx="83">
                  <c:v>54.0012903225806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daily!$D$7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triangle"/>
            <c:size val="3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daily!$C$18:$C$114</c:f>
              <c:numCache>
                <c:formatCode>0.000</c:formatCode>
                <c:ptCount val="97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xVal>
          <c:yVal>
            <c:numRef>
              <c:f>daily!$D$18:$D$114</c:f>
              <c:numCache>
                <c:formatCode>0.0</c:formatCode>
                <c:ptCount val="97"/>
                <c:pt idx="3">
                  <c:v>32.2071428571429</c:v>
                </c:pt>
                <c:pt idx="4">
                  <c:v>23.5451612903226</c:v>
                </c:pt>
                <c:pt idx="5">
                  <c:v>29.8966666666667</c:v>
                </c:pt>
                <c:pt idx="6">
                  <c:v>37.9677419354839</c:v>
                </c:pt>
                <c:pt idx="7">
                  <c:v>23.9166666666667</c:v>
                </c:pt>
                <c:pt idx="8">
                  <c:v>24.7612903225806</c:v>
                </c:pt>
                <c:pt idx="9">
                  <c:v>30.1903225806452</c:v>
                </c:pt>
                <c:pt idx="10">
                  <c:v>29.0566666666667</c:v>
                </c:pt>
                <c:pt idx="11">
                  <c:v>22.6290322580645</c:v>
                </c:pt>
                <c:pt idx="12">
                  <c:v>33.3333333333333</c:v>
                </c:pt>
                <c:pt idx="13">
                  <c:v>40.3451612903226</c:v>
                </c:pt>
                <c:pt idx="14">
                  <c:v>42.4709677419355</c:v>
                </c:pt>
                <c:pt idx="15">
                  <c:v>50.7142857142857</c:v>
                </c:pt>
                <c:pt idx="16">
                  <c:v>41.1290322580645</c:v>
                </c:pt>
                <c:pt idx="17">
                  <c:v>49.6666666666667</c:v>
                </c:pt>
                <c:pt idx="18">
                  <c:v>58.8709677419355</c:v>
                </c:pt>
                <c:pt idx="19">
                  <c:v>49.5</c:v>
                </c:pt>
                <c:pt idx="20">
                  <c:v>50.9677419354839</c:v>
                </c:pt>
                <c:pt idx="21">
                  <c:v>58.0645161290323</c:v>
                </c:pt>
                <c:pt idx="22">
                  <c:v>52.5</c:v>
                </c:pt>
                <c:pt idx="23">
                  <c:v>47.9032258064516</c:v>
                </c:pt>
                <c:pt idx="24">
                  <c:v>47.5</c:v>
                </c:pt>
                <c:pt idx="25">
                  <c:v>37.9032258064516</c:v>
                </c:pt>
                <c:pt idx="26">
                  <c:v>40.3225806451613</c:v>
                </c:pt>
                <c:pt idx="27">
                  <c:v>37.9310344827586</c:v>
                </c:pt>
                <c:pt idx="28">
                  <c:v>43.5483870967742</c:v>
                </c:pt>
                <c:pt idx="29">
                  <c:v>45.8333333333333</c:v>
                </c:pt>
                <c:pt idx="30">
                  <c:v>49.1935483870968</c:v>
                </c:pt>
                <c:pt idx="31">
                  <c:v>49.4</c:v>
                </c:pt>
                <c:pt idx="32">
                  <c:v>44.1935483870968</c:v>
                </c:pt>
                <c:pt idx="33">
                  <c:v>49.6774193548387</c:v>
                </c:pt>
                <c:pt idx="34">
                  <c:v>43.3333333333333</c:v>
                </c:pt>
                <c:pt idx="35">
                  <c:v>44.3548387096774</c:v>
                </c:pt>
                <c:pt idx="36">
                  <c:v>43.1666666666667</c:v>
                </c:pt>
                <c:pt idx="37">
                  <c:v>45.1612903225807</c:v>
                </c:pt>
                <c:pt idx="38">
                  <c:v>53.2258064516129</c:v>
                </c:pt>
                <c:pt idx="39">
                  <c:v>60.7142857142857</c:v>
                </c:pt>
                <c:pt idx="40">
                  <c:v>59.6774193548387</c:v>
                </c:pt>
                <c:pt idx="41">
                  <c:v>60.8333333333333</c:v>
                </c:pt>
                <c:pt idx="42">
                  <c:v>56.4516129032258</c:v>
                </c:pt>
                <c:pt idx="43">
                  <c:v>48.6666666666667</c:v>
                </c:pt>
                <c:pt idx="44">
                  <c:v>52.9032258064516</c:v>
                </c:pt>
                <c:pt idx="45">
                  <c:v>49.6774193548387</c:v>
                </c:pt>
                <c:pt idx="46">
                  <c:v>51.6666666666667</c:v>
                </c:pt>
                <c:pt idx="47">
                  <c:v>55.4838709677419</c:v>
                </c:pt>
                <c:pt idx="48">
                  <c:v>49.1166666666667</c:v>
                </c:pt>
                <c:pt idx="49">
                  <c:v>58.8709677419355</c:v>
                </c:pt>
                <c:pt idx="50">
                  <c:v>50.3225806451613</c:v>
                </c:pt>
                <c:pt idx="51">
                  <c:v>64.6428571428571</c:v>
                </c:pt>
                <c:pt idx="52">
                  <c:v>54.8387096774194</c:v>
                </c:pt>
                <c:pt idx="53">
                  <c:v>52.5</c:v>
                </c:pt>
                <c:pt idx="54">
                  <c:v>51.6129032258065</c:v>
                </c:pt>
                <c:pt idx="55">
                  <c:v>51</c:v>
                </c:pt>
                <c:pt idx="56">
                  <c:v>48.3870967741936</c:v>
                </c:pt>
                <c:pt idx="57">
                  <c:v>53.2258064516129</c:v>
                </c:pt>
                <c:pt idx="58">
                  <c:v>50</c:v>
                </c:pt>
                <c:pt idx="59">
                  <c:v>54.6774193548387</c:v>
                </c:pt>
                <c:pt idx="60">
                  <c:v>53.3333333333333</c:v>
                </c:pt>
                <c:pt idx="61">
                  <c:v>62.9032258064516</c:v>
                </c:pt>
                <c:pt idx="62">
                  <c:v>60.4838709677419</c:v>
                </c:pt>
                <c:pt idx="63">
                  <c:v>51.9642857142857</c:v>
                </c:pt>
                <c:pt idx="64">
                  <c:v>47.4193548387097</c:v>
                </c:pt>
                <c:pt idx="65">
                  <c:v>54.5</c:v>
                </c:pt>
                <c:pt idx="66">
                  <c:v>41.9354838709677</c:v>
                </c:pt>
                <c:pt idx="67">
                  <c:v>33.3333333333333</c:v>
                </c:pt>
                <c:pt idx="68">
                  <c:v>29.8387096774194</c:v>
                </c:pt>
                <c:pt idx="69">
                  <c:v>35.4838709677419</c:v>
                </c:pt>
                <c:pt idx="70">
                  <c:v>47</c:v>
                </c:pt>
                <c:pt idx="71">
                  <c:v>39.0322580645161</c:v>
                </c:pt>
                <c:pt idx="72">
                  <c:v>43.3333333333333</c:v>
                </c:pt>
                <c:pt idx="73">
                  <c:v>39.5161290322581</c:v>
                </c:pt>
                <c:pt idx="74">
                  <c:v>58.0645161290323</c:v>
                </c:pt>
                <c:pt idx="75">
                  <c:v>56.3793103448276</c:v>
                </c:pt>
                <c:pt idx="76">
                  <c:v>43.5483870967742</c:v>
                </c:pt>
                <c:pt idx="77">
                  <c:v>48.3333333333333</c:v>
                </c:pt>
                <c:pt idx="78">
                  <c:v>25.8064516129032</c:v>
                </c:pt>
                <c:pt idx="79">
                  <c:v>34.1666666666667</c:v>
                </c:pt>
                <c:pt idx="80">
                  <c:v>38.0161290322581</c:v>
                </c:pt>
                <c:pt idx="81">
                  <c:v>37.5806451612903</c:v>
                </c:pt>
                <c:pt idx="82">
                  <c:v>41.6666666666667</c:v>
                </c:pt>
                <c:pt idx="83">
                  <c:v>42.741935483871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daily!$X$7</c:f>
              <c:strCache>
                <c:ptCount val="1"/>
                <c:pt idx="0">
                  <c:v>Adj.Est</c:v>
                </c:pt>
              </c:strCache>
            </c:strRef>
          </c:tx>
          <c:spPr>
            <a:solidFill>
              <a:srgbClr val="00ffff"/>
            </a:solidFill>
            <a:ln w="0">
              <a:noFill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daily!$C$18:$C$114</c:f>
              <c:numCache>
                <c:formatCode>0.000</c:formatCode>
                <c:ptCount val="97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xVal>
          <c:yVal>
            <c:numRef>
              <c:f>daily!$X$18:$X$114</c:f>
              <c:numCache>
                <c:formatCode>0.0</c:formatCode>
                <c:ptCount val="97"/>
                <c:pt idx="3">
                  <c:v>32.2071428571429</c:v>
                </c:pt>
                <c:pt idx="4">
                  <c:v>23.5451612903226</c:v>
                </c:pt>
                <c:pt idx="5">
                  <c:v>29.8966666666667</c:v>
                </c:pt>
                <c:pt idx="6">
                  <c:v>37.9677419354839</c:v>
                </c:pt>
                <c:pt idx="7">
                  <c:v>23.9166666666667</c:v>
                </c:pt>
                <c:pt idx="8">
                  <c:v>29.5536976929032</c:v>
                </c:pt>
                <c:pt idx="9">
                  <c:v>35.3181639741936</c:v>
                </c:pt>
                <c:pt idx="10">
                  <c:v>34.3501973866667</c:v>
                </c:pt>
                <c:pt idx="11">
                  <c:v>27.7383636129032</c:v>
                </c:pt>
                <c:pt idx="12">
                  <c:v>38.0452214846847</c:v>
                </c:pt>
                <c:pt idx="13">
                  <c:v>45.9758922849172</c:v>
                </c:pt>
                <c:pt idx="14">
                  <c:v>30.8831608593548</c:v>
                </c:pt>
                <c:pt idx="15">
                  <c:v>37.5640116883117</c:v>
                </c:pt>
                <c:pt idx="16">
                  <c:v>29.6213669677419</c:v>
                </c:pt>
                <c:pt idx="17">
                  <c:v>41.676992969697</c:v>
                </c:pt>
                <c:pt idx="18">
                  <c:v>49.7156129032258</c:v>
                </c:pt>
                <c:pt idx="19">
                  <c:v>40.2114133333333</c:v>
                </c:pt>
                <c:pt idx="20">
                  <c:v>43.0325419354839</c:v>
                </c:pt>
                <c:pt idx="21">
                  <c:v>49.5633548387097</c:v>
                </c:pt>
                <c:pt idx="22">
                  <c:v>44.0582333333333</c:v>
                </c:pt>
                <c:pt idx="23">
                  <c:v>38.9811161290323</c:v>
                </c:pt>
                <c:pt idx="24">
                  <c:v>38.7124333333333</c:v>
                </c:pt>
                <c:pt idx="25">
                  <c:v>29.1936451612903</c:v>
                </c:pt>
                <c:pt idx="26">
                  <c:v>37.9658064516129</c:v>
                </c:pt>
                <c:pt idx="27">
                  <c:v>35.4888275862069</c:v>
                </c:pt>
                <c:pt idx="28">
                  <c:v>41.2218064516129</c:v>
                </c:pt>
                <c:pt idx="29">
                  <c:v>43.2896666666667</c:v>
                </c:pt>
                <c:pt idx="30">
                  <c:v>46.5021290322581</c:v>
                </c:pt>
                <c:pt idx="31">
                  <c:v>46.6931573333333</c:v>
                </c:pt>
                <c:pt idx="32">
                  <c:v>38.6667870967742</c:v>
                </c:pt>
                <c:pt idx="33">
                  <c:v>44.0721548387097</c:v>
                </c:pt>
                <c:pt idx="34">
                  <c:v>37.3810666666667</c:v>
                </c:pt>
                <c:pt idx="35">
                  <c:v>38.8629677419355</c:v>
                </c:pt>
                <c:pt idx="36">
                  <c:v>37.62728</c:v>
                </c:pt>
                <c:pt idx="37">
                  <c:v>39.8002580645161</c:v>
                </c:pt>
                <c:pt idx="38">
                  <c:v>32.1171612903226</c:v>
                </c:pt>
                <c:pt idx="39">
                  <c:v>39.112</c:v>
                </c:pt>
                <c:pt idx="40">
                  <c:v>40.3938064516129</c:v>
                </c:pt>
                <c:pt idx="41">
                  <c:v>41.0525333333333</c:v>
                </c:pt>
                <c:pt idx="42">
                  <c:v>37.4363870967742</c:v>
                </c:pt>
                <c:pt idx="43">
                  <c:v>28.0996266666667</c:v>
                </c:pt>
                <c:pt idx="44">
                  <c:v>43.9042064516129</c:v>
                </c:pt>
                <c:pt idx="45">
                  <c:v>40.220464516129</c:v>
                </c:pt>
                <c:pt idx="46">
                  <c:v>42.0146</c:v>
                </c:pt>
                <c:pt idx="47">
                  <c:v>46.3580387096774</c:v>
                </c:pt>
                <c:pt idx="48">
                  <c:v>39.364682</c:v>
                </c:pt>
                <c:pt idx="49">
                  <c:v>49.1457096774194</c:v>
                </c:pt>
                <c:pt idx="50">
                  <c:v>40.9219870967742</c:v>
                </c:pt>
                <c:pt idx="51">
                  <c:v>54.0725571428571</c:v>
                </c:pt>
                <c:pt idx="52">
                  <c:v>45.0987741935484</c:v>
                </c:pt>
                <c:pt idx="53">
                  <c:v>43.0875666666667</c:v>
                </c:pt>
                <c:pt idx="54">
                  <c:v>41.8453741935484</c:v>
                </c:pt>
                <c:pt idx="55">
                  <c:v>40.3190266666667</c:v>
                </c:pt>
                <c:pt idx="56">
                  <c:v>38.0952903225807</c:v>
                </c:pt>
                <c:pt idx="57">
                  <c:v>44.7481290322581</c:v>
                </c:pt>
                <c:pt idx="58">
                  <c:v>40.2387333333333</c:v>
                </c:pt>
                <c:pt idx="59">
                  <c:v>45.4194668387097</c:v>
                </c:pt>
                <c:pt idx="60">
                  <c:v>43.9178666666667</c:v>
                </c:pt>
                <c:pt idx="61">
                  <c:v>54.1672258064516</c:v>
                </c:pt>
                <c:pt idx="62">
                  <c:v>48.5008064516129</c:v>
                </c:pt>
                <c:pt idx="63">
                  <c:v>40.6896642857143</c:v>
                </c:pt>
                <c:pt idx="64">
                  <c:v>37.5354967741936</c:v>
                </c:pt>
                <c:pt idx="65">
                  <c:v>41.92094</c:v>
                </c:pt>
                <c:pt idx="66">
                  <c:v>31.6243870967742</c:v>
                </c:pt>
                <c:pt idx="67">
                  <c:v>22.2573333333333</c:v>
                </c:pt>
                <c:pt idx="68">
                  <c:v>31.1877741935484</c:v>
                </c:pt>
                <c:pt idx="69">
                  <c:v>36.6429677419355</c:v>
                </c:pt>
                <c:pt idx="70">
                  <c:v>48.2377733333333</c:v>
                </c:pt>
                <c:pt idx="71">
                  <c:v>40.2456193548387</c:v>
                </c:pt>
                <c:pt idx="72">
                  <c:v>44.6125333333333</c:v>
                </c:pt>
                <c:pt idx="73">
                  <c:v>40.928935483871</c:v>
                </c:pt>
                <c:pt idx="74">
                  <c:v>51.3716129032258</c:v>
                </c:pt>
                <c:pt idx="75">
                  <c:v>49.5534137931035</c:v>
                </c:pt>
                <c:pt idx="76">
                  <c:v>37.5641935483871</c:v>
                </c:pt>
                <c:pt idx="77">
                  <c:v>41.8576866666667</c:v>
                </c:pt>
                <c:pt idx="78">
                  <c:v>19.8683870967742</c:v>
                </c:pt>
                <c:pt idx="79">
                  <c:v>27.7511666666667</c:v>
                </c:pt>
                <c:pt idx="80">
                  <c:v>30.3491316129032</c:v>
                </c:pt>
                <c:pt idx="81">
                  <c:v>30.3175870967742</c:v>
                </c:pt>
                <c:pt idx="82">
                  <c:v>34.0486666666667</c:v>
                </c:pt>
                <c:pt idx="83">
                  <c:v>35.7647096774194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regr!$D$7</c:f>
              <c:strCache>
                <c:ptCount val="1"/>
                <c:pt idx="0">
                  <c:v>regr.fuel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regr!$B$1:$B$2</c:f>
              <c:numCache>
                <c:formatCode>General</c:formatCode>
                <c:ptCount val="2"/>
                <c:pt idx="0">
                  <c:v>0</c:v>
                </c:pt>
                <c:pt idx="1">
                  <c:v>1.45</c:v>
                </c:pt>
              </c:numCache>
            </c:numRef>
          </c:xVal>
          <c:yVal>
            <c:numRef>
              <c:f>regr!$D$1:$D$2</c:f>
              <c:numCache>
                <c:formatCode>0.0</c:formatCode>
                <c:ptCount val="2"/>
                <c:pt idx="0">
                  <c:v>-73.6267193023452</c:v>
                </c:pt>
                <c:pt idx="1">
                  <c:v>73.169918351232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daily!$Y$3</c:f>
              <c:strCache>
                <c:ptCount val="1"/>
                <c:pt idx="0">
                  <c:v>max.0041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custDash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daily!$Y$1:$Y$2</c:f>
              <c:numCache>
                <c:formatCode>0.0</c:formatCode>
                <c:ptCount val="2"/>
                <c:pt idx="0">
                  <c:v>67.3951543831169</c:v>
                </c:pt>
                <c:pt idx="1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daily!$Z$3</c:f>
              <c:strCache>
                <c:ptCount val="1"/>
                <c:pt idx="0">
                  <c:v>max.0050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8080"/>
              </a:solidFill>
              <a:custDash>
                <a:ds d="385900" sp="385900"/>
                <a:ds d="385900" sp="385900"/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  <a:ds d="385900" sp="385900"/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daily!$Z$1:$Z$2</c:f>
              <c:numCache>
                <c:formatCode>0.0</c:formatCode>
                <c:ptCount val="2"/>
                <c:pt idx="0">
                  <c:v>82.1892126623377</c:v>
                </c:pt>
                <c:pt idx="1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daily!$AA$3</c:f>
              <c:strCache>
                <c:ptCount val="1"/>
                <c:pt idx="0">
                  <c:v>fuel.0022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ff"/>
              </a:solidFill>
              <a:custDash>
                <a:ds d="385900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daily!$AA$1:$AA$2</c:f>
              <c:numCache>
                <c:formatCode>0.0</c:formatCode>
                <c:ptCount val="2"/>
                <c:pt idx="0">
                  <c:v>36.1632535714286</c:v>
                </c:pt>
                <c:pt idx="1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daily!$AB$33</c:f>
              <c:strCache>
                <c:ptCount val="1"/>
                <c:pt idx="0">
                  <c:v>fuel.100%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ff0000"/>
              </a:solidFill>
              <a:custDash>
                <a:ds d="385900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daily!$AA$34:$AA$40</c:f>
              <c:numCache>
                <c:formatCode>0.000</c:formatCode>
                <c:ptCount val="7"/>
                <c:pt idx="0">
                  <c:v>0.964401290322581</c:v>
                </c:pt>
                <c:pt idx="1">
                  <c:v>1.03055769230769</c:v>
                </c:pt>
                <c:pt idx="2">
                  <c:v>1.27960910815939</c:v>
                </c:pt>
                <c:pt idx="3">
                  <c:v>1.32342203898051</c:v>
                </c:pt>
                <c:pt idx="5">
                  <c:v>1.379829390681</c:v>
                </c:pt>
                <c:pt idx="6">
                  <c:v>1.38485069444444</c:v>
                </c:pt>
              </c:numCache>
            </c:numRef>
          </c:xVal>
          <c:yVal>
            <c:numRef>
              <c:f>daily!$AB$34:$AB$40</c:f>
              <c:numCache>
                <c:formatCode>0.0</c:formatCode>
                <c:ptCount val="7"/>
                <c:pt idx="0">
                  <c:v>24.3742258064516</c:v>
                </c:pt>
                <c:pt idx="1">
                  <c:v>27.0608</c:v>
                </c:pt>
                <c:pt idx="2">
                  <c:v>47.3859677419355</c:v>
                </c:pt>
                <c:pt idx="3">
                  <c:v>51.1666896551724</c:v>
                </c:pt>
                <c:pt idx="5">
                  <c:v>64.0927419354839</c:v>
                </c:pt>
                <c:pt idx="6">
                  <c:v>68.5863333333333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daily!$AB$24</c:f>
              <c:strCache>
                <c:ptCount val="1"/>
                <c:pt idx="0">
                  <c:v>used.90%</c:v>
                </c:pt>
              </c:strCache>
            </c:strRef>
          </c:tx>
          <c:spPr>
            <a:solidFill>
              <a:srgbClr val="993300"/>
            </a:solidFill>
            <a:ln w="0">
              <a:solidFill>
                <a:srgbClr val="993300"/>
              </a:solidFill>
              <a:custDash>
                <a:ds d="385900" sp="385900"/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daily!$AA$25:$AA$31</c:f>
              <c:numCache>
                <c:formatCode>0.000</c:formatCode>
                <c:ptCount val="7"/>
                <c:pt idx="0">
                  <c:v>0.972397849462366</c:v>
                </c:pt>
                <c:pt idx="1">
                  <c:v>1.09121733333333</c:v>
                </c:pt>
                <c:pt idx="2">
                  <c:v>1.26099126344086</c:v>
                </c:pt>
                <c:pt idx="3">
                  <c:v>1.31282608695652</c:v>
                </c:pt>
                <c:pt idx="4">
                  <c:v>1.32014015151515</c:v>
                </c:pt>
                <c:pt idx="5">
                  <c:v>1.34355431547619</c:v>
                </c:pt>
                <c:pt idx="6">
                  <c:v>1.3579519379845</c:v>
                </c:pt>
              </c:numCache>
            </c:numRef>
          </c:xVal>
          <c:yVal>
            <c:numRef>
              <c:f>daily!$AB$25:$AB$31</c:f>
              <c:numCache>
                <c:formatCode>0.0</c:formatCode>
                <c:ptCount val="7"/>
                <c:pt idx="0">
                  <c:v>18.8763548387097</c:v>
                </c:pt>
                <c:pt idx="1">
                  <c:v>26.2352333333333</c:v>
                </c:pt>
                <c:pt idx="2">
                  <c:v>42.8506129032258</c:v>
                </c:pt>
                <c:pt idx="3">
                  <c:v>51.7672258064516</c:v>
                </c:pt>
                <c:pt idx="4">
                  <c:v>53.0462666666667</c:v>
                </c:pt>
                <c:pt idx="5">
                  <c:v>59.7226428571429</c:v>
                </c:pt>
                <c:pt idx="6">
                  <c:v>65.2796</c:v>
                </c:pt>
              </c:numCache>
            </c:numRef>
          </c:yVal>
          <c:smooth val="0"/>
        </c:ser>
        <c:axId val="63197369"/>
        <c:axId val="28328807"/>
      </c:scatterChart>
      <c:valAx>
        <c:axId val="63197369"/>
        <c:scaling>
          <c:orientation val="minMax"/>
          <c:min val="0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Throughput  in  e9 dt-mi/day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28807"/>
        <c:crossesAt val="-100000"/>
        <c:crossBetween val="midCat"/>
        <c:majorUnit val="0.1"/>
      </c:valAx>
      <c:valAx>
        <c:axId val="28328807"/>
        <c:scaling>
          <c:orientation val="minMax"/>
          <c:max val="9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Fuel Used  in  Mdt/day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97369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daily!$U$7</c:f>
              <c:strCache>
                <c:ptCount val="1"/>
                <c:pt idx="0">
                  <c:v>Act.Fuel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daily!$U$18:$U$114</c:f>
              <c:numCache>
                <c:formatCode>0.000000</c:formatCode>
                <c:ptCount val="97"/>
                <c:pt idx="0">
                  <c:v>2.66555722709015E-005</c:v>
                </c:pt>
                <c:pt idx="1">
                  <c:v>2.95244607759357E-005</c:v>
                </c:pt>
                <c:pt idx="2">
                  <c:v>2.92421587301587E-005</c:v>
                </c:pt>
                <c:pt idx="3">
                  <c:v>3.06815695415695E-005</c:v>
                </c:pt>
                <c:pt idx="4">
                  <c:v>2.59916512777415E-005</c:v>
                </c:pt>
                <c:pt idx="5">
                  <c:v>2.62584037768945E-005</c:v>
                </c:pt>
                <c:pt idx="6">
                  <c:v>2.52739456604198E-005</c:v>
                </c:pt>
                <c:pt idx="7">
                  <c:v>2.74413928341047E-005</c:v>
                </c:pt>
                <c:pt idx="8">
                  <c:v>3.36342665649483E-005</c:v>
                </c:pt>
                <c:pt idx="9">
                  <c:v>3.62593148611304E-005</c:v>
                </c:pt>
                <c:pt idx="10">
                  <c:v>3.45074247354331E-005</c:v>
                </c:pt>
                <c:pt idx="11">
                  <c:v>3.80220736815972E-005</c:v>
                </c:pt>
                <c:pt idx="12">
                  <c:v>3.6638643731167E-005</c:v>
                </c:pt>
                <c:pt idx="13">
                  <c:v>4.10947721921724E-005</c:v>
                </c:pt>
                <c:pt idx="14">
                  <c:v>4.08048776171659E-005</c:v>
                </c:pt>
                <c:pt idx="15">
                  <c:v>3.63558423370729E-005</c:v>
                </c:pt>
                <c:pt idx="16">
                  <c:v>4.27236479019467E-005</c:v>
                </c:pt>
                <c:pt idx="17">
                  <c:v>3.92034450629294E-005</c:v>
                </c:pt>
                <c:pt idx="18">
                  <c:v>3.51337360125135E-005</c:v>
                </c:pt>
                <c:pt idx="19">
                  <c:v>3.43561000735397E-005</c:v>
                </c:pt>
                <c:pt idx="20">
                  <c:v>3.7592332515625E-005</c:v>
                </c:pt>
                <c:pt idx="21">
                  <c:v>3.96421606052491E-005</c:v>
                </c:pt>
                <c:pt idx="22">
                  <c:v>3.97968563638445E-005</c:v>
                </c:pt>
                <c:pt idx="23">
                  <c:v>3.99231049454359E-005</c:v>
                </c:pt>
                <c:pt idx="24">
                  <c:v>3.96951733350191E-005</c:v>
                </c:pt>
                <c:pt idx="25">
                  <c:v>4.44525944583117E-005</c:v>
                </c:pt>
                <c:pt idx="26">
                  <c:v>4.1609341796145E-005</c:v>
                </c:pt>
                <c:pt idx="27">
                  <c:v>3.60068612451105E-005</c:v>
                </c:pt>
                <c:pt idx="28">
                  <c:v>3.11227046926434E-005</c:v>
                </c:pt>
                <c:pt idx="29">
                  <c:v>3.2824457390588E-005</c:v>
                </c:pt>
                <c:pt idx="30">
                  <c:v>3.58510529307439E-005</c:v>
                </c:pt>
                <c:pt idx="31">
                  <c:v>4.1589078708948E-005</c:v>
                </c:pt>
                <c:pt idx="32">
                  <c:v>4.32944357732953E-005</c:v>
                </c:pt>
                <c:pt idx="33">
                  <c:v>4.17487459954702E-005</c:v>
                </c:pt>
                <c:pt idx="34">
                  <c:v>4.5035843161362E-005</c:v>
                </c:pt>
                <c:pt idx="35">
                  <c:v>4.38713223867934E-005</c:v>
                </c:pt>
                <c:pt idx="36">
                  <c:v>5.07598413684395E-005</c:v>
                </c:pt>
                <c:pt idx="37">
                  <c:v>4.73345901839907E-005</c:v>
                </c:pt>
                <c:pt idx="38">
                  <c:v>4.226182914476E-005</c:v>
                </c:pt>
                <c:pt idx="39">
                  <c:v>3.80962214595846E-005</c:v>
                </c:pt>
                <c:pt idx="40">
                  <c:v>3.79448372677661E-005</c:v>
                </c:pt>
                <c:pt idx="41">
                  <c:v>3.8834531003764E-005</c:v>
                </c:pt>
                <c:pt idx="42">
                  <c:v>3.87288209163365E-005</c:v>
                </c:pt>
                <c:pt idx="43">
                  <c:v>4.27867751058706E-005</c:v>
                </c:pt>
                <c:pt idx="44">
                  <c:v>4.63947920363977E-005</c:v>
                </c:pt>
                <c:pt idx="45">
                  <c:v>4.62854022446317E-005</c:v>
                </c:pt>
                <c:pt idx="46">
                  <c:v>5.07872433241412E-005</c:v>
                </c:pt>
                <c:pt idx="47">
                  <c:v>5.0702992578071E-005</c:v>
                </c:pt>
                <c:pt idx="48">
                  <c:v>4.95261573023566E-005</c:v>
                </c:pt>
                <c:pt idx="49">
                  <c:v>4.64565690295962E-005</c:v>
                </c:pt>
                <c:pt idx="50">
                  <c:v>4.45302349864554E-005</c:v>
                </c:pt>
                <c:pt idx="51">
                  <c:v>4.47251842322553E-005</c:v>
                </c:pt>
                <c:pt idx="52">
                  <c:v>4.64497584761921E-005</c:v>
                </c:pt>
                <c:pt idx="53">
                  <c:v>4.76731403538617E-005</c:v>
                </c:pt>
                <c:pt idx="54">
                  <c:v>4.45617200686966E-005</c:v>
                </c:pt>
                <c:pt idx="55">
                  <c:v>4.14191881601184E-005</c:v>
                </c:pt>
                <c:pt idx="56">
                  <c:v>4.71621658734337E-005</c:v>
                </c:pt>
                <c:pt idx="57">
                  <c:v>4.77932552652322E-005</c:v>
                </c:pt>
                <c:pt idx="58">
                  <c:v>4.83039056054545E-005</c:v>
                </c:pt>
                <c:pt idx="59">
                  <c:v>4.63712604784713E-005</c:v>
                </c:pt>
                <c:pt idx="60">
                  <c:v>4.51064583751606E-005</c:v>
                </c:pt>
                <c:pt idx="61">
                  <c:v>4.41302103477575E-005</c:v>
                </c:pt>
                <c:pt idx="62">
                  <c:v>3.80034353840291E-005</c:v>
                </c:pt>
                <c:pt idx="63">
                  <c:v>3.63739794642839E-005</c:v>
                </c:pt>
                <c:pt idx="64">
                  <c:v>3.28871250329375E-005</c:v>
                </c:pt>
                <c:pt idx="65">
                  <c:v>4.02731065193536E-005</c:v>
                </c:pt>
                <c:pt idx="66">
                  <c:v>3.86259327362887E-005</c:v>
                </c:pt>
                <c:pt idx="67">
                  <c:v>3.13384685205757E-005</c:v>
                </c:pt>
                <c:pt idx="68">
                  <c:v>3.62707368712832E-005</c:v>
                </c:pt>
                <c:pt idx="69">
                  <c:v>3.98269503771086E-005</c:v>
                </c:pt>
                <c:pt idx="70">
                  <c:v>4.68642309216816E-005</c:v>
                </c:pt>
                <c:pt idx="71">
                  <c:v>4.81371392742378E-005</c:v>
                </c:pt>
                <c:pt idx="72">
                  <c:v>4.30349524042298E-005</c:v>
                </c:pt>
                <c:pt idx="73">
                  <c:v>4.69625780130649E-005</c:v>
                </c:pt>
                <c:pt idx="74">
                  <c:v>4.38125250388603E-005</c:v>
                </c:pt>
                <c:pt idx="75">
                  <c:v>3.86624131592885E-005</c:v>
                </c:pt>
                <c:pt idx="76">
                  <c:v>3.70315961646257E-005</c:v>
                </c:pt>
                <c:pt idx="77">
                  <c:v>3.48770264619901E-005</c:v>
                </c:pt>
                <c:pt idx="78">
                  <c:v>3.96793740488396E-005</c:v>
                </c:pt>
                <c:pt idx="79">
                  <c:v>4.36623013871471E-005</c:v>
                </c:pt>
                <c:pt idx="80">
                  <c:v>4.75449753012922E-005</c:v>
                </c:pt>
                <c:pt idx="81">
                  <c:v>4.60563152619822E-005</c:v>
                </c:pt>
                <c:pt idx="82">
                  <c:v>4.47735618844384E-005</c:v>
                </c:pt>
                <c:pt idx="83">
                  <c:v>4.36966169030333E-005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daily!$V$7</c:f>
              <c:strCache>
                <c:ptCount val="1"/>
                <c:pt idx="0">
                  <c:v>Act.Used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square"/>
            <c:size val="3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daily!$V$18:$V$114</c:f>
              <c:numCache>
                <c:formatCode>0.000000</c:formatCode>
                <c:ptCount val="97"/>
                <c:pt idx="0">
                  <c:v>2.25097959122677E-005</c:v>
                </c:pt>
                <c:pt idx="1">
                  <c:v>2.46428798495984E-005</c:v>
                </c:pt>
                <c:pt idx="2">
                  <c:v>2.4169746031746E-005</c:v>
                </c:pt>
                <c:pt idx="3">
                  <c:v>2.22747163947164E-005</c:v>
                </c:pt>
                <c:pt idx="4">
                  <c:v>1.94121725476319E-005</c:v>
                </c:pt>
                <c:pt idx="5">
                  <c:v>2.33656011494896E-005</c:v>
                </c:pt>
                <c:pt idx="6">
                  <c:v>2.38766220994874E-005</c:v>
                </c:pt>
                <c:pt idx="7">
                  <c:v>1.76121832767893E-005</c:v>
                </c:pt>
                <c:pt idx="8">
                  <c:v>2.33621837410779E-005</c:v>
                </c:pt>
                <c:pt idx="9">
                  <c:v>3.5721282920893E-005</c:v>
                </c:pt>
                <c:pt idx="10">
                  <c:v>2.40421706400069E-005</c:v>
                </c:pt>
                <c:pt idx="11">
                  <c:v>4.44261439880329E-005</c:v>
                </c:pt>
                <c:pt idx="12">
                  <c:v>4.23982159867952E-005</c:v>
                </c:pt>
                <c:pt idx="13">
                  <c:v>4.52019513357991E-005</c:v>
                </c:pt>
                <c:pt idx="14">
                  <c:v>5.14579626773534E-005</c:v>
                </c:pt>
                <c:pt idx="15">
                  <c:v>2.93306493603351E-005</c:v>
                </c:pt>
                <c:pt idx="16">
                  <c:v>4.76847059939775E-005</c:v>
                </c:pt>
                <c:pt idx="17">
                  <c:v>4.50874638524262E-005</c:v>
                </c:pt>
                <c:pt idx="18">
                  <c:v>4.22253591625557E-005</c:v>
                </c:pt>
                <c:pt idx="19">
                  <c:v>3.83575268032858E-005</c:v>
                </c:pt>
                <c:pt idx="20">
                  <c:v>4.29056658045505E-005</c:v>
                </c:pt>
                <c:pt idx="21">
                  <c:v>4.20547574738196E-005</c:v>
                </c:pt>
                <c:pt idx="22">
                  <c:v>4.38201351583447E-005</c:v>
                </c:pt>
                <c:pt idx="23">
                  <c:v>4.6768147308915E-005</c:v>
                </c:pt>
                <c:pt idx="24">
                  <c:v>4.30894524410925E-005</c:v>
                </c:pt>
                <c:pt idx="25">
                  <c:v>4.90009989438839E-005</c:v>
                </c:pt>
                <c:pt idx="26">
                  <c:v>4.59832699289871E-005</c:v>
                </c:pt>
                <c:pt idx="27">
                  <c:v>3.87125401195849E-005</c:v>
                </c:pt>
                <c:pt idx="28">
                  <c:v>3.82828637049711E-005</c:v>
                </c:pt>
                <c:pt idx="29">
                  <c:v>3.33931588280056E-005</c:v>
                </c:pt>
                <c:pt idx="30">
                  <c:v>4.16877816928397E-005</c:v>
                </c:pt>
                <c:pt idx="31">
                  <c:v>4.39579325805105E-005</c:v>
                </c:pt>
                <c:pt idx="32">
                  <c:v>5.34013858374176E-005</c:v>
                </c:pt>
                <c:pt idx="33">
                  <c:v>5.28700998925699E-005</c:v>
                </c:pt>
                <c:pt idx="34">
                  <c:v>5.57355713729068E-005</c:v>
                </c:pt>
                <c:pt idx="35">
                  <c:v>5.3391950935666E-005</c:v>
                </c:pt>
                <c:pt idx="36">
                  <c:v>5.7898962354419E-005</c:v>
                </c:pt>
                <c:pt idx="37">
                  <c:v>5.1102457400749E-005</c:v>
                </c:pt>
                <c:pt idx="38">
                  <c:v>4.3803821025895E-005</c:v>
                </c:pt>
                <c:pt idx="39">
                  <c:v>4.01944703761735E-005</c:v>
                </c:pt>
                <c:pt idx="40">
                  <c:v>3.78999979227625E-005</c:v>
                </c:pt>
                <c:pt idx="41">
                  <c:v>4.21091855406937E-005</c:v>
                </c:pt>
                <c:pt idx="42">
                  <c:v>3.70402543972733E-005</c:v>
                </c:pt>
                <c:pt idx="43">
                  <c:v>3.85230020650815E-005</c:v>
                </c:pt>
                <c:pt idx="44">
                  <c:v>4.68505879587161E-005</c:v>
                </c:pt>
                <c:pt idx="45">
                  <c:v>4.9307171815041E-005</c:v>
                </c:pt>
                <c:pt idx="46">
                  <c:v>4.86109779249754E-005</c:v>
                </c:pt>
                <c:pt idx="47">
                  <c:v>5.39845737069768E-005</c:v>
                </c:pt>
                <c:pt idx="48">
                  <c:v>4.81027306894797E-005</c:v>
                </c:pt>
                <c:pt idx="49">
                  <c:v>4.84972105605369E-005</c:v>
                </c:pt>
                <c:pt idx="50">
                  <c:v>4.20314409470112E-005</c:v>
                </c:pt>
                <c:pt idx="51">
                  <c:v>4.44512307163225E-005</c:v>
                </c:pt>
                <c:pt idx="52">
                  <c:v>4.5410826854081E-005</c:v>
                </c:pt>
                <c:pt idx="53">
                  <c:v>4.8072098999976E-005</c:v>
                </c:pt>
                <c:pt idx="54">
                  <c:v>4.9794079141712E-005</c:v>
                </c:pt>
                <c:pt idx="55">
                  <c:v>4.01822992852572E-005</c:v>
                </c:pt>
                <c:pt idx="56">
                  <c:v>4.97000539817218E-005</c:v>
                </c:pt>
                <c:pt idx="57">
                  <c:v>4.75411834480563E-005</c:v>
                </c:pt>
                <c:pt idx="58">
                  <c:v>5.38082532961816E-005</c:v>
                </c:pt>
                <c:pt idx="59">
                  <c:v>3.75414686575372E-005</c:v>
                </c:pt>
                <c:pt idx="60">
                  <c:v>4.32695399096374E-005</c:v>
                </c:pt>
                <c:pt idx="61">
                  <c:v>4.24720109879066E-005</c:v>
                </c:pt>
                <c:pt idx="62">
                  <c:v>3.39816889661072E-005</c:v>
                </c:pt>
                <c:pt idx="63">
                  <c:v>2.66320717121975E-005</c:v>
                </c:pt>
                <c:pt idx="64">
                  <c:v>2.44244287371891E-005</c:v>
                </c:pt>
                <c:pt idx="65">
                  <c:v>4.19491287634333E-005</c:v>
                </c:pt>
                <c:pt idx="66">
                  <c:v>3.66192247453448E-005</c:v>
                </c:pt>
                <c:pt idx="67">
                  <c:v>2.8737544186872E-005</c:v>
                </c:pt>
                <c:pt idx="68">
                  <c:v>3.35396519433437E-005</c:v>
                </c:pt>
                <c:pt idx="69">
                  <c:v>3.79564494425983E-005</c:v>
                </c:pt>
                <c:pt idx="70">
                  <c:v>4.89794067891016E-005</c:v>
                </c:pt>
                <c:pt idx="71">
                  <c:v>5.3757266243436E-005</c:v>
                </c:pt>
                <c:pt idx="72">
                  <c:v>4.30591733123972E-005</c:v>
                </c:pt>
                <c:pt idx="73">
                  <c:v>4.4670560237014E-005</c:v>
                </c:pt>
                <c:pt idx="74">
                  <c:v>3.94318991074147E-005</c:v>
                </c:pt>
                <c:pt idx="75">
                  <c:v>3.6020672408373E-005</c:v>
                </c:pt>
                <c:pt idx="76">
                  <c:v>4.03696367189933E-005</c:v>
                </c:pt>
                <c:pt idx="77">
                  <c:v>3.52633549336377E-005</c:v>
                </c:pt>
                <c:pt idx="78">
                  <c:v>3.96035019621397E-005</c:v>
                </c:pt>
                <c:pt idx="79">
                  <c:v>4.46605322146352E-005</c:v>
                </c:pt>
                <c:pt idx="80">
                  <c:v>5.1059769958647E-005</c:v>
                </c:pt>
                <c:pt idx="81">
                  <c:v>5.17503553148524E-005</c:v>
                </c:pt>
                <c:pt idx="82">
                  <c:v>4.80869802496829E-005</c:v>
                </c:pt>
                <c:pt idx="83">
                  <c:v>4.18669450705694E-005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daily!$J$7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triangle"/>
            <c:size val="3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daily!$C$18:$C$114</c:f>
              <c:numCache>
                <c:formatCode>0.000</c:formatCode>
                <c:ptCount val="97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xVal>
          <c:yVal>
            <c:numRef>
              <c:f>daily!$J$18:$J$114</c:f>
              <c:numCache>
                <c:formatCode>0.000000</c:formatCode>
                <c:ptCount val="97"/>
                <c:pt idx="3">
                  <c:v>2.8062640961099E-005</c:v>
                </c:pt>
                <c:pt idx="4">
                  <c:v>2.18800841262485E-005</c:v>
                </c:pt>
                <c:pt idx="5">
                  <c:v>2.92133141951402E-005</c:v>
                </c:pt>
                <c:pt idx="6">
                  <c:v>3.7457023873013E-005</c:v>
                </c:pt>
                <c:pt idx="7">
                  <c:v>2.22681302616411E-005</c:v>
                </c:pt>
                <c:pt idx="8">
                  <c:v>2.0667099776131E-005</c:v>
                </c:pt>
                <c:pt idx="9">
                  <c:v>2.35501219820326E-005</c:v>
                </c:pt>
                <c:pt idx="10">
                  <c:v>2.19563600958316E-005</c:v>
                </c:pt>
                <c:pt idx="11">
                  <c:v>1.77158463106011E-005</c:v>
                </c:pt>
                <c:pt idx="12">
                  <c:v>2.82972195116928E-005</c:v>
                </c:pt>
                <c:pt idx="13">
                  <c:v>2.86606917141332E-005</c:v>
                </c:pt>
                <c:pt idx="14">
                  <c:v>2.93211429374301E-005</c:v>
                </c:pt>
                <c:pt idx="15">
                  <c:v>3.08521544808063E-005</c:v>
                </c:pt>
                <c:pt idx="16">
                  <c:v>2.85924424949357E-005</c:v>
                </c:pt>
                <c:pt idx="17">
                  <c:v>4.97308586562218E-005</c:v>
                </c:pt>
                <c:pt idx="18">
                  <c:v>5.14417791808778E-005</c:v>
                </c:pt>
                <c:pt idx="19">
                  <c:v>4.26329660486561E-005</c:v>
                </c:pt>
                <c:pt idx="20">
                  <c:v>4.49609579529674E-005</c:v>
                </c:pt>
                <c:pt idx="21">
                  <c:v>4.78113047173821E-005</c:v>
                </c:pt>
                <c:pt idx="22">
                  <c:v>4.3533541557257E-005</c:v>
                </c:pt>
                <c:pt idx="23">
                  <c:v>3.75833286934162E-005</c:v>
                </c:pt>
                <c:pt idx="24">
                  <c:v>3.78375507819761E-005</c:v>
                </c:pt>
                <c:pt idx="25">
                  <c:v>3.04633014440901E-005</c:v>
                </c:pt>
                <c:pt idx="26">
                  <c:v>3.42184505885574E-005</c:v>
                </c:pt>
                <c:pt idx="27">
                  <c:v>3.10629165254716E-005</c:v>
                </c:pt>
                <c:pt idx="28">
                  <c:v>3.74355277022905E-005</c:v>
                </c:pt>
                <c:pt idx="29">
                  <c:v>3.6037216616433E-005</c:v>
                </c:pt>
                <c:pt idx="30">
                  <c:v>3.65558405446221E-005</c:v>
                </c:pt>
                <c:pt idx="31">
                  <c:v>3.6500089649343E-005</c:v>
                </c:pt>
                <c:pt idx="32">
                  <c:v>3.19851327499743E-005</c:v>
                </c:pt>
                <c:pt idx="33">
                  <c:v>3.54505441888731E-005</c:v>
                </c:pt>
                <c:pt idx="34">
                  <c:v>2.9120559114735E-005</c:v>
                </c:pt>
                <c:pt idx="35">
                  <c:v>3.23058126967718E-005</c:v>
                </c:pt>
                <c:pt idx="36">
                  <c:v>3.11707192613382E-005</c:v>
                </c:pt>
                <c:pt idx="37">
                  <c:v>3.36959661114855E-005</c:v>
                </c:pt>
                <c:pt idx="38">
                  <c:v>4.03442711135019E-005</c:v>
                </c:pt>
                <c:pt idx="39">
                  <c:v>4.49687863718125E-005</c:v>
                </c:pt>
                <c:pt idx="40">
                  <c:v>4.95155505593919E-005</c:v>
                </c:pt>
                <c:pt idx="41">
                  <c:v>4.92059640324625E-005</c:v>
                </c:pt>
                <c:pt idx="42">
                  <c:v>4.75001357146735E-005</c:v>
                </c:pt>
                <c:pt idx="43">
                  <c:v>3.78599286366277E-005</c:v>
                </c:pt>
                <c:pt idx="44">
                  <c:v>4.11514372892244E-005</c:v>
                </c:pt>
                <c:pt idx="45">
                  <c:v>3.67710263414261E-005</c:v>
                </c:pt>
                <c:pt idx="46">
                  <c:v>3.74703863075956E-005</c:v>
                </c:pt>
                <c:pt idx="47">
                  <c:v>4.25590878498753E-005</c:v>
                </c:pt>
                <c:pt idx="48">
                  <c:v>3.52560712940689E-005</c:v>
                </c:pt>
                <c:pt idx="49">
                  <c:v>4.23738651930623E-005</c:v>
                </c:pt>
                <c:pt idx="50">
                  <c:v>3.74718960779415E-005</c:v>
                </c:pt>
                <c:pt idx="51">
                  <c:v>4.2808624163931E-005</c:v>
                </c:pt>
                <c:pt idx="52">
                  <c:v>3.94120647285204E-005</c:v>
                </c:pt>
                <c:pt idx="53">
                  <c:v>3.90441012419743E-005</c:v>
                </c:pt>
                <c:pt idx="54">
                  <c:v>3.69889171956852E-005</c:v>
                </c:pt>
                <c:pt idx="55">
                  <c:v>3.34239201670759E-005</c:v>
                </c:pt>
                <c:pt idx="56">
                  <c:v>3.29106147702839E-005</c:v>
                </c:pt>
                <c:pt idx="57">
                  <c:v>4.39484338376305E-005</c:v>
                </c:pt>
                <c:pt idx="58">
                  <c:v>3.58560022947841E-005</c:v>
                </c:pt>
                <c:pt idx="59">
                  <c:v>4.13419635515591E-005</c:v>
                </c:pt>
                <c:pt idx="60">
                  <c:v>3.96510705789056E-005</c:v>
                </c:pt>
                <c:pt idx="61">
                  <c:v>5.04032258064516E-005</c:v>
                </c:pt>
                <c:pt idx="62">
                  <c:v>4.54270139309509E-005</c:v>
                </c:pt>
                <c:pt idx="63">
                  <c:v>4.14806452164691E-005</c:v>
                </c:pt>
                <c:pt idx="64">
                  <c:v>4.31789075442657E-005</c:v>
                </c:pt>
                <c:pt idx="65">
                  <c:v>3.89933747036742E-005</c:v>
                </c:pt>
                <c:pt idx="66">
                  <c:v>3.66032210834553E-005</c:v>
                </c:pt>
                <c:pt idx="67">
                  <c:v>2.70855904658722E-005</c:v>
                </c:pt>
                <c:pt idx="68">
                  <c:v>2.21180746514909E-005</c:v>
                </c:pt>
                <c:pt idx="69">
                  <c:v>3.06133808304575E-005</c:v>
                </c:pt>
                <c:pt idx="70">
                  <c:v>3.79714110284059E-005</c:v>
                </c:pt>
                <c:pt idx="71">
                  <c:v>3.21687022454286E-005</c:v>
                </c:pt>
                <c:pt idx="72">
                  <c:v>3.38753387533875E-005</c:v>
                </c:pt>
                <c:pt idx="73">
                  <c:v>2.79699522798365E-005</c:v>
                </c:pt>
                <c:pt idx="74">
                  <c:v>4.33776749566223E-005</c:v>
                </c:pt>
                <c:pt idx="75">
                  <c:v>4.12980990245061E-005</c:v>
                </c:pt>
                <c:pt idx="76">
                  <c:v>3.63861786426608E-005</c:v>
                </c:pt>
                <c:pt idx="77">
                  <c:v>3.73193101950179E-005</c:v>
                </c:pt>
                <c:pt idx="78">
                  <c:v>2.17296827466319E-005</c:v>
                </c:pt>
                <c:pt idx="79">
                  <c:v>2.66282181175798E-005</c:v>
                </c:pt>
                <c:pt idx="80">
                  <c:v>2.97504696711822E-005</c:v>
                </c:pt>
                <c:pt idx="81">
                  <c:v>3.104530749511E-005</c:v>
                </c:pt>
                <c:pt idx="82">
                  <c:v>3.28170123391966E-005</c:v>
                </c:pt>
                <c:pt idx="83">
                  <c:v>3.67555271990901E-005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daily!$K$7</c:f>
              <c:strCache>
                <c:ptCount val="1"/>
                <c:pt idx="0">
                  <c:v>2be.retain</c:v>
                </c:pt>
              </c:strCache>
            </c:strRef>
          </c:tx>
          <c:spPr>
            <a:solidFill>
              <a:srgbClr val="00ffff"/>
            </a:solidFill>
            <a:ln w="0">
              <a:noFill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daily!$C$18:$C$114</c:f>
              <c:numCache>
                <c:formatCode>0.000</c:formatCode>
                <c:ptCount val="97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xVal>
          <c:yVal>
            <c:numRef>
              <c:f>daily!$K$18:$K$114</c:f>
              <c:numCache>
                <c:formatCode>0.00000000</c:formatCode>
                <c:ptCount val="97"/>
                <c:pt idx="3">
                  <c:v>3.05490071318595E-005</c:v>
                </c:pt>
                <c:pt idx="4">
                  <c:v>3.25518336110334E-005</c:v>
                </c:pt>
                <c:pt idx="5">
                  <c:v>2.55327427779801E-005</c:v>
                </c:pt>
                <c:pt idx="6">
                  <c:v>2.44219795652045E-005</c:v>
                </c:pt>
                <c:pt idx="7">
                  <c:v>1.97404569501023E-005</c:v>
                </c:pt>
                <c:pt idx="8">
                  <c:v>1.97483077231601E-005</c:v>
                </c:pt>
                <c:pt idx="9">
                  <c:v>2.16823172438316E-005</c:v>
                </c:pt>
                <c:pt idx="10">
                  <c:v>2.86105200248402E-005</c:v>
                </c:pt>
                <c:pt idx="11">
                  <c:v>3.36315959580899E-005</c:v>
                </c:pt>
                <c:pt idx="12">
                  <c:v>3.64798981806694E-005</c:v>
                </c:pt>
                <c:pt idx="13">
                  <c:v>3.63509554637568E-005</c:v>
                </c:pt>
                <c:pt idx="14">
                  <c:v>3.92818019920693E-005</c:v>
                </c:pt>
                <c:pt idx="15">
                  <c:v>4.31692253511877E-005</c:v>
                </c:pt>
                <c:pt idx="16">
                  <c:v>4.32291044243766E-005</c:v>
                </c:pt>
                <c:pt idx="17">
                  <c:v>4.26590638024767E-005</c:v>
                </c:pt>
                <c:pt idx="18">
                  <c:v>4.67491896158074E-005</c:v>
                </c:pt>
                <c:pt idx="19">
                  <c:v>4.68532277605204E-005</c:v>
                </c:pt>
                <c:pt idx="20">
                  <c:v>4.59652093245612E-005</c:v>
                </c:pt>
                <c:pt idx="21">
                  <c:v>4.59712600934977E-005</c:v>
                </c:pt>
                <c:pt idx="22">
                  <c:v>4.60410182702673E-005</c:v>
                </c:pt>
                <c:pt idx="23">
                  <c:v>3.94970667287572E-005</c:v>
                </c:pt>
                <c:pt idx="24">
                  <c:v>4.04605294601843E-005</c:v>
                </c:pt>
                <c:pt idx="25">
                  <c:v>4.21405460060667E-005</c:v>
                </c:pt>
                <c:pt idx="26">
                  <c:v>4.20909389542842E-005</c:v>
                </c:pt>
                <c:pt idx="27">
                  <c:v>4.23924658307918E-005</c:v>
                </c:pt>
                <c:pt idx="28">
                  <c:v>4.20592867838722E-005</c:v>
                </c:pt>
                <c:pt idx="29">
                  <c:v>3.41845891757306E-005</c:v>
                </c:pt>
                <c:pt idx="30">
                  <c:v>3.43552748280078E-005</c:v>
                </c:pt>
                <c:pt idx="31">
                  <c:v>3.72900875411057E-005</c:v>
                </c:pt>
                <c:pt idx="32">
                  <c:v>3.969126175512E-005</c:v>
                </c:pt>
                <c:pt idx="33">
                  <c:v>4.23218955452018E-005</c:v>
                </c:pt>
                <c:pt idx="34">
                  <c:v>4.33563012409838E-005</c:v>
                </c:pt>
                <c:pt idx="35">
                  <c:v>4.42616888304121E-005</c:v>
                </c:pt>
                <c:pt idx="36">
                  <c:v>4.46149513544219E-005</c:v>
                </c:pt>
                <c:pt idx="37">
                  <c:v>4.46054202368345E-005</c:v>
                </c:pt>
                <c:pt idx="38">
                  <c:v>5.53273998728544E-005</c:v>
                </c:pt>
                <c:pt idx="39">
                  <c:v>5.52992804994181E-005</c:v>
                </c:pt>
                <c:pt idx="40">
                  <c:v>5.02995289331406E-005</c:v>
                </c:pt>
                <c:pt idx="41">
                  <c:v>4.7503356790423E-005</c:v>
                </c:pt>
                <c:pt idx="42">
                  <c:v>4.77749579284512E-005</c:v>
                </c:pt>
                <c:pt idx="43">
                  <c:v>4.35024064392997E-005</c:v>
                </c:pt>
                <c:pt idx="44">
                  <c:v>4.33150995664044E-005</c:v>
                </c:pt>
                <c:pt idx="45">
                  <c:v>4.51725611736166E-005</c:v>
                </c:pt>
                <c:pt idx="46">
                  <c:v>4.52335009428033E-005</c:v>
                </c:pt>
                <c:pt idx="47">
                  <c:v>4.7949468506275E-005</c:v>
                </c:pt>
                <c:pt idx="48">
                  <c:v>4.7155563616213E-005</c:v>
                </c:pt>
                <c:pt idx="49">
                  <c:v>4.69285100652441E-005</c:v>
                </c:pt>
                <c:pt idx="50">
                  <c:v>4.70810834182056E-005</c:v>
                </c:pt>
                <c:pt idx="51">
                  <c:v>4.69505832379403E-005</c:v>
                </c:pt>
                <c:pt idx="52">
                  <c:v>4.42596095887235E-005</c:v>
                </c:pt>
                <c:pt idx="53">
                  <c:v>4.21870398373782E-005</c:v>
                </c:pt>
                <c:pt idx="54">
                  <c:v>4.31490052293082E-005</c:v>
                </c:pt>
                <c:pt idx="55">
                  <c:v>4.33790054089952E-005</c:v>
                </c:pt>
                <c:pt idx="56">
                  <c:v>4.32420466014305E-005</c:v>
                </c:pt>
                <c:pt idx="57">
                  <c:v>4.69130353718304E-005</c:v>
                </c:pt>
                <c:pt idx="58">
                  <c:v>4.71305397523545E-005</c:v>
                </c:pt>
                <c:pt idx="59">
                  <c:v>4.69169822151995E-005</c:v>
                </c:pt>
                <c:pt idx="60">
                  <c:v>4.69902359238699E-005</c:v>
                </c:pt>
                <c:pt idx="61">
                  <c:v>4.69384305210918E-005</c:v>
                </c:pt>
                <c:pt idx="62">
                  <c:v>4.6861175045427E-005</c:v>
                </c:pt>
                <c:pt idx="63">
                  <c:v>4.10613058278168E-005</c:v>
                </c:pt>
                <c:pt idx="64">
                  <c:v>3.51787371785081E-005</c:v>
                </c:pt>
                <c:pt idx="65">
                  <c:v>3.45383995306486E-005</c:v>
                </c:pt>
                <c:pt idx="66">
                  <c:v>3.40033787588692E-005</c:v>
                </c:pt>
                <c:pt idx="67">
                  <c:v>3.77211538461538E-005</c:v>
                </c:pt>
                <c:pt idx="68">
                  <c:v>2.9225963032926E-005</c:v>
                </c:pt>
                <c:pt idx="69">
                  <c:v>2.91496716019147E-005</c:v>
                </c:pt>
                <c:pt idx="70">
                  <c:v>3.89792422953045E-005</c:v>
                </c:pt>
                <c:pt idx="71">
                  <c:v>3.90979470519113E-005</c:v>
                </c:pt>
                <c:pt idx="72">
                  <c:v>3.95904732124244E-005</c:v>
                </c:pt>
                <c:pt idx="73">
                  <c:v>3.97945749708884E-005</c:v>
                </c:pt>
                <c:pt idx="74">
                  <c:v>4.51360854058222E-005</c:v>
                </c:pt>
                <c:pt idx="75">
                  <c:v>4.51236417093119E-005</c:v>
                </c:pt>
                <c:pt idx="76">
                  <c:v>3.31365694571721E-005</c:v>
                </c:pt>
                <c:pt idx="77">
                  <c:v>3.15183451433937E-005</c:v>
                </c:pt>
                <c:pt idx="78">
                  <c:v>3.19879943502825E-005</c:v>
                </c:pt>
                <c:pt idx="79">
                  <c:v>3.37921959836853E-005</c:v>
                </c:pt>
                <c:pt idx="80">
                  <c:v>4.18443574580149E-005</c:v>
                </c:pt>
                <c:pt idx="81">
                  <c:v>4.65771549174168E-005</c:v>
                </c:pt>
                <c:pt idx="82">
                  <c:v>4.59925964820163E-005</c:v>
                </c:pt>
                <c:pt idx="83">
                  <c:v>4.65195428444617E-005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"Max.0041"</c:f>
              <c:strCache>
                <c:ptCount val="1"/>
                <c:pt idx="0">
                  <c:v>Max.0041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800080"/>
              </a:solidFill>
              <a:custDash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daily!$B$1:$C$1</c:f>
              <c:numCache>
                <c:formatCode>General</c:formatCode>
                <c:ptCount val="2"/>
                <c:pt idx="0">
                  <c:v>0</c:v>
                </c:pt>
                <c:pt idx="1">
                  <c:v>1.64378425324675</c:v>
                </c:pt>
              </c:numCache>
            </c:numRef>
          </c:xVal>
          <c:yVal>
            <c:numRef>
              <c:f>daily!$A$1:$A$2</c:f>
              <c:numCache>
                <c:formatCode>General</c:formatCode>
                <c:ptCount val="2"/>
                <c:pt idx="0">
                  <c:v>4.1E-005</c:v>
                </c:pt>
                <c:pt idx="1">
                  <c:v>4.1E-005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daily!$AC$24</c:f>
              <c:strCache>
                <c:ptCount val="1"/>
                <c:pt idx="0">
                  <c:v>used.90%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ff0000"/>
              </a:solidFill>
              <a:custDash>
                <a:ds d="385900" sp="385900"/>
                <a:ds d="385900" sp="385900"/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  <a:ds d="385900" sp="385900"/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daily!$AA$25:$AA$31</c:f>
              <c:numCache>
                <c:formatCode>0.000</c:formatCode>
                <c:ptCount val="7"/>
                <c:pt idx="0">
                  <c:v>0.972397849462366</c:v>
                </c:pt>
                <c:pt idx="1">
                  <c:v>1.09121733333333</c:v>
                </c:pt>
                <c:pt idx="2">
                  <c:v>1.26099126344086</c:v>
                </c:pt>
                <c:pt idx="3">
                  <c:v>1.31282608695652</c:v>
                </c:pt>
                <c:pt idx="4">
                  <c:v>1.32014015151515</c:v>
                </c:pt>
                <c:pt idx="5">
                  <c:v>1.34355431547619</c:v>
                </c:pt>
                <c:pt idx="6">
                  <c:v>1.3579519379845</c:v>
                </c:pt>
              </c:numCache>
            </c:numRef>
          </c:xVal>
          <c:yVal>
            <c:numRef>
              <c:f>daily!$AC$25:$AC$31</c:f>
              <c:numCache>
                <c:formatCode>0.000000</c:formatCode>
                <c:ptCount val="7"/>
                <c:pt idx="0">
                  <c:v>1.94121725476319E-005</c:v>
                </c:pt>
                <c:pt idx="1">
                  <c:v>2.40421706400069E-005</c:v>
                </c:pt>
                <c:pt idx="2">
                  <c:v>3.39816889661072E-005</c:v>
                </c:pt>
                <c:pt idx="3">
                  <c:v>3.94318991074147E-005</c:v>
                </c:pt>
                <c:pt idx="4">
                  <c:v>4.01822992852572E-005</c:v>
                </c:pt>
                <c:pt idx="5">
                  <c:v>4.44512307163225E-005</c:v>
                </c:pt>
                <c:pt idx="6">
                  <c:v>4.8072098999976E-005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daily!$AC$33</c:f>
              <c:strCache>
                <c:ptCount val="1"/>
                <c:pt idx="0">
                  <c:v>fuel.100%</c:v>
                </c:pt>
              </c:strCache>
            </c:strRef>
          </c:tx>
          <c:spPr>
            <a:solidFill>
              <a:srgbClr val="993300"/>
            </a:solidFill>
            <a:ln w="0">
              <a:solidFill>
                <a:srgbClr val="993300"/>
              </a:solidFill>
              <a:custDash>
                <a:ds d="385900" sp="385900"/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daily!$AA$34:$AA$40</c:f>
              <c:numCache>
                <c:formatCode>0.000</c:formatCode>
                <c:ptCount val="7"/>
                <c:pt idx="0">
                  <c:v>0.964401290322581</c:v>
                </c:pt>
                <c:pt idx="1">
                  <c:v>1.03055769230769</c:v>
                </c:pt>
                <c:pt idx="2">
                  <c:v>1.27960910815939</c:v>
                </c:pt>
                <c:pt idx="3">
                  <c:v>1.32342203898051</c:v>
                </c:pt>
                <c:pt idx="5">
                  <c:v>1.379829390681</c:v>
                </c:pt>
                <c:pt idx="6">
                  <c:v>1.38485069444444</c:v>
                </c:pt>
              </c:numCache>
            </c:numRef>
          </c:xVal>
          <c:yVal>
            <c:numRef>
              <c:f>daily!$AC$34:$AC$40</c:f>
              <c:numCache>
                <c:formatCode>0.000000</c:formatCode>
                <c:ptCount val="7"/>
                <c:pt idx="0">
                  <c:v>2.52739456604198E-005</c:v>
                </c:pt>
                <c:pt idx="1">
                  <c:v>2.62584037768945E-005</c:v>
                </c:pt>
                <c:pt idx="2">
                  <c:v>3.70315961646257E-005</c:v>
                </c:pt>
                <c:pt idx="3">
                  <c:v>3.86624131592885E-005</c:v>
                </c:pt>
                <c:pt idx="5">
                  <c:v>4.64497584761921E-005</c:v>
                </c:pt>
                <c:pt idx="6">
                  <c:v>4.95261573023566E-005</c:v>
                </c:pt>
              </c:numCache>
            </c:numRef>
          </c:yVal>
          <c:smooth val="0"/>
        </c:ser>
        <c:axId val="16402589"/>
        <c:axId val="69299781"/>
      </c:scatterChart>
      <c:valAx>
        <c:axId val="164025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Throughput  in  e9 dt-mi/day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99781"/>
        <c:crossesAt val="-100000"/>
        <c:crossBetween val="midCat"/>
        <c:majorUnit val="0.1"/>
      </c:valAx>
      <c:valAx>
        <c:axId val="69299781"/>
        <c:scaling>
          <c:orientation val="minMax"/>
          <c:max val="6E-005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Fuel in  %/mile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%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02589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TC BC System M.V. vs. PGT Losses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filings!$P$56:$P$121</c:f>
              <c:numCache>
                <c:formatCode>0.0</c:formatCode>
                <c:ptCount val="66"/>
                <c:pt idx="0">
                  <c:v>57.258</c:v>
                </c:pt>
                <c:pt idx="1">
                  <c:v>71.845</c:v>
                </c:pt>
                <c:pt idx="2">
                  <c:v>-1.785</c:v>
                </c:pt>
                <c:pt idx="3">
                  <c:v>123.15</c:v>
                </c:pt>
                <c:pt idx="4">
                  <c:v>-63.433</c:v>
                </c:pt>
                <c:pt idx="5">
                  <c:v>-162.032</c:v>
                </c:pt>
                <c:pt idx="6">
                  <c:v>17.978</c:v>
                </c:pt>
                <c:pt idx="7">
                  <c:v>123.665</c:v>
                </c:pt>
                <c:pt idx="8">
                  <c:v>-85.351</c:v>
                </c:pt>
                <c:pt idx="9">
                  <c:v>134.187</c:v>
                </c:pt>
                <c:pt idx="10">
                  <c:v>-59.137</c:v>
                </c:pt>
                <c:pt idx="11">
                  <c:v>84.739</c:v>
                </c:pt>
                <c:pt idx="12">
                  <c:v>-99.911</c:v>
                </c:pt>
                <c:pt idx="13">
                  <c:v>-10.306</c:v>
                </c:pt>
                <c:pt idx="14">
                  <c:v>-44.44</c:v>
                </c:pt>
                <c:pt idx="15">
                  <c:v>16.253</c:v>
                </c:pt>
                <c:pt idx="16">
                  <c:v>209.734</c:v>
                </c:pt>
                <c:pt idx="17">
                  <c:v>-48.986</c:v>
                </c:pt>
                <c:pt idx="18">
                  <c:v>103.751</c:v>
                </c:pt>
                <c:pt idx="19">
                  <c:v>-10.227</c:v>
                </c:pt>
                <c:pt idx="20">
                  <c:v>221.003</c:v>
                </c:pt>
                <c:pt idx="21">
                  <c:v>-353.259</c:v>
                </c:pt>
                <c:pt idx="22">
                  <c:v>-73.004</c:v>
                </c:pt>
                <c:pt idx="23">
                  <c:v>-68.061</c:v>
                </c:pt>
                <c:pt idx="24">
                  <c:v>-157.213</c:v>
                </c:pt>
                <c:pt idx="25">
                  <c:v>-340.498</c:v>
                </c:pt>
                <c:pt idx="26">
                  <c:v>-305.107</c:v>
                </c:pt>
                <c:pt idx="27">
                  <c:v>63.145</c:v>
                </c:pt>
                <c:pt idx="28">
                  <c:v>-73.617</c:v>
                </c:pt>
                <c:pt idx="29">
                  <c:v>-87.925</c:v>
                </c:pt>
                <c:pt idx="30">
                  <c:v>-99.841</c:v>
                </c:pt>
                <c:pt idx="31">
                  <c:v>-70.756</c:v>
                </c:pt>
                <c:pt idx="32">
                  <c:v>81.646</c:v>
                </c:pt>
                <c:pt idx="33">
                  <c:v>224.085</c:v>
                </c:pt>
                <c:pt idx="34">
                  <c:v>0.934</c:v>
                </c:pt>
                <c:pt idx="35">
                  <c:v>-94.383</c:v>
                </c:pt>
                <c:pt idx="36">
                  <c:v>-178.281</c:v>
                </c:pt>
                <c:pt idx="37">
                  <c:v>-101.388</c:v>
                </c:pt>
                <c:pt idx="38">
                  <c:v>132.413</c:v>
                </c:pt>
                <c:pt idx="39">
                  <c:v>13.686</c:v>
                </c:pt>
                <c:pt idx="40">
                  <c:v>-2.943</c:v>
                </c:pt>
                <c:pt idx="41">
                  <c:v>38.534</c:v>
                </c:pt>
                <c:pt idx="42">
                  <c:v>143.068</c:v>
                </c:pt>
                <c:pt idx="43">
                  <c:v>219.155</c:v>
                </c:pt>
                <c:pt idx="44">
                  <c:v>126.595</c:v>
                </c:pt>
                <c:pt idx="45">
                  <c:v>-73.159</c:v>
                </c:pt>
              </c:numCache>
            </c:numRef>
          </c:xVal>
          <c:yVal>
            <c:numRef>
              <c:f>filings!$AH$56:$AH$121</c:f>
              <c:numCache>
                <c:formatCode>0.0</c:formatCode>
                <c:ptCount val="66"/>
                <c:pt idx="0">
                  <c:v>43.827</c:v>
                </c:pt>
                <c:pt idx="1">
                  <c:v>98.337</c:v>
                </c:pt>
                <c:pt idx="2">
                  <c:v>80.628</c:v>
                </c:pt>
                <c:pt idx="3">
                  <c:v>206.289</c:v>
                </c:pt>
                <c:pt idx="4">
                  <c:v>200.842</c:v>
                </c:pt>
                <c:pt idx="5">
                  <c:v>-92.587</c:v>
                </c:pt>
                <c:pt idx="6">
                  <c:v>41.628</c:v>
                </c:pt>
                <c:pt idx="7">
                  <c:v>87.236</c:v>
                </c:pt>
                <c:pt idx="8">
                  <c:v>210.075</c:v>
                </c:pt>
                <c:pt idx="9">
                  <c:v>-165.906</c:v>
                </c:pt>
                <c:pt idx="10">
                  <c:v>250.955</c:v>
                </c:pt>
                <c:pt idx="11">
                  <c:v>250.898</c:v>
                </c:pt>
                <c:pt idx="12">
                  <c:v>294.755</c:v>
                </c:pt>
                <c:pt idx="13">
                  <c:v>214.085</c:v>
                </c:pt>
                <c:pt idx="14">
                  <c:v>237.196</c:v>
                </c:pt>
                <c:pt idx="15">
                  <c:v>137.315</c:v>
                </c:pt>
                <c:pt idx="16">
                  <c:v>-9.659</c:v>
                </c:pt>
                <c:pt idx="17">
                  <c:v>176.625</c:v>
                </c:pt>
                <c:pt idx="18">
                  <c:v>298.387</c:v>
                </c:pt>
                <c:pt idx="19">
                  <c:v>213.473</c:v>
                </c:pt>
                <c:pt idx="20">
                  <c:v>-34.922</c:v>
                </c:pt>
                <c:pt idx="21">
                  <c:v>225.153</c:v>
                </c:pt>
                <c:pt idx="22">
                  <c:v>266.868</c:v>
                </c:pt>
                <c:pt idx="23">
                  <c:v>261.503</c:v>
                </c:pt>
                <c:pt idx="24">
                  <c:v>237.51</c:v>
                </c:pt>
                <c:pt idx="25">
                  <c:v>226.618</c:v>
                </c:pt>
                <c:pt idx="26">
                  <c:v>186.771</c:v>
                </c:pt>
                <c:pt idx="27">
                  <c:v>270.844</c:v>
                </c:pt>
                <c:pt idx="28">
                  <c:v>260.348</c:v>
                </c:pt>
                <c:pt idx="29">
                  <c:v>219.474</c:v>
                </c:pt>
                <c:pt idx="30">
                  <c:v>225.621</c:v>
                </c:pt>
                <c:pt idx="31">
                  <c:v>204.888</c:v>
                </c:pt>
                <c:pt idx="32">
                  <c:v>170.767</c:v>
                </c:pt>
                <c:pt idx="33">
                  <c:v>187.973</c:v>
                </c:pt>
                <c:pt idx="34">
                  <c:v>246.006</c:v>
                </c:pt>
                <c:pt idx="35">
                  <c:v>324.414</c:v>
                </c:pt>
                <c:pt idx="36">
                  <c:v>387.281</c:v>
                </c:pt>
                <c:pt idx="37">
                  <c:v>314.413</c:v>
                </c:pt>
                <c:pt idx="38">
                  <c:v>-9.723</c:v>
                </c:pt>
                <c:pt idx="39">
                  <c:v>172.627</c:v>
                </c:pt>
                <c:pt idx="40">
                  <c:v>137.145</c:v>
                </c:pt>
              </c:numCache>
            </c:numRef>
          </c:yVal>
          <c:smooth val="0"/>
        </c:ser>
        <c:axId val="62287664"/>
        <c:axId val="27529206"/>
      </c:scatterChart>
      <c:valAx>
        <c:axId val="6228766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PGT Monthly &lt;Gain&gt;/Loss in Mdt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29206"/>
        <c:crossesAt val="-10000"/>
        <c:crossBetween val="midCat"/>
      </c:valAx>
      <c:valAx>
        <c:axId val="275292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TC BC &lt;Gain&gt;/Loss in TJ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87664"/>
        <c:crossesAt val="-1000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uFillTx/>
                <a:latin typeface="Arial"/>
              </a:rPr>
              <a:t>Comparison of PGT Fuel vs. Throughput </a:t>
            </a:r>
            <a:r>
              <a:rPr b="1" sz="1075" strike="noStrike" u="none">
                <a:uFillTx/>
                <a:latin typeface="Arial"/>
              </a:rPr>
              <a:t>
(actual fuel-solid diamonds)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12517394473527"/>
          <c:w val="0.817575556921913"/>
          <c:h val="0.83307931879928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daily!$N$7</c:f>
              <c:strCache>
                <c:ptCount val="1"/>
                <c:pt idx="0">
                  <c:v>act.fuel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daily!$N$18:$N$114</c:f>
              <c:numCache>
                <c:formatCode>0.0</c:formatCode>
                <c:ptCount val="97"/>
                <c:pt idx="0">
                  <c:v>26.1025666666667</c:v>
                </c:pt>
                <c:pt idx="1">
                  <c:v>29.3289677419355</c:v>
                </c:pt>
                <c:pt idx="2">
                  <c:v>29.7138064516129</c:v>
                </c:pt>
                <c:pt idx="3">
                  <c:v>31.8445</c:v>
                </c:pt>
                <c:pt idx="4">
                  <c:v>25.2742258064516</c:v>
                </c:pt>
                <c:pt idx="5">
                  <c:v>27.0608</c:v>
                </c:pt>
                <c:pt idx="6">
                  <c:v>24.3742258064516</c:v>
                </c:pt>
                <c:pt idx="7">
                  <c:v>28.4310666666667</c:v>
                </c:pt>
                <c:pt idx="8">
                  <c:v>38.9326129032258</c:v>
                </c:pt>
                <c:pt idx="9">
                  <c:v>41.5963870967742</c:v>
                </c:pt>
                <c:pt idx="10">
                  <c:v>37.6551</c:v>
                </c:pt>
                <c:pt idx="11">
                  <c:v>39.0286774193548</c:v>
                </c:pt>
                <c:pt idx="12">
                  <c:v>41.6146666666667</c:v>
                </c:pt>
                <c:pt idx="13">
                  <c:v>49.8972580645161</c:v>
                </c:pt>
                <c:pt idx="14">
                  <c:v>48.3485806451613</c:v>
                </c:pt>
                <c:pt idx="15">
                  <c:v>42.7329285714286</c:v>
                </c:pt>
                <c:pt idx="16">
                  <c:v>51.4991290322581</c:v>
                </c:pt>
                <c:pt idx="17">
                  <c:v>45.1138</c:v>
                </c:pt>
                <c:pt idx="18">
                  <c:v>39.2468387096774</c:v>
                </c:pt>
                <c:pt idx="19">
                  <c:v>40.0669666666667</c:v>
                </c:pt>
                <c:pt idx="20">
                  <c:v>42.6071290322581</c:v>
                </c:pt>
                <c:pt idx="21">
                  <c:v>47.6471290322581</c:v>
                </c:pt>
                <c:pt idx="22">
                  <c:v>47.3285666666667</c:v>
                </c:pt>
                <c:pt idx="23">
                  <c:v>46.5763225806452</c:v>
                </c:pt>
                <c:pt idx="24">
                  <c:v>46.9672</c:v>
                </c:pt>
                <c:pt idx="25">
                  <c:v>53.0790322580645</c:v>
                </c:pt>
                <c:pt idx="26">
                  <c:v>46.7697741935484</c:v>
                </c:pt>
                <c:pt idx="27">
                  <c:v>38.990724137931</c:v>
                </c:pt>
                <c:pt idx="28">
                  <c:v>34.6343870967742</c:v>
                </c:pt>
                <c:pt idx="29">
                  <c:v>35.8238</c:v>
                </c:pt>
                <c:pt idx="30">
                  <c:v>43.5401290322581</c:v>
                </c:pt>
                <c:pt idx="31">
                  <c:v>50.5952666666667</c:v>
                </c:pt>
                <c:pt idx="32">
                  <c:v>52.6807741935484</c:v>
                </c:pt>
                <c:pt idx="33">
                  <c:v>51.9802580645161</c:v>
                </c:pt>
                <c:pt idx="34">
                  <c:v>56.3888333333333</c:v>
                </c:pt>
                <c:pt idx="35">
                  <c:v>55.4519677419355</c:v>
                </c:pt>
                <c:pt idx="36">
                  <c:v>65.1917666666667</c:v>
                </c:pt>
                <c:pt idx="37">
                  <c:v>59.907064516129</c:v>
                </c:pt>
                <c:pt idx="38">
                  <c:v>50.6221612903226</c:v>
                </c:pt>
                <c:pt idx="39">
                  <c:v>46.5868571428571</c:v>
                </c:pt>
                <c:pt idx="40">
                  <c:v>48.7270322580645</c:v>
                </c:pt>
                <c:pt idx="41">
                  <c:v>48.6817</c:v>
                </c:pt>
                <c:pt idx="42">
                  <c:v>46.932064516129</c:v>
                </c:pt>
                <c:pt idx="43">
                  <c:v>54.1994666666667</c:v>
                </c:pt>
                <c:pt idx="44">
                  <c:v>59.0307741935484</c:v>
                </c:pt>
                <c:pt idx="45">
                  <c:v>61.1037419354839</c:v>
                </c:pt>
                <c:pt idx="46">
                  <c:v>66.3942</c:v>
                </c:pt>
                <c:pt idx="47">
                  <c:v>66.8804516129032</c:v>
                </c:pt>
                <c:pt idx="48">
                  <c:v>68.5863333333333</c:v>
                </c:pt>
                <c:pt idx="49">
                  <c:v>62.2303225806452</c:v>
                </c:pt>
                <c:pt idx="50">
                  <c:v>57.434935483871</c:v>
                </c:pt>
                <c:pt idx="51">
                  <c:v>60.0907142857143</c:v>
                </c:pt>
                <c:pt idx="52">
                  <c:v>64.0927419354839</c:v>
                </c:pt>
                <c:pt idx="53">
                  <c:v>64.7378333333333</c:v>
                </c:pt>
                <c:pt idx="54">
                  <c:v>57.6197741935484</c:v>
                </c:pt>
                <c:pt idx="55">
                  <c:v>54.6791333333333</c:v>
                </c:pt>
                <c:pt idx="56">
                  <c:v>62.1944838709677</c:v>
                </c:pt>
                <c:pt idx="57">
                  <c:v>62.5502258064516</c:v>
                </c:pt>
                <c:pt idx="58">
                  <c:v>64.6477333333333</c:v>
                </c:pt>
                <c:pt idx="59">
                  <c:v>59.8452903225806</c:v>
                </c:pt>
                <c:pt idx="60">
                  <c:v>59.755</c:v>
                </c:pt>
                <c:pt idx="61">
                  <c:v>58.43</c:v>
                </c:pt>
                <c:pt idx="62">
                  <c:v>47.922</c:v>
                </c:pt>
                <c:pt idx="63">
                  <c:v>45.4049642857143</c:v>
                </c:pt>
                <c:pt idx="64">
                  <c:v>38.2479032258064</c:v>
                </c:pt>
                <c:pt idx="65">
                  <c:v>50.577</c:v>
                </c:pt>
                <c:pt idx="66">
                  <c:v>45.71</c:v>
                </c:pt>
                <c:pt idx="67">
                  <c:v>35.3135333333333</c:v>
                </c:pt>
                <c:pt idx="68">
                  <c:v>42.7728709677419</c:v>
                </c:pt>
                <c:pt idx="69">
                  <c:v>48.5982580645161</c:v>
                </c:pt>
                <c:pt idx="70">
                  <c:v>60.2988</c:v>
                </c:pt>
                <c:pt idx="71">
                  <c:v>61.9134838709677</c:v>
                </c:pt>
                <c:pt idx="72">
                  <c:v>55.3167333333333</c:v>
                </c:pt>
                <c:pt idx="73">
                  <c:v>62.3829677419355</c:v>
                </c:pt>
                <c:pt idx="74">
                  <c:v>57.5182258064516</c:v>
                </c:pt>
                <c:pt idx="75">
                  <c:v>51.1666896551724</c:v>
                </c:pt>
                <c:pt idx="76">
                  <c:v>47.3859677419355</c:v>
                </c:pt>
                <c:pt idx="77">
                  <c:v>41.1849</c:v>
                </c:pt>
                <c:pt idx="78">
                  <c:v>49.6490967741936</c:v>
                </c:pt>
                <c:pt idx="79">
                  <c:v>56.1821666666667</c:v>
                </c:pt>
                <c:pt idx="80">
                  <c:v>62.4288709677419</c:v>
                </c:pt>
                <c:pt idx="81">
                  <c:v>57.1818709677419</c:v>
                </c:pt>
                <c:pt idx="82">
                  <c:v>57.0217666666667</c:v>
                </c:pt>
                <c:pt idx="83">
                  <c:v>56.3612580645161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regr!$D$7</c:f>
              <c:strCache>
                <c:ptCount val="1"/>
                <c:pt idx="0">
                  <c:v>regr.fuel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regr!$B$1:$B$2</c:f>
              <c:numCache>
                <c:formatCode>General</c:formatCode>
                <c:ptCount val="2"/>
                <c:pt idx="0">
                  <c:v>0</c:v>
                </c:pt>
                <c:pt idx="1">
                  <c:v>1.45</c:v>
                </c:pt>
              </c:numCache>
            </c:numRef>
          </c:xVal>
          <c:yVal>
            <c:numRef>
              <c:f>regr!$D$1:$D$2</c:f>
              <c:numCache>
                <c:formatCode>0.0</c:formatCode>
                <c:ptCount val="2"/>
                <c:pt idx="0">
                  <c:v>-73.6267193023452</c:v>
                </c:pt>
                <c:pt idx="1">
                  <c:v>73.169918351232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daily!$Y$3</c:f>
              <c:strCache>
                <c:ptCount val="1"/>
                <c:pt idx="0">
                  <c:v>max.0041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custDash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daily!$Y$1:$Y$2</c:f>
              <c:numCache>
                <c:formatCode>0.0</c:formatCode>
                <c:ptCount val="2"/>
                <c:pt idx="0">
                  <c:v>67.3951543831169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daily!$AB$33</c:f>
              <c:strCache>
                <c:ptCount val="1"/>
                <c:pt idx="0">
                  <c:v>fuel.100%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ff00ff"/>
              </a:solidFill>
              <a:custDash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daily!$AA$34:$AA$40</c:f>
              <c:numCache>
                <c:formatCode>0.000</c:formatCode>
                <c:ptCount val="7"/>
                <c:pt idx="0">
                  <c:v>0.964401290322581</c:v>
                </c:pt>
                <c:pt idx="1">
                  <c:v>1.03055769230769</c:v>
                </c:pt>
                <c:pt idx="2">
                  <c:v>1.27960910815939</c:v>
                </c:pt>
                <c:pt idx="3">
                  <c:v>1.32342203898051</c:v>
                </c:pt>
                <c:pt idx="5">
                  <c:v>1.379829390681</c:v>
                </c:pt>
                <c:pt idx="6">
                  <c:v>1.38485069444444</c:v>
                </c:pt>
              </c:numCache>
            </c:numRef>
          </c:xVal>
          <c:yVal>
            <c:numRef>
              <c:f>daily!$AB$34:$AB$40</c:f>
              <c:numCache>
                <c:formatCode>0.0</c:formatCode>
                <c:ptCount val="7"/>
                <c:pt idx="0">
                  <c:v>24.3742258064516</c:v>
                </c:pt>
                <c:pt idx="1">
                  <c:v>27.0608</c:v>
                </c:pt>
                <c:pt idx="2">
                  <c:v>47.3859677419355</c:v>
                </c:pt>
                <c:pt idx="3">
                  <c:v>51.1666896551724</c:v>
                </c:pt>
                <c:pt idx="5">
                  <c:v>64.0927419354839</c:v>
                </c:pt>
                <c:pt idx="6">
                  <c:v>68.5863333333333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daily!$AB$7</c:f>
              <c:strCache>
                <c:ptCount val="1"/>
                <c:pt idx="0">
                  <c:v>obs.limit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custDash>
                <a:ds d="605714" sp="151429"/>
              </a:custDash>
              <a:round/>
            </a:ln>
          </c:spPr>
          <c:marker>
            <c:symbol val="triangle"/>
            <c:size val="4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daily!$AA$18:$AA$22</c:f>
              <c:numCache>
                <c:formatCode>0.000</c:formatCode>
                <c:ptCount val="5"/>
                <c:pt idx="0">
                  <c:v>1.036065</c:v>
                </c:pt>
                <c:pt idx="1">
                  <c:v>1.24828146258503</c:v>
                </c:pt>
                <c:pt idx="2">
                  <c:v>1.32342203898051</c:v>
                </c:pt>
                <c:pt idx="3">
                  <c:v>1.379829390681</c:v>
                </c:pt>
                <c:pt idx="4">
                  <c:v>1.38485069444444</c:v>
                </c:pt>
              </c:numCache>
            </c:numRef>
          </c:xVal>
          <c:yVal>
            <c:numRef>
              <c:f>daily!$AB$18:$AB$22</c:f>
              <c:numCache>
                <c:formatCode>0.0</c:formatCode>
                <c:ptCount val="5"/>
                <c:pt idx="0">
                  <c:v>18.2473666666667</c:v>
                </c:pt>
                <c:pt idx="1">
                  <c:v>33.2443214285714</c:v>
                </c:pt>
                <c:pt idx="2">
                  <c:v>47.6705517241379</c:v>
                </c:pt>
                <c:pt idx="3">
                  <c:v>62.6591935483871</c:v>
                </c:pt>
                <c:pt idx="4">
                  <c:v>66.6151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daily!$AB$24</c:f>
              <c:strCache>
                <c:ptCount val="1"/>
                <c:pt idx="0">
                  <c:v>used.90%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x"/>
            <c:size val="2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daily!$AA$25:$AA$31</c:f>
              <c:numCache>
                <c:formatCode>0.000</c:formatCode>
                <c:ptCount val="7"/>
                <c:pt idx="0">
                  <c:v>0.972397849462366</c:v>
                </c:pt>
                <c:pt idx="1">
                  <c:v>1.09121733333333</c:v>
                </c:pt>
                <c:pt idx="2">
                  <c:v>1.26099126344086</c:v>
                </c:pt>
                <c:pt idx="3">
                  <c:v>1.31282608695652</c:v>
                </c:pt>
                <c:pt idx="4">
                  <c:v>1.32014015151515</c:v>
                </c:pt>
                <c:pt idx="5">
                  <c:v>1.34355431547619</c:v>
                </c:pt>
                <c:pt idx="6">
                  <c:v>1.3579519379845</c:v>
                </c:pt>
              </c:numCache>
            </c:numRef>
          </c:xVal>
          <c:yVal>
            <c:numRef>
              <c:f>daily!$AB$25:$AB$31</c:f>
              <c:numCache>
                <c:formatCode>0.0</c:formatCode>
                <c:ptCount val="7"/>
                <c:pt idx="0">
                  <c:v>18.8763548387097</c:v>
                </c:pt>
                <c:pt idx="1">
                  <c:v>26.2352333333333</c:v>
                </c:pt>
                <c:pt idx="2">
                  <c:v>42.8506129032258</c:v>
                </c:pt>
                <c:pt idx="3">
                  <c:v>51.7672258064516</c:v>
                </c:pt>
                <c:pt idx="4">
                  <c:v>53.0462666666667</c:v>
                </c:pt>
                <c:pt idx="5">
                  <c:v>59.7226428571429</c:v>
                </c:pt>
                <c:pt idx="6">
                  <c:v>65.2796</c:v>
                </c:pt>
              </c:numCache>
            </c:numRef>
          </c:yVal>
          <c:smooth val="0"/>
        </c:ser>
        <c:axId val="72316471"/>
        <c:axId val="19094370"/>
      </c:scatterChart>
      <c:valAx>
        <c:axId val="72316471"/>
        <c:scaling>
          <c:orientation val="minMax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Throughput  in  e9 dt-mi/day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94370"/>
        <c:crossesAt val="-100000"/>
        <c:crossBetween val="midCat"/>
        <c:majorUnit val="0.1"/>
      </c:valAx>
      <c:valAx>
        <c:axId val="19094370"/>
        <c:scaling>
          <c:orientation val="minMax"/>
          <c:max val="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Fuel  in  Mdt/day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16471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4919831622759"/>
          <c:y val="0.4378768802597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uFillTx/>
                <a:latin typeface="Arial"/>
              </a:rPr>
              <a:t>Comparison of PGT Fuel+Loss vs. Throughput </a:t>
            </a:r>
            <a:r>
              <a:rPr b="1" sz="1075" strike="noStrike" u="none">
                <a:uFillTx/>
                <a:latin typeface="Arial"/>
              </a:rPr>
              <a:t>
(actual-solid diamonds, estimated-hollow squares)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13511364389371"/>
          <c:w val="0.81904176323133"/>
          <c:h val="0.832151613544497"/>
        </c:manualLayout>
      </c:layout>
      <c:scatterChart>
        <c:scatterStyle val="lineMarker"/>
        <c:varyColors val="0"/>
        <c:ser>
          <c:idx val="0"/>
          <c:order val="0"/>
          <c:tx>
            <c:strRef>
              <c:f>daily!$P$7</c:f>
              <c:strCache>
                <c:ptCount val="1"/>
                <c:pt idx="0">
                  <c:v>act.used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daily!$P$18:$P$114</c:f>
              <c:numCache>
                <c:formatCode>0.0</c:formatCode>
                <c:ptCount val="97"/>
                <c:pt idx="0">
                  <c:v>22.0428</c:v>
                </c:pt>
                <c:pt idx="1">
                  <c:v>24.4797096774194</c:v>
                </c:pt>
                <c:pt idx="2">
                  <c:v>24.5595806451613</c:v>
                </c:pt>
                <c:pt idx="3">
                  <c:v>23.119</c:v>
                </c:pt>
                <c:pt idx="4">
                  <c:v>18.8763548387097</c:v>
                </c:pt>
                <c:pt idx="5">
                  <c:v>24.0796</c:v>
                </c:pt>
                <c:pt idx="6">
                  <c:v>23.0266451612903</c:v>
                </c:pt>
                <c:pt idx="7">
                  <c:v>18.2473666666667</c:v>
                </c:pt>
                <c:pt idx="8">
                  <c:v>27.0423870967742</c:v>
                </c:pt>
                <c:pt idx="9">
                  <c:v>40.9791612903226</c:v>
                </c:pt>
                <c:pt idx="10">
                  <c:v>26.2352333333333</c:v>
                </c:pt>
                <c:pt idx="11">
                  <c:v>45.6022903225806</c:v>
                </c:pt>
                <c:pt idx="12">
                  <c:v>48.1564666666667</c:v>
                </c:pt>
                <c:pt idx="13">
                  <c:v>54.8841935483871</c:v>
                </c:pt>
                <c:pt idx="14">
                  <c:v>60.9711290322581</c:v>
                </c:pt>
                <c:pt idx="15">
                  <c:v>34.4754642857143</c:v>
                </c:pt>
                <c:pt idx="16">
                  <c:v>57.4791935483871</c:v>
                </c:pt>
                <c:pt idx="17">
                  <c:v>51.8849</c:v>
                </c:pt>
                <c:pt idx="18">
                  <c:v>47.1686774193548</c:v>
                </c:pt>
                <c:pt idx="19">
                  <c:v>44.7335333333333</c:v>
                </c:pt>
                <c:pt idx="20">
                  <c:v>48.6292580645161</c:v>
                </c:pt>
                <c:pt idx="21">
                  <c:v>50.5469032258065</c:v>
                </c:pt>
                <c:pt idx="22">
                  <c:v>52.1132666666667</c:v>
                </c:pt>
                <c:pt idx="23">
                  <c:v>54.5620967741936</c:v>
                </c:pt>
                <c:pt idx="24">
                  <c:v>50.9833</c:v>
                </c:pt>
                <c:pt idx="25">
                  <c:v>58.5100967741936</c:v>
                </c:pt>
                <c:pt idx="26">
                  <c:v>51.6861612903226</c:v>
                </c:pt>
                <c:pt idx="27">
                  <c:v>41.9206206896552</c:v>
                </c:pt>
                <c:pt idx="28">
                  <c:v>42.6024516129032</c:v>
                </c:pt>
                <c:pt idx="29">
                  <c:v>36.4444666666667</c:v>
                </c:pt>
                <c:pt idx="30">
                  <c:v>50.6286774193548</c:v>
                </c:pt>
                <c:pt idx="31">
                  <c:v>53.4771</c:v>
                </c:pt>
                <c:pt idx="32">
                  <c:v>64.978935483871</c:v>
                </c:pt>
                <c:pt idx="33">
                  <c:v>65.8271612903226</c:v>
                </c:pt>
                <c:pt idx="34">
                  <c:v>69.7858333333333</c:v>
                </c:pt>
                <c:pt idx="35">
                  <c:v>67.4857419354839</c:v>
                </c:pt>
                <c:pt idx="36">
                  <c:v>74.3606666666667</c:v>
                </c:pt>
                <c:pt idx="37">
                  <c:v>64.6757096774194</c:v>
                </c:pt>
                <c:pt idx="38">
                  <c:v>52.4691935483871</c:v>
                </c:pt>
                <c:pt idx="39">
                  <c:v>49.15275</c:v>
                </c:pt>
                <c:pt idx="40">
                  <c:v>48.6694516129032</c:v>
                </c:pt>
                <c:pt idx="41">
                  <c:v>52.7867</c:v>
                </c:pt>
                <c:pt idx="42">
                  <c:v>44.8858387096774</c:v>
                </c:pt>
                <c:pt idx="43">
                  <c:v>48.7984</c:v>
                </c:pt>
                <c:pt idx="44">
                  <c:v>59.6107096774194</c:v>
                </c:pt>
                <c:pt idx="45">
                  <c:v>65.092935483871</c:v>
                </c:pt>
                <c:pt idx="46">
                  <c:v>63.5491666666667</c:v>
                </c:pt>
                <c:pt idx="47">
                  <c:v>71.209064516129</c:v>
                </c:pt>
                <c:pt idx="48">
                  <c:v>66.6151</c:v>
                </c:pt>
                <c:pt idx="49">
                  <c:v>64.9638387096774</c:v>
                </c:pt>
                <c:pt idx="50">
                  <c:v>54.212</c:v>
                </c:pt>
                <c:pt idx="51">
                  <c:v>59.7226428571429</c:v>
                </c:pt>
                <c:pt idx="52">
                  <c:v>62.6591935483871</c:v>
                </c:pt>
                <c:pt idx="53">
                  <c:v>65.2796</c:v>
                </c:pt>
                <c:pt idx="54">
                  <c:v>64.3853870967742</c:v>
                </c:pt>
                <c:pt idx="55">
                  <c:v>53.0462666666667</c:v>
                </c:pt>
                <c:pt idx="56">
                  <c:v>65.5412903225807</c:v>
                </c:pt>
                <c:pt idx="57">
                  <c:v>62.2203225806452</c:v>
                </c:pt>
                <c:pt idx="58">
                  <c:v>72.0145</c:v>
                </c:pt>
                <c:pt idx="59">
                  <c:v>48.4498387096774</c:v>
                </c:pt>
                <c:pt idx="60">
                  <c:v>57.3215333333333</c:v>
                </c:pt>
                <c:pt idx="61">
                  <c:v>56.2344838709677</c:v>
                </c:pt>
                <c:pt idx="62">
                  <c:v>42.8506129032258</c:v>
                </c:pt>
                <c:pt idx="63">
                  <c:v>33.2443214285714</c:v>
                </c:pt>
                <c:pt idx="64">
                  <c:v>28.4057419354839</c:v>
                </c:pt>
                <c:pt idx="65">
                  <c:v>52.6818333333333</c:v>
                </c:pt>
                <c:pt idx="66">
                  <c:v>43.3352580645161</c:v>
                </c:pt>
                <c:pt idx="67">
                  <c:v>32.3827</c:v>
                </c:pt>
                <c:pt idx="68">
                  <c:v>39.5521935483871</c:v>
                </c:pt>
                <c:pt idx="69">
                  <c:v>46.3158064516129</c:v>
                </c:pt>
                <c:pt idx="70">
                  <c:v>63.0203333333333</c:v>
                </c:pt>
                <c:pt idx="71">
                  <c:v>69.1420322580645</c:v>
                </c:pt>
                <c:pt idx="72">
                  <c:v>55.3478666666667</c:v>
                </c:pt>
                <c:pt idx="73">
                  <c:v>59.3383548387097</c:v>
                </c:pt>
                <c:pt idx="74">
                  <c:v>51.7672258064516</c:v>
                </c:pt>
                <c:pt idx="75">
                  <c:v>47.6705517241379</c:v>
                </c:pt>
                <c:pt idx="76">
                  <c:v>51.6573548387097</c:v>
                </c:pt>
                <c:pt idx="77">
                  <c:v>41.6411</c:v>
                </c:pt>
                <c:pt idx="78">
                  <c:v>49.5541612903226</c:v>
                </c:pt>
                <c:pt idx="79">
                  <c:v>57.4666333333333</c:v>
                </c:pt>
                <c:pt idx="80">
                  <c:v>67.0439677419355</c:v>
                </c:pt>
                <c:pt idx="81">
                  <c:v>64.2513870967742</c:v>
                </c:pt>
                <c:pt idx="82">
                  <c:v>61.2416</c:v>
                </c:pt>
                <c:pt idx="83">
                  <c:v>54.0012903225806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daily!$D$7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square"/>
            <c:size val="3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daily!$C$18:$C$114</c:f>
              <c:numCache>
                <c:formatCode>0.000</c:formatCode>
                <c:ptCount val="97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xVal>
          <c:yVal>
            <c:numRef>
              <c:f>daily!$D$18:$D$114</c:f>
              <c:numCache>
                <c:formatCode>0.0</c:formatCode>
                <c:ptCount val="97"/>
                <c:pt idx="3">
                  <c:v>32.2071428571429</c:v>
                </c:pt>
                <c:pt idx="4">
                  <c:v>23.5451612903226</c:v>
                </c:pt>
                <c:pt idx="5">
                  <c:v>29.8966666666667</c:v>
                </c:pt>
                <c:pt idx="6">
                  <c:v>37.9677419354839</c:v>
                </c:pt>
                <c:pt idx="7">
                  <c:v>23.9166666666667</c:v>
                </c:pt>
                <c:pt idx="8">
                  <c:v>24.7612903225806</c:v>
                </c:pt>
                <c:pt idx="9">
                  <c:v>30.1903225806452</c:v>
                </c:pt>
                <c:pt idx="10">
                  <c:v>29.0566666666667</c:v>
                </c:pt>
                <c:pt idx="11">
                  <c:v>22.6290322580645</c:v>
                </c:pt>
                <c:pt idx="12">
                  <c:v>33.3333333333333</c:v>
                </c:pt>
                <c:pt idx="13">
                  <c:v>40.3451612903226</c:v>
                </c:pt>
                <c:pt idx="14">
                  <c:v>42.4709677419355</c:v>
                </c:pt>
                <c:pt idx="15">
                  <c:v>50.7142857142857</c:v>
                </c:pt>
                <c:pt idx="16">
                  <c:v>41.1290322580645</c:v>
                </c:pt>
                <c:pt idx="17">
                  <c:v>49.6666666666667</c:v>
                </c:pt>
                <c:pt idx="18">
                  <c:v>58.8709677419355</c:v>
                </c:pt>
                <c:pt idx="19">
                  <c:v>49.5</c:v>
                </c:pt>
                <c:pt idx="20">
                  <c:v>50.9677419354839</c:v>
                </c:pt>
                <c:pt idx="21">
                  <c:v>58.0645161290323</c:v>
                </c:pt>
                <c:pt idx="22">
                  <c:v>52.5</c:v>
                </c:pt>
                <c:pt idx="23">
                  <c:v>47.9032258064516</c:v>
                </c:pt>
                <c:pt idx="24">
                  <c:v>47.5</c:v>
                </c:pt>
                <c:pt idx="25">
                  <c:v>37.9032258064516</c:v>
                </c:pt>
                <c:pt idx="26">
                  <c:v>40.3225806451613</c:v>
                </c:pt>
                <c:pt idx="27">
                  <c:v>37.9310344827586</c:v>
                </c:pt>
                <c:pt idx="28">
                  <c:v>43.5483870967742</c:v>
                </c:pt>
                <c:pt idx="29">
                  <c:v>45.8333333333333</c:v>
                </c:pt>
                <c:pt idx="30">
                  <c:v>49.1935483870968</c:v>
                </c:pt>
                <c:pt idx="31">
                  <c:v>49.4</c:v>
                </c:pt>
                <c:pt idx="32">
                  <c:v>44.1935483870968</c:v>
                </c:pt>
                <c:pt idx="33">
                  <c:v>49.6774193548387</c:v>
                </c:pt>
                <c:pt idx="34">
                  <c:v>43.3333333333333</c:v>
                </c:pt>
                <c:pt idx="35">
                  <c:v>44.3548387096774</c:v>
                </c:pt>
                <c:pt idx="36">
                  <c:v>43.1666666666667</c:v>
                </c:pt>
                <c:pt idx="37">
                  <c:v>45.1612903225807</c:v>
                </c:pt>
                <c:pt idx="38">
                  <c:v>53.2258064516129</c:v>
                </c:pt>
                <c:pt idx="39">
                  <c:v>60.7142857142857</c:v>
                </c:pt>
                <c:pt idx="40">
                  <c:v>59.6774193548387</c:v>
                </c:pt>
                <c:pt idx="41">
                  <c:v>60.8333333333333</c:v>
                </c:pt>
                <c:pt idx="42">
                  <c:v>56.4516129032258</c:v>
                </c:pt>
                <c:pt idx="43">
                  <c:v>48.6666666666667</c:v>
                </c:pt>
                <c:pt idx="44">
                  <c:v>52.9032258064516</c:v>
                </c:pt>
                <c:pt idx="45">
                  <c:v>49.6774193548387</c:v>
                </c:pt>
                <c:pt idx="46">
                  <c:v>51.6666666666667</c:v>
                </c:pt>
                <c:pt idx="47">
                  <c:v>55.4838709677419</c:v>
                </c:pt>
                <c:pt idx="48">
                  <c:v>49.1166666666667</c:v>
                </c:pt>
                <c:pt idx="49">
                  <c:v>58.8709677419355</c:v>
                </c:pt>
                <c:pt idx="50">
                  <c:v>50.3225806451613</c:v>
                </c:pt>
                <c:pt idx="51">
                  <c:v>64.6428571428571</c:v>
                </c:pt>
                <c:pt idx="52">
                  <c:v>54.8387096774194</c:v>
                </c:pt>
                <c:pt idx="53">
                  <c:v>52.5</c:v>
                </c:pt>
                <c:pt idx="54">
                  <c:v>51.6129032258065</c:v>
                </c:pt>
                <c:pt idx="55">
                  <c:v>51</c:v>
                </c:pt>
                <c:pt idx="56">
                  <c:v>48.3870967741936</c:v>
                </c:pt>
                <c:pt idx="57">
                  <c:v>53.2258064516129</c:v>
                </c:pt>
                <c:pt idx="58">
                  <c:v>50</c:v>
                </c:pt>
                <c:pt idx="59">
                  <c:v>54.6774193548387</c:v>
                </c:pt>
                <c:pt idx="60">
                  <c:v>53.3333333333333</c:v>
                </c:pt>
                <c:pt idx="61">
                  <c:v>62.9032258064516</c:v>
                </c:pt>
                <c:pt idx="62">
                  <c:v>60.4838709677419</c:v>
                </c:pt>
                <c:pt idx="63">
                  <c:v>51.9642857142857</c:v>
                </c:pt>
                <c:pt idx="64">
                  <c:v>47.4193548387097</c:v>
                </c:pt>
                <c:pt idx="65">
                  <c:v>54.5</c:v>
                </c:pt>
                <c:pt idx="66">
                  <c:v>41.9354838709677</c:v>
                </c:pt>
                <c:pt idx="67">
                  <c:v>33.3333333333333</c:v>
                </c:pt>
                <c:pt idx="68">
                  <c:v>29.8387096774194</c:v>
                </c:pt>
                <c:pt idx="69">
                  <c:v>35.4838709677419</c:v>
                </c:pt>
                <c:pt idx="70">
                  <c:v>47</c:v>
                </c:pt>
                <c:pt idx="71">
                  <c:v>39.0322580645161</c:v>
                </c:pt>
                <c:pt idx="72">
                  <c:v>43.3333333333333</c:v>
                </c:pt>
                <c:pt idx="73">
                  <c:v>39.5161290322581</c:v>
                </c:pt>
                <c:pt idx="74">
                  <c:v>58.0645161290323</c:v>
                </c:pt>
                <c:pt idx="75">
                  <c:v>56.3793103448276</c:v>
                </c:pt>
                <c:pt idx="76">
                  <c:v>43.5483870967742</c:v>
                </c:pt>
                <c:pt idx="77">
                  <c:v>48.3333333333333</c:v>
                </c:pt>
                <c:pt idx="78">
                  <c:v>25.8064516129032</c:v>
                </c:pt>
                <c:pt idx="79">
                  <c:v>34.1666666666667</c:v>
                </c:pt>
                <c:pt idx="80">
                  <c:v>38.0161290322581</c:v>
                </c:pt>
                <c:pt idx="81">
                  <c:v>37.5806451612903</c:v>
                </c:pt>
                <c:pt idx="82">
                  <c:v>41.6666666666667</c:v>
                </c:pt>
                <c:pt idx="83">
                  <c:v>42.741935483871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daily!$Y$3</c:f>
              <c:strCache>
                <c:ptCount val="1"/>
                <c:pt idx="0">
                  <c:v>max.0041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custDash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daily!$Y$1:$Y$2</c:f>
              <c:numCache>
                <c:formatCode>0.0</c:formatCode>
                <c:ptCount val="2"/>
                <c:pt idx="0">
                  <c:v>67.3951543831169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daily!$Z$3</c:f>
              <c:strCache>
                <c:ptCount val="1"/>
                <c:pt idx="0">
                  <c:v>max.0050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8080"/>
              </a:solidFill>
              <a:custDash>
                <a:ds d="385900" sp="385900"/>
                <a:ds d="385900" sp="385900"/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  <a:ds d="385900" sp="385900"/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daily!$Z$1:$Z$2</c:f>
              <c:numCache>
                <c:formatCode>0.0</c:formatCode>
                <c:ptCount val="2"/>
                <c:pt idx="0">
                  <c:v>82.1892126623377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daily!$AB$7</c:f>
              <c:strCache>
                <c:ptCount val="1"/>
                <c:pt idx="0">
                  <c:v>obs.limit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daily!$AA$18:$AA$22</c:f>
              <c:numCache>
                <c:formatCode>0.000</c:formatCode>
                <c:ptCount val="5"/>
                <c:pt idx="0">
                  <c:v>1.036065</c:v>
                </c:pt>
                <c:pt idx="1">
                  <c:v>1.24828146258503</c:v>
                </c:pt>
                <c:pt idx="2">
                  <c:v>1.32342203898051</c:v>
                </c:pt>
                <c:pt idx="3">
                  <c:v>1.379829390681</c:v>
                </c:pt>
                <c:pt idx="4">
                  <c:v>1.38485069444444</c:v>
                </c:pt>
              </c:numCache>
            </c:numRef>
          </c:xVal>
          <c:yVal>
            <c:numRef>
              <c:f>daily!$AB$18:$AB$22</c:f>
              <c:numCache>
                <c:formatCode>0.0</c:formatCode>
                <c:ptCount val="5"/>
                <c:pt idx="0">
                  <c:v>18.2473666666667</c:v>
                </c:pt>
                <c:pt idx="1">
                  <c:v>33.2443214285714</c:v>
                </c:pt>
                <c:pt idx="2">
                  <c:v>47.6705517241379</c:v>
                </c:pt>
                <c:pt idx="3">
                  <c:v>62.6591935483871</c:v>
                </c:pt>
                <c:pt idx="4">
                  <c:v>66.6151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daily!$AB$24</c:f>
              <c:strCache>
                <c:ptCount val="1"/>
                <c:pt idx="0">
                  <c:v>used.90%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  <a:ds d="300000" sp="300000"/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  <a:ds d="300000" sp="300000"/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daily!$AA$25:$AA$31</c:f>
              <c:numCache>
                <c:formatCode>0.000</c:formatCode>
                <c:ptCount val="7"/>
                <c:pt idx="0">
                  <c:v>0.972397849462366</c:v>
                </c:pt>
                <c:pt idx="1">
                  <c:v>1.09121733333333</c:v>
                </c:pt>
                <c:pt idx="2">
                  <c:v>1.26099126344086</c:v>
                </c:pt>
                <c:pt idx="3">
                  <c:v>1.31282608695652</c:v>
                </c:pt>
                <c:pt idx="4">
                  <c:v>1.32014015151515</c:v>
                </c:pt>
                <c:pt idx="5">
                  <c:v>1.34355431547619</c:v>
                </c:pt>
                <c:pt idx="6">
                  <c:v>1.3579519379845</c:v>
                </c:pt>
              </c:numCache>
            </c:numRef>
          </c:xVal>
          <c:yVal>
            <c:numRef>
              <c:f>daily!$AB$25:$AB$31</c:f>
              <c:numCache>
                <c:formatCode>0.0</c:formatCode>
                <c:ptCount val="7"/>
                <c:pt idx="0">
                  <c:v>18.8763548387097</c:v>
                </c:pt>
                <c:pt idx="1">
                  <c:v>26.2352333333333</c:v>
                </c:pt>
                <c:pt idx="2">
                  <c:v>42.8506129032258</c:v>
                </c:pt>
                <c:pt idx="3">
                  <c:v>51.7672258064516</c:v>
                </c:pt>
                <c:pt idx="4">
                  <c:v>53.0462666666667</c:v>
                </c:pt>
                <c:pt idx="5">
                  <c:v>59.7226428571429</c:v>
                </c:pt>
                <c:pt idx="6">
                  <c:v>65.2796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daily!$AB$33</c:f>
              <c:strCache>
                <c:ptCount val="1"/>
                <c:pt idx="0">
                  <c:v>fuel.100%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custDash>
                <a:ds d="300000" sp="300000"/>
              </a:custDash>
              <a:round/>
            </a:ln>
          </c:spPr>
          <c:marker>
            <c:symbol val="circle"/>
            <c:size val="2"/>
            <c:spPr>
              <a:solidFill>
                <a:srgbClr val="993300"/>
              </a:solidFill>
            </c:spPr>
          </c:marker>
          <c:dPt>
            <c:idx val="1"/>
            <c:marker>
              <c:symbol val="circle"/>
              <c:size val="2"/>
              <c:spPr>
                <a:solidFill>
                  <a:srgbClr val="99330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daily!$AA$34:$AA$40</c:f>
              <c:numCache>
                <c:formatCode>0.000</c:formatCode>
                <c:ptCount val="7"/>
                <c:pt idx="0">
                  <c:v>0.964401290322581</c:v>
                </c:pt>
                <c:pt idx="1">
                  <c:v>1.03055769230769</c:v>
                </c:pt>
                <c:pt idx="2">
                  <c:v>1.27960910815939</c:v>
                </c:pt>
                <c:pt idx="3">
                  <c:v>1.32342203898051</c:v>
                </c:pt>
                <c:pt idx="5">
                  <c:v>1.379829390681</c:v>
                </c:pt>
                <c:pt idx="6">
                  <c:v>1.38485069444444</c:v>
                </c:pt>
              </c:numCache>
            </c:numRef>
          </c:xVal>
          <c:yVal>
            <c:numRef>
              <c:f>daily!$AB$34:$AB$40</c:f>
              <c:numCache>
                <c:formatCode>0.0</c:formatCode>
                <c:ptCount val="7"/>
                <c:pt idx="0">
                  <c:v>24.3742258064516</c:v>
                </c:pt>
                <c:pt idx="1">
                  <c:v>27.0608</c:v>
                </c:pt>
                <c:pt idx="2">
                  <c:v>47.3859677419355</c:v>
                </c:pt>
                <c:pt idx="3">
                  <c:v>51.1666896551724</c:v>
                </c:pt>
                <c:pt idx="5">
                  <c:v>64.0927419354839</c:v>
                </c:pt>
                <c:pt idx="6">
                  <c:v>68.5863333333333</c:v>
                </c:pt>
              </c:numCache>
            </c:numRef>
          </c:yVal>
          <c:smooth val="0"/>
        </c:ser>
        <c:axId val="35549915"/>
        <c:axId val="1455214"/>
      </c:scatterChart>
      <c:valAx>
        <c:axId val="35549915"/>
        <c:scaling>
          <c:orientation val="minMax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Throughput  in  e9 dt-mi/day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5214"/>
        <c:crossesAt val="-100000"/>
        <c:crossBetween val="midCat"/>
        <c:majorUnit val="0.1"/>
      </c:valAx>
      <c:valAx>
        <c:axId val="1455214"/>
        <c:scaling>
          <c:orientation val="minMax"/>
          <c:max val="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Used=Fuel+Loss  in  Mdt/day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49915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6149553043561"/>
          <c:y val="0.4088529587171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uFillTx/>
                <a:latin typeface="Arial"/>
              </a:rPr>
              <a:t>Comparison of PGT Average Fuel+Loss vs. Throughput</a:t>
            </a:r>
            <a:r>
              <a:rPr b="1" sz="1075" strike="noStrike" u="none">
                <a:uFillTx/>
                <a:latin typeface="Arial"/>
              </a:rPr>
              <a:t> 
(actual-solid diamonds, estimated-hollow squares)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17818567358028"/>
          <c:w val="0.821974175850163"/>
          <c:h val="0.826055264727321"/>
        </c:manualLayout>
      </c:layout>
      <c:scatterChart>
        <c:scatterStyle val="lineMarker"/>
        <c:varyColors val="0"/>
        <c:ser>
          <c:idx val="0"/>
          <c:order val="0"/>
          <c:tx>
            <c:strRef>
              <c:f>daily!$V$7</c:f>
              <c:strCache>
                <c:ptCount val="1"/>
                <c:pt idx="0">
                  <c:v>Act.Used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daily!$V$18:$V$114</c:f>
              <c:numCache>
                <c:formatCode>0.000000</c:formatCode>
                <c:ptCount val="97"/>
                <c:pt idx="0">
                  <c:v>2.25097959122677E-005</c:v>
                </c:pt>
                <c:pt idx="1">
                  <c:v>2.46428798495984E-005</c:v>
                </c:pt>
                <c:pt idx="2">
                  <c:v>2.4169746031746E-005</c:v>
                </c:pt>
                <c:pt idx="3">
                  <c:v>2.22747163947164E-005</c:v>
                </c:pt>
                <c:pt idx="4">
                  <c:v>1.94121725476319E-005</c:v>
                </c:pt>
                <c:pt idx="5">
                  <c:v>2.33656011494896E-005</c:v>
                </c:pt>
                <c:pt idx="6">
                  <c:v>2.38766220994874E-005</c:v>
                </c:pt>
                <c:pt idx="7">
                  <c:v>1.76121832767893E-005</c:v>
                </c:pt>
                <c:pt idx="8">
                  <c:v>2.33621837410779E-005</c:v>
                </c:pt>
                <c:pt idx="9">
                  <c:v>3.5721282920893E-005</c:v>
                </c:pt>
                <c:pt idx="10">
                  <c:v>2.40421706400069E-005</c:v>
                </c:pt>
                <c:pt idx="11">
                  <c:v>4.44261439880329E-005</c:v>
                </c:pt>
                <c:pt idx="12">
                  <c:v>4.23982159867952E-005</c:v>
                </c:pt>
                <c:pt idx="13">
                  <c:v>4.52019513357991E-005</c:v>
                </c:pt>
                <c:pt idx="14">
                  <c:v>5.14579626773534E-005</c:v>
                </c:pt>
                <c:pt idx="15">
                  <c:v>2.93306493603351E-005</c:v>
                </c:pt>
                <c:pt idx="16">
                  <c:v>4.76847059939775E-005</c:v>
                </c:pt>
                <c:pt idx="17">
                  <c:v>4.50874638524262E-005</c:v>
                </c:pt>
                <c:pt idx="18">
                  <c:v>4.22253591625557E-005</c:v>
                </c:pt>
                <c:pt idx="19">
                  <c:v>3.83575268032858E-005</c:v>
                </c:pt>
                <c:pt idx="20">
                  <c:v>4.29056658045505E-005</c:v>
                </c:pt>
                <c:pt idx="21">
                  <c:v>4.20547574738196E-005</c:v>
                </c:pt>
                <c:pt idx="22">
                  <c:v>4.38201351583447E-005</c:v>
                </c:pt>
                <c:pt idx="23">
                  <c:v>4.6768147308915E-005</c:v>
                </c:pt>
                <c:pt idx="24">
                  <c:v>4.30894524410925E-005</c:v>
                </c:pt>
                <c:pt idx="25">
                  <c:v>4.90009989438839E-005</c:v>
                </c:pt>
                <c:pt idx="26">
                  <c:v>4.59832699289871E-005</c:v>
                </c:pt>
                <c:pt idx="27">
                  <c:v>3.87125401195849E-005</c:v>
                </c:pt>
                <c:pt idx="28">
                  <c:v>3.82828637049711E-005</c:v>
                </c:pt>
                <c:pt idx="29">
                  <c:v>3.33931588280056E-005</c:v>
                </c:pt>
                <c:pt idx="30">
                  <c:v>4.16877816928397E-005</c:v>
                </c:pt>
                <c:pt idx="31">
                  <c:v>4.39579325805105E-005</c:v>
                </c:pt>
                <c:pt idx="32">
                  <c:v>5.34013858374176E-005</c:v>
                </c:pt>
                <c:pt idx="33">
                  <c:v>5.28700998925699E-005</c:v>
                </c:pt>
                <c:pt idx="34">
                  <c:v>5.57355713729068E-005</c:v>
                </c:pt>
                <c:pt idx="35">
                  <c:v>5.3391950935666E-005</c:v>
                </c:pt>
                <c:pt idx="36">
                  <c:v>5.7898962354419E-005</c:v>
                </c:pt>
                <c:pt idx="37">
                  <c:v>5.1102457400749E-005</c:v>
                </c:pt>
                <c:pt idx="38">
                  <c:v>4.3803821025895E-005</c:v>
                </c:pt>
                <c:pt idx="39">
                  <c:v>4.01944703761735E-005</c:v>
                </c:pt>
                <c:pt idx="40">
                  <c:v>3.78999979227625E-005</c:v>
                </c:pt>
                <c:pt idx="41">
                  <c:v>4.21091855406937E-005</c:v>
                </c:pt>
                <c:pt idx="42">
                  <c:v>3.70402543972733E-005</c:v>
                </c:pt>
                <c:pt idx="43">
                  <c:v>3.85230020650815E-005</c:v>
                </c:pt>
                <c:pt idx="44">
                  <c:v>4.68505879587161E-005</c:v>
                </c:pt>
                <c:pt idx="45">
                  <c:v>4.9307171815041E-005</c:v>
                </c:pt>
                <c:pt idx="46">
                  <c:v>4.86109779249754E-005</c:v>
                </c:pt>
                <c:pt idx="47">
                  <c:v>5.39845737069768E-005</c:v>
                </c:pt>
                <c:pt idx="48">
                  <c:v>4.81027306894797E-005</c:v>
                </c:pt>
                <c:pt idx="49">
                  <c:v>4.84972105605369E-005</c:v>
                </c:pt>
                <c:pt idx="50">
                  <c:v>4.20314409470112E-005</c:v>
                </c:pt>
                <c:pt idx="51">
                  <c:v>4.44512307163225E-005</c:v>
                </c:pt>
                <c:pt idx="52">
                  <c:v>4.5410826854081E-005</c:v>
                </c:pt>
                <c:pt idx="53">
                  <c:v>4.8072098999976E-005</c:v>
                </c:pt>
                <c:pt idx="54">
                  <c:v>4.9794079141712E-005</c:v>
                </c:pt>
                <c:pt idx="55">
                  <c:v>4.01822992852572E-005</c:v>
                </c:pt>
                <c:pt idx="56">
                  <c:v>4.97000539817218E-005</c:v>
                </c:pt>
                <c:pt idx="57">
                  <c:v>4.75411834480563E-005</c:v>
                </c:pt>
                <c:pt idx="58">
                  <c:v>5.38082532961816E-005</c:v>
                </c:pt>
                <c:pt idx="59">
                  <c:v>3.75414686575372E-005</c:v>
                </c:pt>
                <c:pt idx="60">
                  <c:v>4.32695399096374E-005</c:v>
                </c:pt>
                <c:pt idx="61">
                  <c:v>4.24720109879066E-005</c:v>
                </c:pt>
                <c:pt idx="62">
                  <c:v>3.39816889661072E-005</c:v>
                </c:pt>
                <c:pt idx="63">
                  <c:v>2.66320717121975E-005</c:v>
                </c:pt>
                <c:pt idx="64">
                  <c:v>2.44244287371891E-005</c:v>
                </c:pt>
                <c:pt idx="65">
                  <c:v>4.19491287634333E-005</c:v>
                </c:pt>
                <c:pt idx="66">
                  <c:v>3.66192247453448E-005</c:v>
                </c:pt>
                <c:pt idx="67">
                  <c:v>2.8737544186872E-005</c:v>
                </c:pt>
                <c:pt idx="68">
                  <c:v>3.35396519433437E-005</c:v>
                </c:pt>
                <c:pt idx="69">
                  <c:v>3.79564494425983E-005</c:v>
                </c:pt>
                <c:pt idx="70">
                  <c:v>4.89794067891016E-005</c:v>
                </c:pt>
                <c:pt idx="71">
                  <c:v>5.3757266243436E-005</c:v>
                </c:pt>
                <c:pt idx="72">
                  <c:v>4.30591733123972E-005</c:v>
                </c:pt>
                <c:pt idx="73">
                  <c:v>4.4670560237014E-005</c:v>
                </c:pt>
                <c:pt idx="74">
                  <c:v>3.94318991074147E-005</c:v>
                </c:pt>
                <c:pt idx="75">
                  <c:v>3.6020672408373E-005</c:v>
                </c:pt>
                <c:pt idx="76">
                  <c:v>4.03696367189933E-005</c:v>
                </c:pt>
                <c:pt idx="77">
                  <c:v>3.52633549336377E-005</c:v>
                </c:pt>
                <c:pt idx="78">
                  <c:v>3.96035019621397E-005</c:v>
                </c:pt>
                <c:pt idx="79">
                  <c:v>4.46605322146352E-005</c:v>
                </c:pt>
                <c:pt idx="80">
                  <c:v>5.1059769958647E-005</c:v>
                </c:pt>
                <c:pt idx="81">
                  <c:v>5.17503553148524E-005</c:v>
                </c:pt>
                <c:pt idx="82">
                  <c:v>4.80869802496829E-005</c:v>
                </c:pt>
                <c:pt idx="83">
                  <c:v>4.18669450705694E-005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daily!$J$7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square"/>
            <c:size val="3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daily!$C$18:$C$114</c:f>
              <c:numCache>
                <c:formatCode>0.000</c:formatCode>
                <c:ptCount val="97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xVal>
          <c:yVal>
            <c:numRef>
              <c:f>daily!$J$18:$J$114</c:f>
              <c:numCache>
                <c:formatCode>0.000000</c:formatCode>
                <c:ptCount val="97"/>
                <c:pt idx="3">
                  <c:v>2.8062640961099E-005</c:v>
                </c:pt>
                <c:pt idx="4">
                  <c:v>2.18800841262485E-005</c:v>
                </c:pt>
                <c:pt idx="5">
                  <c:v>2.92133141951402E-005</c:v>
                </c:pt>
                <c:pt idx="6">
                  <c:v>3.7457023873013E-005</c:v>
                </c:pt>
                <c:pt idx="7">
                  <c:v>2.22681302616411E-005</c:v>
                </c:pt>
                <c:pt idx="8">
                  <c:v>2.0667099776131E-005</c:v>
                </c:pt>
                <c:pt idx="9">
                  <c:v>2.35501219820326E-005</c:v>
                </c:pt>
                <c:pt idx="10">
                  <c:v>2.19563600958316E-005</c:v>
                </c:pt>
                <c:pt idx="11">
                  <c:v>1.77158463106011E-005</c:v>
                </c:pt>
                <c:pt idx="12">
                  <c:v>2.82972195116928E-005</c:v>
                </c:pt>
                <c:pt idx="13">
                  <c:v>2.86606917141332E-005</c:v>
                </c:pt>
                <c:pt idx="14">
                  <c:v>2.93211429374301E-005</c:v>
                </c:pt>
                <c:pt idx="15">
                  <c:v>3.08521544808063E-005</c:v>
                </c:pt>
                <c:pt idx="16">
                  <c:v>2.85924424949357E-005</c:v>
                </c:pt>
                <c:pt idx="17">
                  <c:v>4.97308586562218E-005</c:v>
                </c:pt>
                <c:pt idx="18">
                  <c:v>5.14417791808778E-005</c:v>
                </c:pt>
                <c:pt idx="19">
                  <c:v>4.26329660486561E-005</c:v>
                </c:pt>
                <c:pt idx="20">
                  <c:v>4.49609579529674E-005</c:v>
                </c:pt>
                <c:pt idx="21">
                  <c:v>4.78113047173821E-005</c:v>
                </c:pt>
                <c:pt idx="22">
                  <c:v>4.3533541557257E-005</c:v>
                </c:pt>
                <c:pt idx="23">
                  <c:v>3.75833286934162E-005</c:v>
                </c:pt>
                <c:pt idx="24">
                  <c:v>3.78375507819761E-005</c:v>
                </c:pt>
                <c:pt idx="25">
                  <c:v>3.04633014440901E-005</c:v>
                </c:pt>
                <c:pt idx="26">
                  <c:v>3.42184505885574E-005</c:v>
                </c:pt>
                <c:pt idx="27">
                  <c:v>3.10629165254716E-005</c:v>
                </c:pt>
                <c:pt idx="28">
                  <c:v>3.74355277022905E-005</c:v>
                </c:pt>
                <c:pt idx="29">
                  <c:v>3.6037216616433E-005</c:v>
                </c:pt>
                <c:pt idx="30">
                  <c:v>3.65558405446221E-005</c:v>
                </c:pt>
                <c:pt idx="31">
                  <c:v>3.6500089649343E-005</c:v>
                </c:pt>
                <c:pt idx="32">
                  <c:v>3.19851327499743E-005</c:v>
                </c:pt>
                <c:pt idx="33">
                  <c:v>3.54505441888731E-005</c:v>
                </c:pt>
                <c:pt idx="34">
                  <c:v>2.9120559114735E-005</c:v>
                </c:pt>
                <c:pt idx="35">
                  <c:v>3.23058126967718E-005</c:v>
                </c:pt>
                <c:pt idx="36">
                  <c:v>3.11707192613382E-005</c:v>
                </c:pt>
                <c:pt idx="37">
                  <c:v>3.36959661114855E-005</c:v>
                </c:pt>
                <c:pt idx="38">
                  <c:v>4.03442711135019E-005</c:v>
                </c:pt>
                <c:pt idx="39">
                  <c:v>4.49687863718125E-005</c:v>
                </c:pt>
                <c:pt idx="40">
                  <c:v>4.95155505593919E-005</c:v>
                </c:pt>
                <c:pt idx="41">
                  <c:v>4.92059640324625E-005</c:v>
                </c:pt>
                <c:pt idx="42">
                  <c:v>4.75001357146735E-005</c:v>
                </c:pt>
                <c:pt idx="43">
                  <c:v>3.78599286366277E-005</c:v>
                </c:pt>
                <c:pt idx="44">
                  <c:v>4.11514372892244E-005</c:v>
                </c:pt>
                <c:pt idx="45">
                  <c:v>3.67710263414261E-005</c:v>
                </c:pt>
                <c:pt idx="46">
                  <c:v>3.74703863075956E-005</c:v>
                </c:pt>
                <c:pt idx="47">
                  <c:v>4.25590878498753E-005</c:v>
                </c:pt>
                <c:pt idx="48">
                  <c:v>3.52560712940689E-005</c:v>
                </c:pt>
                <c:pt idx="49">
                  <c:v>4.23738651930623E-005</c:v>
                </c:pt>
                <c:pt idx="50">
                  <c:v>3.74718960779415E-005</c:v>
                </c:pt>
                <c:pt idx="51">
                  <c:v>4.2808624163931E-005</c:v>
                </c:pt>
                <c:pt idx="52">
                  <c:v>3.94120647285204E-005</c:v>
                </c:pt>
                <c:pt idx="53">
                  <c:v>3.90441012419743E-005</c:v>
                </c:pt>
                <c:pt idx="54">
                  <c:v>3.69889171956852E-005</c:v>
                </c:pt>
                <c:pt idx="55">
                  <c:v>3.34239201670759E-005</c:v>
                </c:pt>
                <c:pt idx="56">
                  <c:v>3.29106147702839E-005</c:v>
                </c:pt>
                <c:pt idx="57">
                  <c:v>4.39484338376305E-005</c:v>
                </c:pt>
                <c:pt idx="58">
                  <c:v>3.58560022947841E-005</c:v>
                </c:pt>
                <c:pt idx="59">
                  <c:v>4.13419635515591E-005</c:v>
                </c:pt>
                <c:pt idx="60">
                  <c:v>3.96510705789056E-005</c:v>
                </c:pt>
                <c:pt idx="61">
                  <c:v>5.04032258064516E-005</c:v>
                </c:pt>
                <c:pt idx="62">
                  <c:v>4.54270139309509E-005</c:v>
                </c:pt>
                <c:pt idx="63">
                  <c:v>4.14806452164691E-005</c:v>
                </c:pt>
                <c:pt idx="64">
                  <c:v>4.31789075442657E-005</c:v>
                </c:pt>
                <c:pt idx="65">
                  <c:v>3.89933747036742E-005</c:v>
                </c:pt>
                <c:pt idx="66">
                  <c:v>3.66032210834553E-005</c:v>
                </c:pt>
                <c:pt idx="67">
                  <c:v>2.70855904658722E-005</c:v>
                </c:pt>
                <c:pt idx="68">
                  <c:v>2.21180746514909E-005</c:v>
                </c:pt>
                <c:pt idx="69">
                  <c:v>3.06133808304575E-005</c:v>
                </c:pt>
                <c:pt idx="70">
                  <c:v>3.79714110284059E-005</c:v>
                </c:pt>
                <c:pt idx="71">
                  <c:v>3.21687022454286E-005</c:v>
                </c:pt>
                <c:pt idx="72">
                  <c:v>3.38753387533875E-005</c:v>
                </c:pt>
                <c:pt idx="73">
                  <c:v>2.79699522798365E-005</c:v>
                </c:pt>
                <c:pt idx="74">
                  <c:v>4.33776749566223E-005</c:v>
                </c:pt>
                <c:pt idx="75">
                  <c:v>4.12980990245061E-005</c:v>
                </c:pt>
                <c:pt idx="76">
                  <c:v>3.63861786426608E-005</c:v>
                </c:pt>
                <c:pt idx="77">
                  <c:v>3.73193101950179E-005</c:v>
                </c:pt>
                <c:pt idx="78">
                  <c:v>2.17296827466319E-005</c:v>
                </c:pt>
                <c:pt idx="79">
                  <c:v>2.66282181175798E-005</c:v>
                </c:pt>
                <c:pt idx="80">
                  <c:v>2.97504696711822E-005</c:v>
                </c:pt>
                <c:pt idx="81">
                  <c:v>3.104530749511E-005</c:v>
                </c:pt>
                <c:pt idx="82">
                  <c:v>3.28170123391966E-005</c:v>
                </c:pt>
                <c:pt idx="83">
                  <c:v>3.67555271990901E-005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"Max.0041"</c:f>
              <c:strCache>
                <c:ptCount val="1"/>
                <c:pt idx="0">
                  <c:v>Max.0041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800080"/>
              </a:solidFill>
              <a:custDash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daily!$B$1:$C$1</c:f>
              <c:numCache>
                <c:formatCode>General</c:formatCode>
                <c:ptCount val="2"/>
                <c:pt idx="0">
                  <c:v>0</c:v>
                </c:pt>
                <c:pt idx="1">
                  <c:v>1.64378425324675</c:v>
                </c:pt>
              </c:numCache>
            </c:numRef>
          </c:xVal>
          <c:yVal>
            <c:numRef>
              <c:f>daily!$A$1:$A$2</c:f>
              <c:numCache>
                <c:formatCode>General</c:formatCode>
                <c:ptCount val="2"/>
                <c:pt idx="0">
                  <c:v>4.1E-005</c:v>
                </c:pt>
                <c:pt idx="1">
                  <c:v>4.1E-005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daily!$AC$7</c:f>
              <c:strCache>
                <c:ptCount val="1"/>
                <c:pt idx="0">
                  <c:v>obs.limit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daily!$AA$18:$AA$22</c:f>
              <c:numCache>
                <c:formatCode>0.000</c:formatCode>
                <c:ptCount val="5"/>
                <c:pt idx="0">
                  <c:v>1.036065</c:v>
                </c:pt>
                <c:pt idx="1">
                  <c:v>1.24828146258503</c:v>
                </c:pt>
                <c:pt idx="2">
                  <c:v>1.32342203898051</c:v>
                </c:pt>
                <c:pt idx="3">
                  <c:v>1.379829390681</c:v>
                </c:pt>
                <c:pt idx="4">
                  <c:v>1.38485069444444</c:v>
                </c:pt>
              </c:numCache>
            </c:numRef>
          </c:xVal>
          <c:yVal>
            <c:numRef>
              <c:f>daily!$AC$18:$AC$22</c:f>
              <c:numCache>
                <c:formatCode>0.000000</c:formatCode>
                <c:ptCount val="5"/>
                <c:pt idx="0">
                  <c:v>1.76121832767893E-005</c:v>
                </c:pt>
                <c:pt idx="1">
                  <c:v>2.66320717121975E-005</c:v>
                </c:pt>
                <c:pt idx="2">
                  <c:v>3.6020672408373E-005</c:v>
                </c:pt>
                <c:pt idx="3">
                  <c:v>4.5410826854081E-005</c:v>
                </c:pt>
                <c:pt idx="4">
                  <c:v>4.81027306894797E-005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daily!$AC$24</c:f>
              <c:strCache>
                <c:ptCount val="1"/>
                <c:pt idx="0">
                  <c:v>used.90%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ff0000"/>
              </a:solidFill>
              <a:custDash>
                <a:ds d="385900" sp="385900"/>
                <a:ds d="385900" sp="385900"/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  <a:ds d="385900" sp="385900"/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daily!$AA$25:$AA$31</c:f>
              <c:numCache>
                <c:formatCode>0.000</c:formatCode>
                <c:ptCount val="7"/>
                <c:pt idx="0">
                  <c:v>0.972397849462366</c:v>
                </c:pt>
                <c:pt idx="1">
                  <c:v>1.09121733333333</c:v>
                </c:pt>
                <c:pt idx="2">
                  <c:v>1.26099126344086</c:v>
                </c:pt>
                <c:pt idx="3">
                  <c:v>1.31282608695652</c:v>
                </c:pt>
                <c:pt idx="4">
                  <c:v>1.32014015151515</c:v>
                </c:pt>
                <c:pt idx="5">
                  <c:v>1.34355431547619</c:v>
                </c:pt>
                <c:pt idx="6">
                  <c:v>1.3579519379845</c:v>
                </c:pt>
              </c:numCache>
            </c:numRef>
          </c:xVal>
          <c:yVal>
            <c:numRef>
              <c:f>daily!$AC$25:$AC$31</c:f>
              <c:numCache>
                <c:formatCode>0.000000</c:formatCode>
                <c:ptCount val="7"/>
                <c:pt idx="0">
                  <c:v>1.94121725476319E-005</c:v>
                </c:pt>
                <c:pt idx="1">
                  <c:v>2.40421706400069E-005</c:v>
                </c:pt>
                <c:pt idx="2">
                  <c:v>3.39816889661072E-005</c:v>
                </c:pt>
                <c:pt idx="3">
                  <c:v>3.94318991074147E-005</c:v>
                </c:pt>
                <c:pt idx="4">
                  <c:v>4.01822992852572E-005</c:v>
                </c:pt>
                <c:pt idx="5">
                  <c:v>4.44512307163225E-005</c:v>
                </c:pt>
                <c:pt idx="6">
                  <c:v>4.8072098999976E-005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daily!$AC$33</c:f>
              <c:strCache>
                <c:ptCount val="1"/>
                <c:pt idx="0">
                  <c:v>fuel.100%</c:v>
                </c:pt>
              </c:strCache>
            </c:strRef>
          </c:tx>
          <c:spPr>
            <a:solidFill>
              <a:srgbClr val="800000"/>
            </a:solidFill>
            <a:ln w="0">
              <a:solidFill>
                <a:srgbClr val="800000"/>
              </a:solidFill>
              <a:custDash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daily!$AA$34:$AA$40</c:f>
              <c:numCache>
                <c:formatCode>0.000</c:formatCode>
                <c:ptCount val="7"/>
                <c:pt idx="0">
                  <c:v>0.964401290322581</c:v>
                </c:pt>
                <c:pt idx="1">
                  <c:v>1.03055769230769</c:v>
                </c:pt>
                <c:pt idx="2">
                  <c:v>1.27960910815939</c:v>
                </c:pt>
                <c:pt idx="3">
                  <c:v>1.32342203898051</c:v>
                </c:pt>
                <c:pt idx="5">
                  <c:v>1.379829390681</c:v>
                </c:pt>
                <c:pt idx="6">
                  <c:v>1.38485069444444</c:v>
                </c:pt>
              </c:numCache>
            </c:numRef>
          </c:xVal>
          <c:yVal>
            <c:numRef>
              <c:f>daily!$AC$34:$AC$40</c:f>
              <c:numCache>
                <c:formatCode>0.000000</c:formatCode>
                <c:ptCount val="7"/>
                <c:pt idx="0">
                  <c:v>2.52739456604198E-005</c:v>
                </c:pt>
                <c:pt idx="1">
                  <c:v>2.62584037768945E-005</c:v>
                </c:pt>
                <c:pt idx="2">
                  <c:v>3.70315961646257E-005</c:v>
                </c:pt>
                <c:pt idx="3">
                  <c:v>3.86624131592885E-005</c:v>
                </c:pt>
                <c:pt idx="5">
                  <c:v>4.64497584761921E-005</c:v>
                </c:pt>
                <c:pt idx="6">
                  <c:v>4.95261573023566E-005</c:v>
                </c:pt>
              </c:numCache>
            </c:numRef>
          </c:yVal>
          <c:smooth val="0"/>
        </c:ser>
        <c:axId val="6691593"/>
        <c:axId val="18575578"/>
      </c:scatterChart>
      <c:valAx>
        <c:axId val="66915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Throughput  in  e9 dt-mi/day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75578"/>
        <c:crossesAt val="-100000"/>
        <c:crossBetween val="midCat"/>
        <c:majorUnit val="0.1"/>
      </c:valAx>
      <c:valAx>
        <c:axId val="18575578"/>
        <c:scaling>
          <c:orientation val="minMax"/>
          <c:max val="6E-005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Used=Fuel+Loss in  %/mile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%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1593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6859007709407"/>
          <c:y val="0.4407925253462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uFillTx/>
                <a:latin typeface="Arial"/>
              </a:rPr>
              <a:t>Comparison of PGT Fuel vs. Throughput </a:t>
            </a:r>
            <a:r>
              <a:rPr b="1" sz="1075" strike="noStrike" u="none">
                <a:uFillTx/>
                <a:latin typeface="Arial"/>
              </a:rPr>
              <a:t>
(actual fuel-solid diamonds)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12517394473527"/>
          <c:w val="0.814879629191695"/>
          <c:h val="0.83307931879928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daily!$N$7</c:f>
              <c:strCache>
                <c:ptCount val="1"/>
                <c:pt idx="0">
                  <c:v>act.fuel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daily!$T$18:$T$114</c:f>
              <c:numCache>
                <c:formatCode>0.000</c:formatCode>
                <c:ptCount val="97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xVal>
          <c:yVal>
            <c:numRef>
              <c:f>daily!$N$18:$N$114</c:f>
              <c:numCache>
                <c:formatCode>0.0</c:formatCode>
                <c:ptCount val="97"/>
                <c:pt idx="0">
                  <c:v>26.1025666666667</c:v>
                </c:pt>
                <c:pt idx="1">
                  <c:v>29.3289677419355</c:v>
                </c:pt>
                <c:pt idx="2">
                  <c:v>29.7138064516129</c:v>
                </c:pt>
                <c:pt idx="3">
                  <c:v>31.8445</c:v>
                </c:pt>
                <c:pt idx="4">
                  <c:v>25.2742258064516</c:v>
                </c:pt>
                <c:pt idx="5">
                  <c:v>27.0608</c:v>
                </c:pt>
                <c:pt idx="6">
                  <c:v>24.3742258064516</c:v>
                </c:pt>
                <c:pt idx="7">
                  <c:v>28.4310666666667</c:v>
                </c:pt>
                <c:pt idx="8">
                  <c:v>38.9326129032258</c:v>
                </c:pt>
                <c:pt idx="9">
                  <c:v>41.5963870967742</c:v>
                </c:pt>
                <c:pt idx="10">
                  <c:v>37.6551</c:v>
                </c:pt>
                <c:pt idx="11">
                  <c:v>39.0286774193548</c:v>
                </c:pt>
                <c:pt idx="12">
                  <c:v>41.6146666666667</c:v>
                </c:pt>
                <c:pt idx="13">
                  <c:v>49.8972580645161</c:v>
                </c:pt>
                <c:pt idx="14">
                  <c:v>48.3485806451613</c:v>
                </c:pt>
                <c:pt idx="15">
                  <c:v>42.7329285714286</c:v>
                </c:pt>
                <c:pt idx="16">
                  <c:v>51.4991290322581</c:v>
                </c:pt>
                <c:pt idx="17">
                  <c:v>45.1138</c:v>
                </c:pt>
                <c:pt idx="18">
                  <c:v>39.2468387096774</c:v>
                </c:pt>
                <c:pt idx="19">
                  <c:v>40.0669666666667</c:v>
                </c:pt>
                <c:pt idx="20">
                  <c:v>42.6071290322581</c:v>
                </c:pt>
                <c:pt idx="21">
                  <c:v>47.6471290322581</c:v>
                </c:pt>
                <c:pt idx="22">
                  <c:v>47.3285666666667</c:v>
                </c:pt>
                <c:pt idx="23">
                  <c:v>46.5763225806452</c:v>
                </c:pt>
                <c:pt idx="24">
                  <c:v>46.9672</c:v>
                </c:pt>
                <c:pt idx="25">
                  <c:v>53.0790322580645</c:v>
                </c:pt>
                <c:pt idx="26">
                  <c:v>46.7697741935484</c:v>
                </c:pt>
                <c:pt idx="27">
                  <c:v>38.990724137931</c:v>
                </c:pt>
                <c:pt idx="28">
                  <c:v>34.6343870967742</c:v>
                </c:pt>
                <c:pt idx="29">
                  <c:v>35.8238</c:v>
                </c:pt>
                <c:pt idx="30">
                  <c:v>43.5401290322581</c:v>
                </c:pt>
                <c:pt idx="31">
                  <c:v>50.5952666666667</c:v>
                </c:pt>
                <c:pt idx="32">
                  <c:v>52.6807741935484</c:v>
                </c:pt>
                <c:pt idx="33">
                  <c:v>51.9802580645161</c:v>
                </c:pt>
                <c:pt idx="34">
                  <c:v>56.3888333333333</c:v>
                </c:pt>
                <c:pt idx="35">
                  <c:v>55.4519677419355</c:v>
                </c:pt>
                <c:pt idx="36">
                  <c:v>65.1917666666667</c:v>
                </c:pt>
                <c:pt idx="37">
                  <c:v>59.907064516129</c:v>
                </c:pt>
                <c:pt idx="38">
                  <c:v>50.6221612903226</c:v>
                </c:pt>
                <c:pt idx="39">
                  <c:v>46.5868571428571</c:v>
                </c:pt>
                <c:pt idx="40">
                  <c:v>48.7270322580645</c:v>
                </c:pt>
                <c:pt idx="41">
                  <c:v>48.6817</c:v>
                </c:pt>
                <c:pt idx="42">
                  <c:v>46.932064516129</c:v>
                </c:pt>
                <c:pt idx="43">
                  <c:v>54.1994666666667</c:v>
                </c:pt>
                <c:pt idx="44">
                  <c:v>59.0307741935484</c:v>
                </c:pt>
                <c:pt idx="45">
                  <c:v>61.1037419354839</c:v>
                </c:pt>
                <c:pt idx="46">
                  <c:v>66.3942</c:v>
                </c:pt>
                <c:pt idx="47">
                  <c:v>66.8804516129032</c:v>
                </c:pt>
                <c:pt idx="48">
                  <c:v>68.5863333333333</c:v>
                </c:pt>
                <c:pt idx="49">
                  <c:v>62.2303225806452</c:v>
                </c:pt>
                <c:pt idx="50">
                  <c:v>57.434935483871</c:v>
                </c:pt>
                <c:pt idx="51">
                  <c:v>60.0907142857143</c:v>
                </c:pt>
                <c:pt idx="52">
                  <c:v>64.0927419354839</c:v>
                </c:pt>
                <c:pt idx="53">
                  <c:v>64.7378333333333</c:v>
                </c:pt>
                <c:pt idx="54">
                  <c:v>57.6197741935484</c:v>
                </c:pt>
                <c:pt idx="55">
                  <c:v>54.6791333333333</c:v>
                </c:pt>
                <c:pt idx="56">
                  <c:v>62.1944838709677</c:v>
                </c:pt>
                <c:pt idx="57">
                  <c:v>62.5502258064516</c:v>
                </c:pt>
                <c:pt idx="58">
                  <c:v>64.6477333333333</c:v>
                </c:pt>
                <c:pt idx="59">
                  <c:v>59.8452903225806</c:v>
                </c:pt>
                <c:pt idx="60">
                  <c:v>59.755</c:v>
                </c:pt>
                <c:pt idx="61">
                  <c:v>58.43</c:v>
                </c:pt>
                <c:pt idx="62">
                  <c:v>47.922</c:v>
                </c:pt>
                <c:pt idx="63">
                  <c:v>45.4049642857143</c:v>
                </c:pt>
                <c:pt idx="64">
                  <c:v>38.2479032258064</c:v>
                </c:pt>
                <c:pt idx="65">
                  <c:v>50.577</c:v>
                </c:pt>
                <c:pt idx="66">
                  <c:v>45.71</c:v>
                </c:pt>
                <c:pt idx="67">
                  <c:v>35.3135333333333</c:v>
                </c:pt>
                <c:pt idx="68">
                  <c:v>42.7728709677419</c:v>
                </c:pt>
                <c:pt idx="69">
                  <c:v>48.5982580645161</c:v>
                </c:pt>
                <c:pt idx="70">
                  <c:v>60.2988</c:v>
                </c:pt>
                <c:pt idx="71">
                  <c:v>61.9134838709677</c:v>
                </c:pt>
                <c:pt idx="72">
                  <c:v>55.3167333333333</c:v>
                </c:pt>
                <c:pt idx="73">
                  <c:v>62.3829677419355</c:v>
                </c:pt>
                <c:pt idx="74">
                  <c:v>57.5182258064516</c:v>
                </c:pt>
                <c:pt idx="75">
                  <c:v>51.1666896551724</c:v>
                </c:pt>
                <c:pt idx="76">
                  <c:v>47.3859677419355</c:v>
                </c:pt>
                <c:pt idx="77">
                  <c:v>41.1849</c:v>
                </c:pt>
                <c:pt idx="78">
                  <c:v>49.6490967741936</c:v>
                </c:pt>
                <c:pt idx="79">
                  <c:v>56.1821666666667</c:v>
                </c:pt>
                <c:pt idx="80">
                  <c:v>62.4288709677419</c:v>
                </c:pt>
                <c:pt idx="81">
                  <c:v>57.1818709677419</c:v>
                </c:pt>
                <c:pt idx="82">
                  <c:v>57.0217666666667</c:v>
                </c:pt>
                <c:pt idx="83">
                  <c:v>56.3612580645161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regr!$D$7</c:f>
              <c:strCache>
                <c:ptCount val="1"/>
                <c:pt idx="0">
                  <c:v>regr.fuel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regr!$B$1:$B$2</c:f>
              <c:numCache>
                <c:formatCode>General</c:formatCode>
                <c:ptCount val="2"/>
                <c:pt idx="0">
                  <c:v>0</c:v>
                </c:pt>
                <c:pt idx="1">
                  <c:v>1.45</c:v>
                </c:pt>
              </c:numCache>
            </c:numRef>
          </c:xVal>
          <c:yVal>
            <c:numRef>
              <c:f>regr!$D$1:$D$2</c:f>
              <c:numCache>
                <c:formatCode>0.0</c:formatCode>
                <c:ptCount val="2"/>
                <c:pt idx="0">
                  <c:v>-73.6267193023452</c:v>
                </c:pt>
                <c:pt idx="1">
                  <c:v>73.169918351232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daily!$Y$3</c:f>
              <c:strCache>
                <c:ptCount val="1"/>
                <c:pt idx="0">
                  <c:v>max.0041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custDash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daily!$X$1:$X$2</c:f>
              <c:numCache>
                <c:formatCode>0.000</c:formatCode>
                <c:ptCount val="2"/>
                <c:pt idx="0">
                  <c:v>1.64378425324675</c:v>
                </c:pt>
                <c:pt idx="1">
                  <c:v>0</c:v>
                </c:pt>
              </c:numCache>
            </c:numRef>
          </c:xVal>
          <c:yVal>
            <c:numRef>
              <c:f>daily!$Y$1:$Y$2</c:f>
              <c:numCache>
                <c:formatCode>0.0</c:formatCode>
                <c:ptCount val="2"/>
                <c:pt idx="0">
                  <c:v>67.3951543831169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daily!$AB$33</c:f>
              <c:strCache>
                <c:ptCount val="1"/>
                <c:pt idx="0">
                  <c:v>fuel.100%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ff00ff"/>
              </a:solidFill>
              <a:custDash>
                <a:ds d="1543599" sp="3859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1543599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daily!$AA$34:$AA$40</c:f>
              <c:numCache>
                <c:formatCode>0.000</c:formatCode>
                <c:ptCount val="7"/>
                <c:pt idx="0">
                  <c:v>0.964401290322581</c:v>
                </c:pt>
                <c:pt idx="1">
                  <c:v>1.03055769230769</c:v>
                </c:pt>
                <c:pt idx="2">
                  <c:v>1.27960910815939</c:v>
                </c:pt>
                <c:pt idx="3">
                  <c:v>1.32342203898051</c:v>
                </c:pt>
                <c:pt idx="5">
                  <c:v>1.379829390681</c:v>
                </c:pt>
                <c:pt idx="6">
                  <c:v>1.38485069444444</c:v>
                </c:pt>
              </c:numCache>
            </c:numRef>
          </c:xVal>
          <c:yVal>
            <c:numRef>
              <c:f>daily!$AB$34:$AB$40</c:f>
              <c:numCache>
                <c:formatCode>0.0</c:formatCode>
                <c:ptCount val="7"/>
                <c:pt idx="0">
                  <c:v>24.3742258064516</c:v>
                </c:pt>
                <c:pt idx="1">
                  <c:v>27.0608</c:v>
                </c:pt>
                <c:pt idx="2">
                  <c:v>47.3859677419355</c:v>
                </c:pt>
                <c:pt idx="3">
                  <c:v>51.1666896551724</c:v>
                </c:pt>
                <c:pt idx="5">
                  <c:v>64.0927419354839</c:v>
                </c:pt>
                <c:pt idx="6">
                  <c:v>68.5863333333333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daily!$AB$7</c:f>
              <c:strCache>
                <c:ptCount val="1"/>
                <c:pt idx="0">
                  <c:v>obs.limit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custDash>
                <a:ds d="605714" sp="151429"/>
              </a:custDash>
              <a:round/>
            </a:ln>
          </c:spPr>
          <c:marker>
            <c:symbol val="triangle"/>
            <c:size val="4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daily!$AA$18:$AA$22</c:f>
              <c:numCache>
                <c:formatCode>0.000</c:formatCode>
                <c:ptCount val="5"/>
                <c:pt idx="0">
                  <c:v>1.036065</c:v>
                </c:pt>
                <c:pt idx="1">
                  <c:v>1.24828146258503</c:v>
                </c:pt>
                <c:pt idx="2">
                  <c:v>1.32342203898051</c:v>
                </c:pt>
                <c:pt idx="3">
                  <c:v>1.379829390681</c:v>
                </c:pt>
                <c:pt idx="4">
                  <c:v>1.38485069444444</c:v>
                </c:pt>
              </c:numCache>
            </c:numRef>
          </c:xVal>
          <c:yVal>
            <c:numRef>
              <c:f>daily!$AB$18:$AB$22</c:f>
              <c:numCache>
                <c:formatCode>0.0</c:formatCode>
                <c:ptCount val="5"/>
                <c:pt idx="0">
                  <c:v>18.2473666666667</c:v>
                </c:pt>
                <c:pt idx="1">
                  <c:v>33.2443214285714</c:v>
                </c:pt>
                <c:pt idx="2">
                  <c:v>47.6705517241379</c:v>
                </c:pt>
                <c:pt idx="3">
                  <c:v>62.6591935483871</c:v>
                </c:pt>
                <c:pt idx="4">
                  <c:v>66.6151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daily!$AB$24</c:f>
              <c:strCache>
                <c:ptCount val="1"/>
                <c:pt idx="0">
                  <c:v>used.90%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x"/>
            <c:size val="2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daily!$AA$25:$AA$31</c:f>
              <c:numCache>
                <c:formatCode>0.000</c:formatCode>
                <c:ptCount val="7"/>
                <c:pt idx="0">
                  <c:v>0.972397849462366</c:v>
                </c:pt>
                <c:pt idx="1">
                  <c:v>1.09121733333333</c:v>
                </c:pt>
                <c:pt idx="2">
                  <c:v>1.26099126344086</c:v>
                </c:pt>
                <c:pt idx="3">
                  <c:v>1.31282608695652</c:v>
                </c:pt>
                <c:pt idx="4">
                  <c:v>1.32014015151515</c:v>
                </c:pt>
                <c:pt idx="5">
                  <c:v>1.34355431547619</c:v>
                </c:pt>
                <c:pt idx="6">
                  <c:v>1.3579519379845</c:v>
                </c:pt>
              </c:numCache>
            </c:numRef>
          </c:xVal>
          <c:yVal>
            <c:numRef>
              <c:f>daily!$AB$25:$AB$31</c:f>
              <c:numCache>
                <c:formatCode>0.0</c:formatCode>
                <c:ptCount val="7"/>
                <c:pt idx="0">
                  <c:v>18.8763548387097</c:v>
                </c:pt>
                <c:pt idx="1">
                  <c:v>26.2352333333333</c:v>
                </c:pt>
                <c:pt idx="2">
                  <c:v>42.8506129032258</c:v>
                </c:pt>
                <c:pt idx="3">
                  <c:v>51.7672258064516</c:v>
                </c:pt>
                <c:pt idx="4">
                  <c:v>53.0462666666667</c:v>
                </c:pt>
                <c:pt idx="5">
                  <c:v>59.7226428571429</c:v>
                </c:pt>
                <c:pt idx="6">
                  <c:v>65.2796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"New.Ests"</c:f>
              <c:strCache>
                <c:ptCount val="1"/>
                <c:pt idx="0">
                  <c:v>New.Ests</c:v>
                </c:pt>
              </c:strCache>
            </c:strRef>
          </c:tx>
          <c:spPr>
            <a:solidFill>
              <a:srgbClr val="ffffff"/>
            </a:solidFill>
            <a:ln w="0">
              <a:noFill/>
            </a:ln>
          </c:spPr>
          <c:marker>
            <c:symbol val="x"/>
            <c:size val="9"/>
            <c:spPr>
              <a:solidFill>
                <a:srgbClr val="ff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ex9!$H$89:$H$94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ex9!$I$89:$I$94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"New.Fuels"</c:f>
              <c:strCache>
                <c:ptCount val="1"/>
                <c:pt idx="0">
                  <c:v>New.Fuels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ex8!$L$89:$L$94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ex8!$M$89:$M$94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axId val="69735014"/>
        <c:axId val="29027275"/>
      </c:scatterChart>
      <c:valAx>
        <c:axId val="69735014"/>
        <c:scaling>
          <c:orientation val="minMax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Throughput  in  e9 dt-mi/day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27275"/>
        <c:crossesAt val="-100000"/>
        <c:crossBetween val="midCat"/>
        <c:majorUnit val="0.1"/>
      </c:valAx>
      <c:valAx>
        <c:axId val="29027275"/>
        <c:scaling>
          <c:orientation val="minMax"/>
          <c:max val="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Fuel  in  Mdt/day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35014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2223903892541"/>
          <c:y val="0.4054734610032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daily!$T$7</c:f>
              <c:strCache>
                <c:ptCount val="1"/>
                <c:pt idx="0">
                  <c:v>act.thrpt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daily!$T$18:$T$117</c:f>
              <c:numCache>
                <c:formatCode>0.000</c:formatCode>
                <c:ptCount val="100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daily!$C$7</c:f>
              <c:strCache>
                <c:ptCount val="1"/>
                <c:pt idx="0">
                  <c:v>Est.Thrpt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custDash>
                <a:ds d="300000" sp="300000"/>
              </a:custDash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daily!$C$18:$C$117</c:f>
              <c:numCache>
                <c:formatCode>0.000</c:formatCode>
                <c:ptCount val="100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053634"/>
        <c:axId val="18725744"/>
      </c:lineChart>
      <c:catAx>
        <c:axId val="13053634"/>
        <c:scaling>
          <c:orientation val="minMax"/>
        </c:scaling>
        <c:delete val="0"/>
        <c:axPos val="b"/>
        <c:numFmt formatCode="[$-409]mmm\-yy" sourceLinked="1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25744"/>
        <c:crossesAt val="0"/>
        <c:auto val="1"/>
        <c:lblAlgn val="ctr"/>
        <c:lblOffset val="100"/>
        <c:noMultiLvlLbl val="0"/>
      </c:catAx>
      <c:valAx>
        <c:axId val="18725744"/>
        <c:scaling>
          <c:orientation val="minMax"/>
          <c:min val="0.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throughput in e9 dt.mi/d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363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daily!$T$7</c:f>
              <c:strCache>
                <c:ptCount val="1"/>
                <c:pt idx="0">
                  <c:v>act.thrpt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80"/>
              </a:solidFill>
              <a:custDash>
                <a:ds d="385900" sp="385900"/>
              </a:custDash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Pt>
            <c:idx val="2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Pt>
            <c:idx val="14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Pt>
            <c:idx val="26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Pt>
            <c:idx val="38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Pt>
            <c:idx val="50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Pt>
            <c:idx val="62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Pt>
            <c:idx val="74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daily!$Z$18:$Z$117</c:f>
              <c:numCache>
                <c:formatCode>General</c:formatCode>
                <c:ptCount val="100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  <c:pt idx="55">
                  <c:v>6</c:v>
                </c:pt>
                <c:pt idx="56">
                  <c:v>7</c:v>
                </c:pt>
                <c:pt idx="57">
                  <c:v>8</c:v>
                </c:pt>
                <c:pt idx="58">
                  <c:v>9</c:v>
                </c:pt>
                <c:pt idx="59">
                  <c:v>10</c:v>
                </c:pt>
                <c:pt idx="60">
                  <c:v>11</c:v>
                </c:pt>
                <c:pt idx="61">
                  <c:v>12</c:v>
                </c:pt>
                <c:pt idx="62">
                  <c:v>1</c:v>
                </c:pt>
                <c:pt idx="63">
                  <c:v>2</c:v>
                </c:pt>
                <c:pt idx="64">
                  <c:v>3</c:v>
                </c:pt>
                <c:pt idx="65">
                  <c:v>4</c:v>
                </c:pt>
                <c:pt idx="66">
                  <c:v>5</c:v>
                </c:pt>
                <c:pt idx="67">
                  <c:v>6</c:v>
                </c:pt>
                <c:pt idx="68">
                  <c:v>7</c:v>
                </c:pt>
                <c:pt idx="69">
                  <c:v>8</c:v>
                </c:pt>
                <c:pt idx="70">
                  <c:v>9</c:v>
                </c:pt>
                <c:pt idx="71">
                  <c:v>10</c:v>
                </c:pt>
                <c:pt idx="72">
                  <c:v>11</c:v>
                </c:pt>
                <c:pt idx="73">
                  <c:v>12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4</c:v>
                </c:pt>
                <c:pt idx="78">
                  <c:v>5</c:v>
                </c:pt>
                <c:pt idx="79">
                  <c:v>6</c:v>
                </c:pt>
                <c:pt idx="80">
                  <c:v>7</c:v>
                </c:pt>
                <c:pt idx="81">
                  <c:v>8</c:v>
                </c:pt>
                <c:pt idx="82">
                  <c:v>9</c:v>
                </c:pt>
                <c:pt idx="83">
                  <c:v>10</c:v>
                </c:pt>
                <c:pt idx="84">
                  <c:v>11</c:v>
                </c:pt>
                <c:pt idx="85">
                  <c:v>12</c:v>
                </c:pt>
                <c:pt idx="86">
                  <c:v>1</c:v>
                </c:pt>
                <c:pt idx="87">
                  <c:v>2</c:v>
                </c:pt>
                <c:pt idx="88">
                  <c:v>3</c:v>
                </c:pt>
                <c:pt idx="89">
                  <c:v>4</c:v>
                </c:pt>
                <c:pt idx="90">
                  <c:v>5</c:v>
                </c:pt>
                <c:pt idx="91">
                  <c:v>6</c:v>
                </c:pt>
                <c:pt idx="92">
                  <c:v>7</c:v>
                </c:pt>
                <c:pt idx="93">
                  <c:v>8</c:v>
                </c:pt>
                <c:pt idx="94">
                  <c:v>9</c:v>
                </c:pt>
                <c:pt idx="95">
                  <c:v>10</c:v>
                </c:pt>
                <c:pt idx="96">
                  <c:v>11</c:v>
                </c:pt>
                <c:pt idx="97">
                  <c:v>12</c:v>
                </c:pt>
                <c:pt idx="98">
                  <c:v>1</c:v>
                </c:pt>
              </c:numCache>
            </c:numRef>
          </c:xVal>
          <c:yVal>
            <c:numRef>
              <c:f>daily!$T$18:$T$117</c:f>
              <c:numCache>
                <c:formatCode>0.000</c:formatCode>
                <c:ptCount val="100"/>
                <c:pt idx="0">
                  <c:v>0.979253658536585</c:v>
                </c:pt>
                <c:pt idx="1">
                  <c:v>0.993378607809847</c:v>
                </c:pt>
                <c:pt idx="2">
                  <c:v>1.01612903225806</c:v>
                </c:pt>
                <c:pt idx="3">
                  <c:v>1.03790322580645</c:v>
                </c:pt>
                <c:pt idx="4">
                  <c:v>0.972397849462366</c:v>
                </c:pt>
                <c:pt idx="5">
                  <c:v>1.03055769230769</c:v>
                </c:pt>
                <c:pt idx="6">
                  <c:v>0.964401290322581</c:v>
                </c:pt>
                <c:pt idx="7">
                  <c:v>1.036065</c:v>
                </c:pt>
                <c:pt idx="8">
                  <c:v>1.15752822580645</c:v>
                </c:pt>
                <c:pt idx="9">
                  <c:v>1.1471917562724</c:v>
                </c:pt>
                <c:pt idx="10">
                  <c:v>1.09121733333333</c:v>
                </c:pt>
                <c:pt idx="11">
                  <c:v>1.02647419354839</c:v>
                </c:pt>
                <c:pt idx="12">
                  <c:v>1.13581351351351</c:v>
                </c:pt>
                <c:pt idx="13">
                  <c:v>1.21419965126417</c:v>
                </c:pt>
                <c:pt idx="14">
                  <c:v>1.18487258064516</c:v>
                </c:pt>
                <c:pt idx="15">
                  <c:v>1.17540746753247</c:v>
                </c:pt>
                <c:pt idx="16">
                  <c:v>1.20540102639296</c:v>
                </c:pt>
                <c:pt idx="17">
                  <c:v>1.15076111111111</c:v>
                </c:pt>
                <c:pt idx="18">
                  <c:v>1.11706989247312</c:v>
                </c:pt>
                <c:pt idx="19">
                  <c:v>1.16622569444444</c:v>
                </c:pt>
                <c:pt idx="20">
                  <c:v>1.13339945092656</c:v>
                </c:pt>
                <c:pt idx="21">
                  <c:v>1.20193067947838</c:v>
                </c:pt>
                <c:pt idx="22">
                  <c:v>1.18925390070922</c:v>
                </c:pt>
                <c:pt idx="23">
                  <c:v>1.16665080645161</c:v>
                </c:pt>
                <c:pt idx="24">
                  <c:v>1.18319674796748</c:v>
                </c:pt>
                <c:pt idx="25">
                  <c:v>1.1940592648162</c:v>
                </c:pt>
                <c:pt idx="26">
                  <c:v>1.12402100525131</c:v>
                </c:pt>
                <c:pt idx="27">
                  <c:v>1.08286928628709</c:v>
                </c:pt>
                <c:pt idx="28">
                  <c:v>1.11283345836459</c:v>
                </c:pt>
                <c:pt idx="29">
                  <c:v>1.09137523809524</c:v>
                </c:pt>
                <c:pt idx="30">
                  <c:v>1.21447281105991</c:v>
                </c:pt>
                <c:pt idx="31">
                  <c:v>1.21655175438596</c:v>
                </c:pt>
                <c:pt idx="32">
                  <c:v>1.21680241935484</c:v>
                </c:pt>
                <c:pt idx="33">
                  <c:v>1.24507351837959</c:v>
                </c:pt>
                <c:pt idx="34">
                  <c:v>1.25208787878788</c:v>
                </c:pt>
                <c:pt idx="35">
                  <c:v>1.26396845878136</c:v>
                </c:pt>
                <c:pt idx="36">
                  <c:v>1.28431777777778</c:v>
                </c:pt>
                <c:pt idx="37">
                  <c:v>1.26560860215054</c:v>
                </c:pt>
                <c:pt idx="38">
                  <c:v>1.19782229767968</c:v>
                </c:pt>
                <c:pt idx="39">
                  <c:v>1.22287343358396</c:v>
                </c:pt>
                <c:pt idx="40">
                  <c:v>1.28415446650124</c:v>
                </c:pt>
                <c:pt idx="41">
                  <c:v>1.25356734693878</c:v>
                </c:pt>
                <c:pt idx="42">
                  <c:v>1.21181237656353</c:v>
                </c:pt>
                <c:pt idx="43">
                  <c:v>1.26673409090909</c:v>
                </c:pt>
                <c:pt idx="44">
                  <c:v>1.272357771261</c:v>
                </c:pt>
                <c:pt idx="45">
                  <c:v>1.32015147265077</c:v>
                </c:pt>
                <c:pt idx="46">
                  <c:v>1.30730072463768</c:v>
                </c:pt>
                <c:pt idx="47">
                  <c:v>1.31906319947334</c:v>
                </c:pt>
                <c:pt idx="48">
                  <c:v>1.38485069444444</c:v>
                </c:pt>
                <c:pt idx="49">
                  <c:v>1.3395376344086</c:v>
                </c:pt>
                <c:pt idx="50">
                  <c:v>1.28979637096774</c:v>
                </c:pt>
                <c:pt idx="51">
                  <c:v>1.34355431547619</c:v>
                </c:pt>
                <c:pt idx="52">
                  <c:v>1.379829390681</c:v>
                </c:pt>
                <c:pt idx="53">
                  <c:v>1.3579519379845</c:v>
                </c:pt>
                <c:pt idx="54">
                  <c:v>1.29303299120235</c:v>
                </c:pt>
                <c:pt idx="55">
                  <c:v>1.32014015151515</c:v>
                </c:pt>
                <c:pt idx="56">
                  <c:v>1.31873680351906</c:v>
                </c:pt>
                <c:pt idx="57">
                  <c:v>1.30876680107527</c:v>
                </c:pt>
                <c:pt idx="58">
                  <c:v>1.33835416666667</c:v>
                </c:pt>
                <c:pt idx="59">
                  <c:v>1.2905685483871</c:v>
                </c:pt>
                <c:pt idx="60">
                  <c:v>1.32475486111111</c:v>
                </c:pt>
                <c:pt idx="61">
                  <c:v>1.32403629032258</c:v>
                </c:pt>
                <c:pt idx="62">
                  <c:v>1.26099126344086</c:v>
                </c:pt>
                <c:pt idx="63">
                  <c:v>1.24828146258503</c:v>
                </c:pt>
                <c:pt idx="64">
                  <c:v>1.16300537634409</c:v>
                </c:pt>
                <c:pt idx="65">
                  <c:v>1.25585047619048</c:v>
                </c:pt>
                <c:pt idx="66">
                  <c:v>1.18340184331797</c:v>
                </c:pt>
                <c:pt idx="67">
                  <c:v>1.12684298245614</c:v>
                </c:pt>
                <c:pt idx="68">
                  <c:v>1.17926666666667</c:v>
                </c:pt>
                <c:pt idx="69">
                  <c:v>1.22023548387097</c:v>
                </c:pt>
                <c:pt idx="70">
                  <c:v>1.28667</c:v>
                </c:pt>
                <c:pt idx="71">
                  <c:v>1.28618951612903</c:v>
                </c:pt>
                <c:pt idx="72">
                  <c:v>1.28539083333333</c:v>
                </c:pt>
                <c:pt idx="73">
                  <c:v>1.32835483870968</c:v>
                </c:pt>
                <c:pt idx="74">
                  <c:v>1.31282608695652</c:v>
                </c:pt>
                <c:pt idx="75">
                  <c:v>1.32342203898051</c:v>
                </c:pt>
                <c:pt idx="76">
                  <c:v>1.27960910815939</c:v>
                </c:pt>
                <c:pt idx="77">
                  <c:v>1.18086041666667</c:v>
                </c:pt>
                <c:pt idx="78">
                  <c:v>1.25125705645161</c:v>
                </c:pt>
                <c:pt idx="79">
                  <c:v>1.2867431372549</c:v>
                </c:pt>
                <c:pt idx="80">
                  <c:v>1.31304876219055</c:v>
                </c:pt>
                <c:pt idx="81">
                  <c:v>1.24156417295813</c:v>
                </c:pt>
                <c:pt idx="82">
                  <c:v>1.27355886524823</c:v>
                </c:pt>
                <c:pt idx="83">
                  <c:v>1.28983115991764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daily!$C$7</c:f>
              <c:strCache>
                <c:ptCount val="1"/>
                <c:pt idx="0">
                  <c:v>Est.Thrpt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ff00ff"/>
              </a:solidFill>
              <a:custDash>
                <a:ds d="385900" sp="385900"/>
              </a:custDash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Pt>
            <c:idx val="14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26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38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50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62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74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Lbls>
            <c:dLbl>
              <c:idx val="1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  <a:custDash>
                    <a:ds d="385900" sp="3859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daily!$Z$18:$Z$117</c:f>
              <c:numCache>
                <c:formatCode>General</c:formatCode>
                <c:ptCount val="100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  <c:pt idx="55">
                  <c:v>6</c:v>
                </c:pt>
                <c:pt idx="56">
                  <c:v>7</c:v>
                </c:pt>
                <c:pt idx="57">
                  <c:v>8</c:v>
                </c:pt>
                <c:pt idx="58">
                  <c:v>9</c:v>
                </c:pt>
                <c:pt idx="59">
                  <c:v>10</c:v>
                </c:pt>
                <c:pt idx="60">
                  <c:v>11</c:v>
                </c:pt>
                <c:pt idx="61">
                  <c:v>12</c:v>
                </c:pt>
                <c:pt idx="62">
                  <c:v>1</c:v>
                </c:pt>
                <c:pt idx="63">
                  <c:v>2</c:v>
                </c:pt>
                <c:pt idx="64">
                  <c:v>3</c:v>
                </c:pt>
                <c:pt idx="65">
                  <c:v>4</c:v>
                </c:pt>
                <c:pt idx="66">
                  <c:v>5</c:v>
                </c:pt>
                <c:pt idx="67">
                  <c:v>6</c:v>
                </c:pt>
                <c:pt idx="68">
                  <c:v>7</c:v>
                </c:pt>
                <c:pt idx="69">
                  <c:v>8</c:v>
                </c:pt>
                <c:pt idx="70">
                  <c:v>9</c:v>
                </c:pt>
                <c:pt idx="71">
                  <c:v>10</c:v>
                </c:pt>
                <c:pt idx="72">
                  <c:v>11</c:v>
                </c:pt>
                <c:pt idx="73">
                  <c:v>12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4</c:v>
                </c:pt>
                <c:pt idx="78">
                  <c:v>5</c:v>
                </c:pt>
                <c:pt idx="79">
                  <c:v>6</c:v>
                </c:pt>
                <c:pt idx="80">
                  <c:v>7</c:v>
                </c:pt>
                <c:pt idx="81">
                  <c:v>8</c:v>
                </c:pt>
                <c:pt idx="82">
                  <c:v>9</c:v>
                </c:pt>
                <c:pt idx="83">
                  <c:v>10</c:v>
                </c:pt>
                <c:pt idx="84">
                  <c:v>11</c:v>
                </c:pt>
                <c:pt idx="85">
                  <c:v>12</c:v>
                </c:pt>
                <c:pt idx="86">
                  <c:v>1</c:v>
                </c:pt>
                <c:pt idx="87">
                  <c:v>2</c:v>
                </c:pt>
                <c:pt idx="88">
                  <c:v>3</c:v>
                </c:pt>
                <c:pt idx="89">
                  <c:v>4</c:v>
                </c:pt>
                <c:pt idx="90">
                  <c:v>5</c:v>
                </c:pt>
                <c:pt idx="91">
                  <c:v>6</c:v>
                </c:pt>
                <c:pt idx="92">
                  <c:v>7</c:v>
                </c:pt>
                <c:pt idx="93">
                  <c:v>8</c:v>
                </c:pt>
                <c:pt idx="94">
                  <c:v>9</c:v>
                </c:pt>
                <c:pt idx="95">
                  <c:v>10</c:v>
                </c:pt>
                <c:pt idx="96">
                  <c:v>11</c:v>
                </c:pt>
                <c:pt idx="97">
                  <c:v>12</c:v>
                </c:pt>
                <c:pt idx="98">
                  <c:v>1</c:v>
                </c:pt>
              </c:numCache>
            </c:numRef>
          </c:xVal>
          <c:yVal>
            <c:numRef>
              <c:f>daily!$C$18:$C$117</c:f>
              <c:numCache>
                <c:formatCode>0.000</c:formatCode>
                <c:ptCount val="100"/>
                <c:pt idx="3">
                  <c:v>1.14768752170507</c:v>
                </c:pt>
                <c:pt idx="4">
                  <c:v>1.07610012623656</c:v>
                </c:pt>
                <c:pt idx="5">
                  <c:v>1.02339181603846</c:v>
                </c:pt>
                <c:pt idx="6">
                  <c:v>1.01363477419355</c:v>
                </c:pt>
                <c:pt idx="7">
                  <c:v>1.0740312</c:v>
                </c:pt>
                <c:pt idx="8">
                  <c:v>1.19810184258065</c:v>
                </c:pt>
                <c:pt idx="9">
                  <c:v>1.2819603483871</c:v>
                </c:pt>
                <c:pt idx="10">
                  <c:v>1.32338268</c:v>
                </c:pt>
                <c:pt idx="11">
                  <c:v>1.27733283870968</c:v>
                </c:pt>
                <c:pt idx="12">
                  <c:v>1.17797203783784</c:v>
                </c:pt>
                <c:pt idx="13">
                  <c:v>1.40768274864865</c:v>
                </c:pt>
                <c:pt idx="14">
                  <c:v>1.44847586032258</c:v>
                </c:pt>
                <c:pt idx="15">
                  <c:v>1.64378425324675</c:v>
                </c:pt>
                <c:pt idx="16">
                  <c:v>1.43845816129032</c:v>
                </c:pt>
                <c:pt idx="17">
                  <c:v>0.998709212121212</c:v>
                </c:pt>
                <c:pt idx="18">
                  <c:v>1.14441935483871</c:v>
                </c:pt>
                <c:pt idx="19">
                  <c:v>1.16107333333333</c:v>
                </c:pt>
                <c:pt idx="20">
                  <c:v>1.1336</c:v>
                </c:pt>
                <c:pt idx="21">
                  <c:v>1.21445161290323</c:v>
                </c:pt>
                <c:pt idx="22">
                  <c:v>1.20596666666667</c:v>
                </c:pt>
                <c:pt idx="23">
                  <c:v>1.27458709677419</c:v>
                </c:pt>
                <c:pt idx="24">
                  <c:v>1.25536666666667</c:v>
                </c:pt>
                <c:pt idx="25">
                  <c:v>1.24422580645161</c:v>
                </c:pt>
                <c:pt idx="26">
                  <c:v>1.17838709677419</c:v>
                </c:pt>
                <c:pt idx="27">
                  <c:v>1.22110344827586</c:v>
                </c:pt>
                <c:pt idx="28">
                  <c:v>1.16329032258065</c:v>
                </c:pt>
                <c:pt idx="29">
                  <c:v>1.27183333333333</c:v>
                </c:pt>
                <c:pt idx="30">
                  <c:v>1.34570967741935</c:v>
                </c:pt>
                <c:pt idx="31">
                  <c:v>1.35342133333333</c:v>
                </c:pt>
                <c:pt idx="32">
                  <c:v>1.38169032258065</c:v>
                </c:pt>
                <c:pt idx="33">
                  <c:v>1.40131612903226</c:v>
                </c:pt>
                <c:pt idx="34">
                  <c:v>1.48806666666667</c:v>
                </c:pt>
                <c:pt idx="35">
                  <c:v>1.37296774193548</c:v>
                </c:pt>
                <c:pt idx="36">
                  <c:v>1.38484666666667</c:v>
                </c:pt>
                <c:pt idx="37">
                  <c:v>1.34025806451613</c:v>
                </c:pt>
                <c:pt idx="38">
                  <c:v>1.31929032258065</c:v>
                </c:pt>
                <c:pt idx="39">
                  <c:v>1.35014285714286</c:v>
                </c:pt>
                <c:pt idx="40">
                  <c:v>1.20522580645161</c:v>
                </c:pt>
                <c:pt idx="41">
                  <c:v>1.2363</c:v>
                </c:pt>
                <c:pt idx="42">
                  <c:v>1.18845161290323</c:v>
                </c:pt>
                <c:pt idx="43">
                  <c:v>1.28544</c:v>
                </c:pt>
                <c:pt idx="44">
                  <c:v>1.28557419354839</c:v>
                </c:pt>
                <c:pt idx="45">
                  <c:v>1.3509935483871</c:v>
                </c:pt>
                <c:pt idx="46">
                  <c:v>1.37886666666667</c:v>
                </c:pt>
                <c:pt idx="47">
                  <c:v>1.30369032258065</c:v>
                </c:pt>
                <c:pt idx="48">
                  <c:v>1.39314066666667</c:v>
                </c:pt>
                <c:pt idx="49">
                  <c:v>1.38932258064516</c:v>
                </c:pt>
                <c:pt idx="50">
                  <c:v>1.34294193548387</c:v>
                </c:pt>
                <c:pt idx="51">
                  <c:v>1.51004285714286</c:v>
                </c:pt>
                <c:pt idx="52">
                  <c:v>1.39141935483871</c:v>
                </c:pt>
                <c:pt idx="53">
                  <c:v>1.34463333333333</c:v>
                </c:pt>
                <c:pt idx="54">
                  <c:v>1.39536129032258</c:v>
                </c:pt>
                <c:pt idx="55">
                  <c:v>1.52585333333333</c:v>
                </c:pt>
                <c:pt idx="56">
                  <c:v>1.47025806451613</c:v>
                </c:pt>
                <c:pt idx="57">
                  <c:v>1.21109677419355</c:v>
                </c:pt>
                <c:pt idx="58">
                  <c:v>1.39446666666667</c:v>
                </c:pt>
                <c:pt idx="59">
                  <c:v>1.32256464516129</c:v>
                </c:pt>
                <c:pt idx="60">
                  <c:v>1.34506666666667</c:v>
                </c:pt>
                <c:pt idx="61">
                  <c:v>1.248</c:v>
                </c:pt>
                <c:pt idx="62">
                  <c:v>1.33145161290323</c:v>
                </c:pt>
                <c:pt idx="63">
                  <c:v>1.25273571428571</c:v>
                </c:pt>
                <c:pt idx="64">
                  <c:v>1.0982064516129</c:v>
                </c:pt>
                <c:pt idx="65">
                  <c:v>1.39767333333333</c:v>
                </c:pt>
                <c:pt idx="66">
                  <c:v>1.14567741935484</c:v>
                </c:pt>
                <c:pt idx="67">
                  <c:v>1.23066666666667</c:v>
                </c:pt>
                <c:pt idx="68">
                  <c:v>1.34906451612903</c:v>
                </c:pt>
                <c:pt idx="69">
                  <c:v>1.15909677419355</c:v>
                </c:pt>
                <c:pt idx="70">
                  <c:v>1.23777333333333</c:v>
                </c:pt>
                <c:pt idx="71">
                  <c:v>1.21336129032258</c:v>
                </c:pt>
                <c:pt idx="72">
                  <c:v>1.2792</c:v>
                </c:pt>
                <c:pt idx="73">
                  <c:v>1.4128064516129</c:v>
                </c:pt>
                <c:pt idx="74">
                  <c:v>1.33858064516129</c:v>
                </c:pt>
                <c:pt idx="75">
                  <c:v>1.36517931034483</c:v>
                </c:pt>
                <c:pt idx="76">
                  <c:v>1.19683870967742</c:v>
                </c:pt>
                <c:pt idx="77">
                  <c:v>1.29512933333333</c:v>
                </c:pt>
                <c:pt idx="78">
                  <c:v>1.18761290322581</c:v>
                </c:pt>
                <c:pt idx="79">
                  <c:v>1.2831</c:v>
                </c:pt>
                <c:pt idx="80">
                  <c:v>1.27783290322581</c:v>
                </c:pt>
                <c:pt idx="81">
                  <c:v>1.21050967741936</c:v>
                </c:pt>
                <c:pt idx="82">
                  <c:v>1.26966666666667</c:v>
                </c:pt>
                <c:pt idx="83">
                  <c:v>1.16287096774194</c:v>
                </c:pt>
              </c:numCache>
            </c:numRef>
          </c:yVal>
          <c:smooth val="0"/>
        </c:ser>
        <c:axId val="13532502"/>
        <c:axId val="67270982"/>
      </c:scatterChart>
      <c:valAx>
        <c:axId val="135325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Month: 1=Jan, 12=Dec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70982"/>
        <c:crossesAt val="0"/>
        <c:crossBetween val="midCat"/>
        <c:majorUnit val="1"/>
        <c:minorUnit val="1"/>
      </c:valAx>
      <c:valAx>
        <c:axId val="67270982"/>
        <c:scaling>
          <c:orientation val="minMax"/>
          <c:min val="0.9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throughput in e9 dt.mi/d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32502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daily!$L$7</c:f>
              <c:strCache>
                <c:ptCount val="1"/>
                <c:pt idx="0">
                  <c:v>Retained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daily!$L$18:$L$117</c:f>
              <c:numCache>
                <c:formatCode>0.000000</c:formatCode>
                <c:ptCount val="100"/>
                <c:pt idx="0">
                  <c:v>4.1E-005</c:v>
                </c:pt>
                <c:pt idx="1">
                  <c:v>1.9E-005</c:v>
                </c:pt>
                <c:pt idx="2">
                  <c:v>1E-005</c:v>
                </c:pt>
                <c:pt idx="3">
                  <c:v>3.1E-005</c:v>
                </c:pt>
                <c:pt idx="4">
                  <c:v>3.3E-005</c:v>
                </c:pt>
                <c:pt idx="5">
                  <c:v>2.6E-005</c:v>
                </c:pt>
                <c:pt idx="6">
                  <c:v>2.5E-005</c:v>
                </c:pt>
                <c:pt idx="7">
                  <c:v>2E-005</c:v>
                </c:pt>
                <c:pt idx="8">
                  <c:v>1.6E-005</c:v>
                </c:pt>
                <c:pt idx="9">
                  <c:v>1.8E-005</c:v>
                </c:pt>
                <c:pt idx="10">
                  <c:v>2.5E-005</c:v>
                </c:pt>
                <c:pt idx="11">
                  <c:v>3E-005</c:v>
                </c:pt>
                <c:pt idx="12">
                  <c:v>3.7E-005</c:v>
                </c:pt>
                <c:pt idx="13">
                  <c:v>3.7E-005</c:v>
                </c:pt>
                <c:pt idx="14">
                  <c:v>4E-005</c:v>
                </c:pt>
                <c:pt idx="15">
                  <c:v>4.4E-005</c:v>
                </c:pt>
                <c:pt idx="16">
                  <c:v>4.4E-005</c:v>
                </c:pt>
                <c:pt idx="17">
                  <c:v>4.8E-005</c:v>
                </c:pt>
                <c:pt idx="18">
                  <c:v>4.8E-005</c:v>
                </c:pt>
                <c:pt idx="19">
                  <c:v>4.8E-005</c:v>
                </c:pt>
                <c:pt idx="20">
                  <c:v>4.7E-005</c:v>
                </c:pt>
                <c:pt idx="21">
                  <c:v>4.7E-005</c:v>
                </c:pt>
                <c:pt idx="22">
                  <c:v>4.7E-005</c:v>
                </c:pt>
                <c:pt idx="23">
                  <c:v>4E-005</c:v>
                </c:pt>
                <c:pt idx="24">
                  <c:v>4.1E-005</c:v>
                </c:pt>
                <c:pt idx="25">
                  <c:v>4.3E-005</c:v>
                </c:pt>
                <c:pt idx="26">
                  <c:v>4.3E-005</c:v>
                </c:pt>
                <c:pt idx="27">
                  <c:v>4.3E-005</c:v>
                </c:pt>
                <c:pt idx="28">
                  <c:v>4.3E-005</c:v>
                </c:pt>
                <c:pt idx="29">
                  <c:v>3.5E-005</c:v>
                </c:pt>
                <c:pt idx="30">
                  <c:v>3.5E-005</c:v>
                </c:pt>
                <c:pt idx="31">
                  <c:v>3.8E-005</c:v>
                </c:pt>
                <c:pt idx="32">
                  <c:v>4E-005</c:v>
                </c:pt>
                <c:pt idx="33">
                  <c:v>4.3E-005</c:v>
                </c:pt>
                <c:pt idx="34">
                  <c:v>4.4E-005</c:v>
                </c:pt>
                <c:pt idx="35">
                  <c:v>4.5E-005</c:v>
                </c:pt>
                <c:pt idx="36">
                  <c:v>4.5E-005</c:v>
                </c:pt>
                <c:pt idx="37">
                  <c:v>4.5E-005</c:v>
                </c:pt>
                <c:pt idx="38">
                  <c:v>5.7E-005</c:v>
                </c:pt>
                <c:pt idx="39">
                  <c:v>5.7E-005</c:v>
                </c:pt>
                <c:pt idx="40">
                  <c:v>5.2E-005</c:v>
                </c:pt>
                <c:pt idx="41">
                  <c:v>4.9E-005</c:v>
                </c:pt>
                <c:pt idx="42">
                  <c:v>4.9E-005</c:v>
                </c:pt>
                <c:pt idx="43">
                  <c:v>4.4E-005</c:v>
                </c:pt>
                <c:pt idx="44">
                  <c:v>4.4E-005</c:v>
                </c:pt>
                <c:pt idx="45">
                  <c:v>4.6E-005</c:v>
                </c:pt>
                <c:pt idx="46">
                  <c:v>4.6E-005</c:v>
                </c:pt>
                <c:pt idx="47">
                  <c:v>4.9E-005</c:v>
                </c:pt>
                <c:pt idx="48">
                  <c:v>4.8E-005</c:v>
                </c:pt>
                <c:pt idx="49">
                  <c:v>4.8E-005</c:v>
                </c:pt>
                <c:pt idx="50">
                  <c:v>4.8E-005</c:v>
                </c:pt>
                <c:pt idx="51">
                  <c:v>4.8E-005</c:v>
                </c:pt>
                <c:pt idx="52">
                  <c:v>4.5E-005</c:v>
                </c:pt>
                <c:pt idx="53">
                  <c:v>4.3E-005</c:v>
                </c:pt>
                <c:pt idx="54">
                  <c:v>4.4E-005</c:v>
                </c:pt>
                <c:pt idx="55">
                  <c:v>4.4E-005</c:v>
                </c:pt>
                <c:pt idx="56">
                  <c:v>4.4E-005</c:v>
                </c:pt>
                <c:pt idx="57">
                  <c:v>4.8E-005</c:v>
                </c:pt>
                <c:pt idx="58">
                  <c:v>4.8E-005</c:v>
                </c:pt>
                <c:pt idx="59">
                  <c:v>4.8E-005</c:v>
                </c:pt>
                <c:pt idx="60">
                  <c:v>4.8E-005</c:v>
                </c:pt>
                <c:pt idx="61">
                  <c:v>4.8E-005</c:v>
                </c:pt>
                <c:pt idx="62">
                  <c:v>4.8E-005</c:v>
                </c:pt>
                <c:pt idx="63">
                  <c:v>4.2E-005</c:v>
                </c:pt>
                <c:pt idx="64">
                  <c:v>3.6E-005</c:v>
                </c:pt>
                <c:pt idx="65">
                  <c:v>3.5E-005</c:v>
                </c:pt>
                <c:pt idx="66">
                  <c:v>3.5E-005</c:v>
                </c:pt>
                <c:pt idx="67">
                  <c:v>3.8E-005</c:v>
                </c:pt>
                <c:pt idx="68">
                  <c:v>3E-005</c:v>
                </c:pt>
                <c:pt idx="69">
                  <c:v>3E-005</c:v>
                </c:pt>
                <c:pt idx="70">
                  <c:v>4E-005</c:v>
                </c:pt>
                <c:pt idx="71">
                  <c:v>4E-005</c:v>
                </c:pt>
                <c:pt idx="72">
                  <c:v>4E-005</c:v>
                </c:pt>
                <c:pt idx="73">
                  <c:v>4E-005</c:v>
                </c:pt>
                <c:pt idx="74">
                  <c:v>4.6E-005</c:v>
                </c:pt>
                <c:pt idx="75">
                  <c:v>4.6E-005</c:v>
                </c:pt>
                <c:pt idx="76">
                  <c:v>3.4E-005</c:v>
                </c:pt>
                <c:pt idx="77">
                  <c:v>3.2E-005</c:v>
                </c:pt>
                <c:pt idx="78">
                  <c:v>3.2E-005</c:v>
                </c:pt>
                <c:pt idx="79">
                  <c:v>3.4E-005</c:v>
                </c:pt>
                <c:pt idx="80">
                  <c:v>4.3E-005</c:v>
                </c:pt>
                <c:pt idx="81">
                  <c:v>4.7E-005</c:v>
                </c:pt>
                <c:pt idx="82">
                  <c:v>4.7E-005</c:v>
                </c:pt>
                <c:pt idx="83">
                  <c:v>4.7E-005</c:v>
                </c:pt>
                <c:pt idx="84">
                  <c:v>4.7E-005</c:v>
                </c:pt>
                <c:pt idx="85">
                  <c:v>4.7E-005</c:v>
                </c:pt>
                <c:pt idx="86">
                  <c:v>5.1E-005</c:v>
                </c:pt>
                <c:pt idx="87">
                  <c:v>5.8E-005</c:v>
                </c:pt>
                <c:pt idx="88">
                  <c:v>5.6E-005</c:v>
                </c:pt>
                <c:pt idx="89">
                  <c:v>5.1E-005</c:v>
                </c:pt>
                <c:pt idx="90">
                  <c:v>4.3E-005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daily!$V$7</c:f>
              <c:strCache>
                <c:ptCount val="1"/>
                <c:pt idx="0">
                  <c:v>Act.Used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custDash>
                <a:ds d="300000" sp="300000"/>
              </a:custDash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daily!$V$18:$V$117</c:f>
              <c:numCache>
                <c:formatCode>0.000000</c:formatCode>
                <c:ptCount val="100"/>
                <c:pt idx="0">
                  <c:v>2.25097959122677E-005</c:v>
                </c:pt>
                <c:pt idx="1">
                  <c:v>2.46428798495984E-005</c:v>
                </c:pt>
                <c:pt idx="2">
                  <c:v>2.4169746031746E-005</c:v>
                </c:pt>
                <c:pt idx="3">
                  <c:v>2.22747163947164E-005</c:v>
                </c:pt>
                <c:pt idx="4">
                  <c:v>1.94121725476319E-005</c:v>
                </c:pt>
                <c:pt idx="5">
                  <c:v>2.33656011494896E-005</c:v>
                </c:pt>
                <c:pt idx="6">
                  <c:v>2.38766220994874E-005</c:v>
                </c:pt>
                <c:pt idx="7">
                  <c:v>1.76121832767893E-005</c:v>
                </c:pt>
                <c:pt idx="8">
                  <c:v>2.33621837410779E-005</c:v>
                </c:pt>
                <c:pt idx="9">
                  <c:v>3.5721282920893E-005</c:v>
                </c:pt>
                <c:pt idx="10">
                  <c:v>2.40421706400069E-005</c:v>
                </c:pt>
                <c:pt idx="11">
                  <c:v>4.44261439880329E-005</c:v>
                </c:pt>
                <c:pt idx="12">
                  <c:v>4.23982159867952E-005</c:v>
                </c:pt>
                <c:pt idx="13">
                  <c:v>4.52019513357991E-005</c:v>
                </c:pt>
                <c:pt idx="14">
                  <c:v>5.14579626773534E-005</c:v>
                </c:pt>
                <c:pt idx="15">
                  <c:v>2.93306493603351E-005</c:v>
                </c:pt>
                <c:pt idx="16">
                  <c:v>4.76847059939775E-005</c:v>
                </c:pt>
                <c:pt idx="17">
                  <c:v>4.50874638524262E-005</c:v>
                </c:pt>
                <c:pt idx="18">
                  <c:v>4.22253591625557E-005</c:v>
                </c:pt>
                <c:pt idx="19">
                  <c:v>3.83575268032858E-005</c:v>
                </c:pt>
                <c:pt idx="20">
                  <c:v>4.29056658045505E-005</c:v>
                </c:pt>
                <c:pt idx="21">
                  <c:v>4.20547574738196E-005</c:v>
                </c:pt>
                <c:pt idx="22">
                  <c:v>4.38201351583447E-005</c:v>
                </c:pt>
                <c:pt idx="23">
                  <c:v>4.6768147308915E-005</c:v>
                </c:pt>
                <c:pt idx="24">
                  <c:v>4.30894524410925E-005</c:v>
                </c:pt>
                <c:pt idx="25">
                  <c:v>4.90009989438839E-005</c:v>
                </c:pt>
                <c:pt idx="26">
                  <c:v>4.59832699289871E-005</c:v>
                </c:pt>
                <c:pt idx="27">
                  <c:v>3.87125401195849E-005</c:v>
                </c:pt>
                <c:pt idx="28">
                  <c:v>3.82828637049711E-005</c:v>
                </c:pt>
                <c:pt idx="29">
                  <c:v>3.33931588280056E-005</c:v>
                </c:pt>
                <c:pt idx="30">
                  <c:v>4.16877816928397E-005</c:v>
                </c:pt>
                <c:pt idx="31">
                  <c:v>4.39579325805105E-005</c:v>
                </c:pt>
                <c:pt idx="32">
                  <c:v>5.34013858374176E-005</c:v>
                </c:pt>
                <c:pt idx="33">
                  <c:v>5.28700998925699E-005</c:v>
                </c:pt>
                <c:pt idx="34">
                  <c:v>5.57355713729068E-005</c:v>
                </c:pt>
                <c:pt idx="35">
                  <c:v>5.3391950935666E-005</c:v>
                </c:pt>
                <c:pt idx="36">
                  <c:v>5.7898962354419E-005</c:v>
                </c:pt>
                <c:pt idx="37">
                  <c:v>5.1102457400749E-005</c:v>
                </c:pt>
                <c:pt idx="38">
                  <c:v>4.3803821025895E-005</c:v>
                </c:pt>
                <c:pt idx="39">
                  <c:v>4.01944703761735E-005</c:v>
                </c:pt>
                <c:pt idx="40">
                  <c:v>3.78999979227625E-005</c:v>
                </c:pt>
                <c:pt idx="41">
                  <c:v>4.21091855406937E-005</c:v>
                </c:pt>
                <c:pt idx="42">
                  <c:v>3.70402543972733E-005</c:v>
                </c:pt>
                <c:pt idx="43">
                  <c:v>3.85230020650815E-005</c:v>
                </c:pt>
                <c:pt idx="44">
                  <c:v>4.68505879587161E-005</c:v>
                </c:pt>
                <c:pt idx="45">
                  <c:v>4.9307171815041E-005</c:v>
                </c:pt>
                <c:pt idx="46">
                  <c:v>4.86109779249754E-005</c:v>
                </c:pt>
                <c:pt idx="47">
                  <c:v>5.39845737069768E-005</c:v>
                </c:pt>
                <c:pt idx="48">
                  <c:v>4.81027306894797E-005</c:v>
                </c:pt>
                <c:pt idx="49">
                  <c:v>4.84972105605369E-005</c:v>
                </c:pt>
                <c:pt idx="50">
                  <c:v>4.20314409470112E-005</c:v>
                </c:pt>
                <c:pt idx="51">
                  <c:v>4.44512307163225E-005</c:v>
                </c:pt>
                <c:pt idx="52">
                  <c:v>4.5410826854081E-005</c:v>
                </c:pt>
                <c:pt idx="53">
                  <c:v>4.8072098999976E-005</c:v>
                </c:pt>
                <c:pt idx="54">
                  <c:v>4.9794079141712E-005</c:v>
                </c:pt>
                <c:pt idx="55">
                  <c:v>4.01822992852572E-005</c:v>
                </c:pt>
                <c:pt idx="56">
                  <c:v>4.97000539817218E-005</c:v>
                </c:pt>
                <c:pt idx="57">
                  <c:v>4.75411834480563E-005</c:v>
                </c:pt>
                <c:pt idx="58">
                  <c:v>5.38082532961816E-005</c:v>
                </c:pt>
                <c:pt idx="59">
                  <c:v>3.75414686575372E-005</c:v>
                </c:pt>
                <c:pt idx="60">
                  <c:v>4.32695399096374E-005</c:v>
                </c:pt>
                <c:pt idx="61">
                  <c:v>4.24720109879066E-005</c:v>
                </c:pt>
                <c:pt idx="62">
                  <c:v>3.39816889661072E-005</c:v>
                </c:pt>
                <c:pt idx="63">
                  <c:v>2.66320717121975E-005</c:v>
                </c:pt>
                <c:pt idx="64">
                  <c:v>2.44244287371891E-005</c:v>
                </c:pt>
                <c:pt idx="65">
                  <c:v>4.19491287634333E-005</c:v>
                </c:pt>
                <c:pt idx="66">
                  <c:v>3.66192247453448E-005</c:v>
                </c:pt>
                <c:pt idx="67">
                  <c:v>2.8737544186872E-005</c:v>
                </c:pt>
                <c:pt idx="68">
                  <c:v>3.35396519433437E-005</c:v>
                </c:pt>
                <c:pt idx="69">
                  <c:v>3.79564494425983E-005</c:v>
                </c:pt>
                <c:pt idx="70">
                  <c:v>4.89794067891016E-005</c:v>
                </c:pt>
                <c:pt idx="71">
                  <c:v>5.3757266243436E-005</c:v>
                </c:pt>
                <c:pt idx="72">
                  <c:v>4.30591733123972E-005</c:v>
                </c:pt>
                <c:pt idx="73">
                  <c:v>4.4670560237014E-005</c:v>
                </c:pt>
                <c:pt idx="74">
                  <c:v>3.94318991074147E-005</c:v>
                </c:pt>
                <c:pt idx="75">
                  <c:v>3.6020672408373E-005</c:v>
                </c:pt>
                <c:pt idx="76">
                  <c:v>4.03696367189933E-005</c:v>
                </c:pt>
                <c:pt idx="77">
                  <c:v>3.52633549336377E-005</c:v>
                </c:pt>
                <c:pt idx="78">
                  <c:v>3.96035019621397E-005</c:v>
                </c:pt>
                <c:pt idx="79">
                  <c:v>4.46605322146352E-005</c:v>
                </c:pt>
                <c:pt idx="80">
                  <c:v>5.1059769958647E-005</c:v>
                </c:pt>
                <c:pt idx="81">
                  <c:v>5.17503553148524E-005</c:v>
                </c:pt>
                <c:pt idx="82">
                  <c:v>4.80869802496829E-005</c:v>
                </c:pt>
                <c:pt idx="83">
                  <c:v>4.18669450705694E-005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daily!$J$7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custDash>
                <a:ds d="300000" sp="300000"/>
              </a:custDash>
              <a:round/>
            </a:ln>
          </c:spPr>
          <c:marker>
            <c:symbol val="triangle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daily!$J$18:$J$117</c:f>
              <c:numCache>
                <c:formatCode>0.000000</c:formatCode>
                <c:ptCount val="100"/>
                <c:pt idx="3">
                  <c:v>2.8062640961099E-005</c:v>
                </c:pt>
                <c:pt idx="4">
                  <c:v>2.18800841262485E-005</c:v>
                </c:pt>
                <c:pt idx="5">
                  <c:v>2.92133141951402E-005</c:v>
                </c:pt>
                <c:pt idx="6">
                  <c:v>3.7457023873013E-005</c:v>
                </c:pt>
                <c:pt idx="7">
                  <c:v>2.22681302616411E-005</c:v>
                </c:pt>
                <c:pt idx="8">
                  <c:v>2.0667099776131E-005</c:v>
                </c:pt>
                <c:pt idx="9">
                  <c:v>2.35501219820326E-005</c:v>
                </c:pt>
                <c:pt idx="10">
                  <c:v>2.19563600958316E-005</c:v>
                </c:pt>
                <c:pt idx="11">
                  <c:v>1.77158463106011E-005</c:v>
                </c:pt>
                <c:pt idx="12">
                  <c:v>2.82972195116928E-005</c:v>
                </c:pt>
                <c:pt idx="13">
                  <c:v>2.86606917141332E-005</c:v>
                </c:pt>
                <c:pt idx="14">
                  <c:v>2.93211429374301E-005</c:v>
                </c:pt>
                <c:pt idx="15">
                  <c:v>3.08521544808063E-005</c:v>
                </c:pt>
                <c:pt idx="16">
                  <c:v>2.85924424949357E-005</c:v>
                </c:pt>
                <c:pt idx="17">
                  <c:v>4.97308586562218E-005</c:v>
                </c:pt>
                <c:pt idx="18">
                  <c:v>5.14417791808778E-005</c:v>
                </c:pt>
                <c:pt idx="19">
                  <c:v>4.26329660486561E-005</c:v>
                </c:pt>
                <c:pt idx="20">
                  <c:v>4.49609579529674E-005</c:v>
                </c:pt>
                <c:pt idx="21">
                  <c:v>4.78113047173821E-005</c:v>
                </c:pt>
                <c:pt idx="22">
                  <c:v>4.3533541557257E-005</c:v>
                </c:pt>
                <c:pt idx="23">
                  <c:v>3.75833286934162E-005</c:v>
                </c:pt>
                <c:pt idx="24">
                  <c:v>3.78375507819761E-005</c:v>
                </c:pt>
                <c:pt idx="25">
                  <c:v>3.04633014440901E-005</c:v>
                </c:pt>
                <c:pt idx="26">
                  <c:v>3.42184505885574E-005</c:v>
                </c:pt>
                <c:pt idx="27">
                  <c:v>3.10629165254716E-005</c:v>
                </c:pt>
                <c:pt idx="28">
                  <c:v>3.74355277022905E-005</c:v>
                </c:pt>
                <c:pt idx="29">
                  <c:v>3.6037216616433E-005</c:v>
                </c:pt>
                <c:pt idx="30">
                  <c:v>3.65558405446221E-005</c:v>
                </c:pt>
                <c:pt idx="31">
                  <c:v>3.6500089649343E-005</c:v>
                </c:pt>
                <c:pt idx="32">
                  <c:v>3.19851327499743E-005</c:v>
                </c:pt>
                <c:pt idx="33">
                  <c:v>3.54505441888731E-005</c:v>
                </c:pt>
                <c:pt idx="34">
                  <c:v>2.9120559114735E-005</c:v>
                </c:pt>
                <c:pt idx="35">
                  <c:v>3.23058126967718E-005</c:v>
                </c:pt>
                <c:pt idx="36">
                  <c:v>3.11707192613382E-005</c:v>
                </c:pt>
                <c:pt idx="37">
                  <c:v>3.36959661114855E-005</c:v>
                </c:pt>
                <c:pt idx="38">
                  <c:v>4.03442711135019E-005</c:v>
                </c:pt>
                <c:pt idx="39">
                  <c:v>4.49687863718125E-005</c:v>
                </c:pt>
                <c:pt idx="40">
                  <c:v>4.95155505593919E-005</c:v>
                </c:pt>
                <c:pt idx="41">
                  <c:v>4.92059640324625E-005</c:v>
                </c:pt>
                <c:pt idx="42">
                  <c:v>4.75001357146735E-005</c:v>
                </c:pt>
                <c:pt idx="43">
                  <c:v>3.78599286366277E-005</c:v>
                </c:pt>
                <c:pt idx="44">
                  <c:v>4.11514372892244E-005</c:v>
                </c:pt>
                <c:pt idx="45">
                  <c:v>3.67710263414261E-005</c:v>
                </c:pt>
                <c:pt idx="46">
                  <c:v>3.74703863075956E-005</c:v>
                </c:pt>
                <c:pt idx="47">
                  <c:v>4.25590878498753E-005</c:v>
                </c:pt>
                <c:pt idx="48">
                  <c:v>3.52560712940689E-005</c:v>
                </c:pt>
                <c:pt idx="49">
                  <c:v>4.23738651930623E-005</c:v>
                </c:pt>
                <c:pt idx="50">
                  <c:v>3.74718960779415E-005</c:v>
                </c:pt>
                <c:pt idx="51">
                  <c:v>4.2808624163931E-005</c:v>
                </c:pt>
                <c:pt idx="52">
                  <c:v>3.94120647285204E-005</c:v>
                </c:pt>
                <c:pt idx="53">
                  <c:v>3.90441012419743E-005</c:v>
                </c:pt>
                <c:pt idx="54">
                  <c:v>3.69889171956852E-005</c:v>
                </c:pt>
                <c:pt idx="55">
                  <c:v>3.34239201670759E-005</c:v>
                </c:pt>
                <c:pt idx="56">
                  <c:v>3.29106147702839E-005</c:v>
                </c:pt>
                <c:pt idx="57">
                  <c:v>4.39484338376305E-005</c:v>
                </c:pt>
                <c:pt idx="58">
                  <c:v>3.58560022947841E-005</c:v>
                </c:pt>
                <c:pt idx="59">
                  <c:v>4.13419635515591E-005</c:v>
                </c:pt>
                <c:pt idx="60">
                  <c:v>3.96510705789056E-005</c:v>
                </c:pt>
                <c:pt idx="61">
                  <c:v>5.04032258064516E-005</c:v>
                </c:pt>
                <c:pt idx="62">
                  <c:v>4.54270139309509E-005</c:v>
                </c:pt>
                <c:pt idx="63">
                  <c:v>4.14806452164691E-005</c:v>
                </c:pt>
                <c:pt idx="64">
                  <c:v>4.31789075442657E-005</c:v>
                </c:pt>
                <c:pt idx="65">
                  <c:v>3.89933747036742E-005</c:v>
                </c:pt>
                <c:pt idx="66">
                  <c:v>3.66032210834553E-005</c:v>
                </c:pt>
                <c:pt idx="67">
                  <c:v>2.70855904658722E-005</c:v>
                </c:pt>
                <c:pt idx="68">
                  <c:v>2.21180746514909E-005</c:v>
                </c:pt>
                <c:pt idx="69">
                  <c:v>3.06133808304575E-005</c:v>
                </c:pt>
                <c:pt idx="70">
                  <c:v>3.79714110284059E-005</c:v>
                </c:pt>
                <c:pt idx="71">
                  <c:v>3.21687022454286E-005</c:v>
                </c:pt>
                <c:pt idx="72">
                  <c:v>3.38753387533875E-005</c:v>
                </c:pt>
                <c:pt idx="73">
                  <c:v>2.79699522798365E-005</c:v>
                </c:pt>
                <c:pt idx="74">
                  <c:v>4.33776749566223E-005</c:v>
                </c:pt>
                <c:pt idx="75">
                  <c:v>4.12980990245061E-005</c:v>
                </c:pt>
                <c:pt idx="76">
                  <c:v>3.63861786426608E-005</c:v>
                </c:pt>
                <c:pt idx="77">
                  <c:v>3.73193101950179E-005</c:v>
                </c:pt>
                <c:pt idx="78">
                  <c:v>2.17296827466319E-005</c:v>
                </c:pt>
                <c:pt idx="79">
                  <c:v>2.66282181175798E-005</c:v>
                </c:pt>
                <c:pt idx="80">
                  <c:v>2.97504696711822E-005</c:v>
                </c:pt>
                <c:pt idx="81">
                  <c:v>3.104530749511E-005</c:v>
                </c:pt>
                <c:pt idx="82">
                  <c:v>3.28170123391966E-005</c:v>
                </c:pt>
                <c:pt idx="83">
                  <c:v>3.67555271990901E-005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daily!$W$7</c:f>
              <c:strCache>
                <c:ptCount val="1"/>
                <c:pt idx="0">
                  <c:v>Kept.Cap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daily!$W$18:$W$117</c:f>
              <c:numCache>
                <c:formatCode>0.000000</c:formatCode>
                <c:ptCount val="100"/>
                <c:pt idx="0">
                  <c:v>4.1E-005</c:v>
                </c:pt>
                <c:pt idx="1">
                  <c:v>4.1E-005</c:v>
                </c:pt>
                <c:pt idx="2">
                  <c:v>4.1E-005</c:v>
                </c:pt>
                <c:pt idx="3">
                  <c:v>4.1E-005</c:v>
                </c:pt>
                <c:pt idx="4">
                  <c:v>4.1E-005</c:v>
                </c:pt>
                <c:pt idx="5">
                  <c:v>4.1E-005</c:v>
                </c:pt>
                <c:pt idx="6">
                  <c:v>4.1E-005</c:v>
                </c:pt>
                <c:pt idx="7">
                  <c:v>4.1E-005</c:v>
                </c:pt>
                <c:pt idx="8">
                  <c:v>3.7E-005</c:v>
                </c:pt>
                <c:pt idx="9">
                  <c:v>3.7E-005</c:v>
                </c:pt>
                <c:pt idx="10">
                  <c:v>3.7E-005</c:v>
                </c:pt>
                <c:pt idx="11">
                  <c:v>3.7E-005</c:v>
                </c:pt>
                <c:pt idx="12">
                  <c:v>3.7E-005</c:v>
                </c:pt>
                <c:pt idx="13">
                  <c:v>3.7E-005</c:v>
                </c:pt>
                <c:pt idx="14">
                  <c:v>4.9E-005</c:v>
                </c:pt>
                <c:pt idx="15">
                  <c:v>4.9E-005</c:v>
                </c:pt>
                <c:pt idx="16">
                  <c:v>4.9E-005</c:v>
                </c:pt>
                <c:pt idx="17">
                  <c:v>4.9E-005</c:v>
                </c:pt>
                <c:pt idx="18">
                  <c:v>4.9E-005</c:v>
                </c:pt>
                <c:pt idx="19">
                  <c:v>4.9E-005</c:v>
                </c:pt>
                <c:pt idx="20">
                  <c:v>4.8E-005</c:v>
                </c:pt>
                <c:pt idx="21">
                  <c:v>4.8E-005</c:v>
                </c:pt>
                <c:pt idx="22">
                  <c:v>4.8E-005</c:v>
                </c:pt>
                <c:pt idx="23">
                  <c:v>4.8E-005</c:v>
                </c:pt>
                <c:pt idx="24">
                  <c:v>4.8E-005</c:v>
                </c:pt>
                <c:pt idx="25">
                  <c:v>4.8E-005</c:v>
                </c:pt>
                <c:pt idx="26">
                  <c:v>4.3E-005</c:v>
                </c:pt>
                <c:pt idx="27">
                  <c:v>4.3E-005</c:v>
                </c:pt>
                <c:pt idx="28">
                  <c:v>4.3E-005</c:v>
                </c:pt>
                <c:pt idx="29">
                  <c:v>4.3E-005</c:v>
                </c:pt>
                <c:pt idx="30">
                  <c:v>4.3E-005</c:v>
                </c:pt>
                <c:pt idx="31">
                  <c:v>4.3E-005</c:v>
                </c:pt>
                <c:pt idx="32">
                  <c:v>4.5E-005</c:v>
                </c:pt>
                <c:pt idx="33">
                  <c:v>4.5E-005</c:v>
                </c:pt>
                <c:pt idx="34">
                  <c:v>4.5E-005</c:v>
                </c:pt>
                <c:pt idx="35">
                  <c:v>4.5E-005</c:v>
                </c:pt>
                <c:pt idx="36">
                  <c:v>4.5E-005</c:v>
                </c:pt>
                <c:pt idx="37">
                  <c:v>4.5E-005</c:v>
                </c:pt>
                <c:pt idx="38">
                  <c:v>5.7E-005</c:v>
                </c:pt>
                <c:pt idx="39">
                  <c:v>5.7E-005</c:v>
                </c:pt>
                <c:pt idx="40">
                  <c:v>5.7E-005</c:v>
                </c:pt>
                <c:pt idx="41">
                  <c:v>5.7E-005</c:v>
                </c:pt>
                <c:pt idx="42">
                  <c:v>5.7E-005</c:v>
                </c:pt>
                <c:pt idx="43">
                  <c:v>5.7E-005</c:v>
                </c:pt>
                <c:pt idx="44">
                  <c:v>4.8E-005</c:v>
                </c:pt>
                <c:pt idx="45">
                  <c:v>4.8E-005</c:v>
                </c:pt>
                <c:pt idx="46">
                  <c:v>4.8E-005</c:v>
                </c:pt>
                <c:pt idx="47">
                  <c:v>4.8E-005</c:v>
                </c:pt>
                <c:pt idx="48">
                  <c:v>4.8E-005</c:v>
                </c:pt>
                <c:pt idx="49">
                  <c:v>4.8E-005</c:v>
                </c:pt>
                <c:pt idx="50">
                  <c:v>4.8E-005</c:v>
                </c:pt>
                <c:pt idx="51">
                  <c:v>4.8E-005</c:v>
                </c:pt>
                <c:pt idx="52">
                  <c:v>4.8E-005</c:v>
                </c:pt>
                <c:pt idx="53">
                  <c:v>4.8E-005</c:v>
                </c:pt>
                <c:pt idx="54">
                  <c:v>4.8E-005</c:v>
                </c:pt>
                <c:pt idx="55">
                  <c:v>4.8E-005</c:v>
                </c:pt>
                <c:pt idx="56">
                  <c:v>4.8E-005</c:v>
                </c:pt>
                <c:pt idx="57">
                  <c:v>4.8E-005</c:v>
                </c:pt>
                <c:pt idx="58">
                  <c:v>4.8E-005</c:v>
                </c:pt>
                <c:pt idx="59">
                  <c:v>4.8E-005</c:v>
                </c:pt>
                <c:pt idx="60">
                  <c:v>4.8E-005</c:v>
                </c:pt>
                <c:pt idx="61">
                  <c:v>4.8E-005</c:v>
                </c:pt>
                <c:pt idx="62">
                  <c:v>5E-005</c:v>
                </c:pt>
                <c:pt idx="63">
                  <c:v>5E-005</c:v>
                </c:pt>
                <c:pt idx="64">
                  <c:v>5E-005</c:v>
                </c:pt>
                <c:pt idx="65">
                  <c:v>5E-005</c:v>
                </c:pt>
                <c:pt idx="66">
                  <c:v>5E-005</c:v>
                </c:pt>
                <c:pt idx="67">
                  <c:v>5E-005</c:v>
                </c:pt>
                <c:pt idx="68">
                  <c:v>4E-005</c:v>
                </c:pt>
                <c:pt idx="69">
                  <c:v>4E-005</c:v>
                </c:pt>
                <c:pt idx="70">
                  <c:v>4E-005</c:v>
                </c:pt>
                <c:pt idx="71">
                  <c:v>4E-005</c:v>
                </c:pt>
                <c:pt idx="72">
                  <c:v>4E-005</c:v>
                </c:pt>
                <c:pt idx="73">
                  <c:v>4E-005</c:v>
                </c:pt>
                <c:pt idx="74">
                  <c:v>4.6E-005</c:v>
                </c:pt>
                <c:pt idx="75">
                  <c:v>4.6E-005</c:v>
                </c:pt>
                <c:pt idx="76">
                  <c:v>4.6E-005</c:v>
                </c:pt>
                <c:pt idx="77">
                  <c:v>4.6E-005</c:v>
                </c:pt>
                <c:pt idx="78">
                  <c:v>4.6E-005</c:v>
                </c:pt>
                <c:pt idx="79">
                  <c:v>4.6E-005</c:v>
                </c:pt>
                <c:pt idx="80">
                  <c:v>4.7E-005</c:v>
                </c:pt>
                <c:pt idx="81">
                  <c:v>4.7E-005</c:v>
                </c:pt>
                <c:pt idx="82">
                  <c:v>4.7E-005</c:v>
                </c:pt>
                <c:pt idx="83">
                  <c:v>4.7E-005</c:v>
                </c:pt>
                <c:pt idx="84">
                  <c:v>4.7E-005</c:v>
                </c:pt>
                <c:pt idx="85">
                  <c:v>4.7E-005</c:v>
                </c:pt>
                <c:pt idx="86">
                  <c:v>6.2E-005</c:v>
                </c:pt>
                <c:pt idx="87">
                  <c:v>6.2E-005</c:v>
                </c:pt>
                <c:pt idx="88">
                  <c:v>6.2E-005</c:v>
                </c:pt>
                <c:pt idx="89">
                  <c:v>6.2E-005</c:v>
                </c:pt>
                <c:pt idx="90">
                  <c:v>6.2E-005</c:v>
                </c:pt>
                <c:pt idx="91">
                  <c:v>6.2E-005</c:v>
                </c:pt>
                <c:pt idx="92">
                  <c:v>5E-005</c:v>
                </c:pt>
                <c:pt idx="93">
                  <c:v>5E-005</c:v>
                </c:pt>
                <c:pt idx="94">
                  <c:v>5E-005</c:v>
                </c:pt>
                <c:pt idx="95">
                  <c:v>5E-005</c:v>
                </c:pt>
                <c:pt idx="96">
                  <c:v>5E-005</c:v>
                </c:pt>
                <c:pt idx="97">
                  <c:v>5E-005</c:v>
                </c:pt>
                <c:pt idx="98">
                  <c:v>5E-005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020774"/>
        <c:axId val="64605152"/>
      </c:lineChart>
      <c:catAx>
        <c:axId val="86020774"/>
        <c:scaling>
          <c:orientation val="minMax"/>
        </c:scaling>
        <c:delete val="0"/>
        <c:axPos val="b"/>
        <c:numFmt formatCode="[$-409]mmm\-yy" sourceLinked="1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05152"/>
        <c:crossesAt val="0"/>
        <c:auto val="1"/>
        <c:lblAlgn val="ctr"/>
        <c:lblOffset val="100"/>
        <c:noMultiLvlLbl val="0"/>
      </c:catAx>
      <c:valAx>
        <c:axId val="64605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00%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2077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daily!$L$7</c:f>
              <c:strCache>
                <c:ptCount val="1"/>
                <c:pt idx="0">
                  <c:v>Retained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daily!$Q$18:$Q$117</c:f>
              <c:numCache>
                <c:formatCode>0.0</c:formatCode>
                <c:ptCount val="100"/>
                <c:pt idx="0">
                  <c:v>40.1494</c:v>
                </c:pt>
                <c:pt idx="1">
                  <c:v>18.8741935483871</c:v>
                </c:pt>
                <c:pt idx="2">
                  <c:v>10.1612903225806</c:v>
                </c:pt>
                <c:pt idx="3">
                  <c:v>32.175</c:v>
                </c:pt>
                <c:pt idx="4">
                  <c:v>32.0891290322581</c:v>
                </c:pt>
                <c:pt idx="5">
                  <c:v>26.7945</c:v>
                </c:pt>
                <c:pt idx="6">
                  <c:v>24.1100322580645</c:v>
                </c:pt>
                <c:pt idx="7">
                  <c:v>20.7213</c:v>
                </c:pt>
                <c:pt idx="8">
                  <c:v>18.5204516129032</c:v>
                </c:pt>
                <c:pt idx="9">
                  <c:v>20.6494516129032</c:v>
                </c:pt>
                <c:pt idx="10">
                  <c:v>27.2804333333333</c:v>
                </c:pt>
                <c:pt idx="11">
                  <c:v>30.7942258064516</c:v>
                </c:pt>
                <c:pt idx="12">
                  <c:v>42.0251</c:v>
                </c:pt>
                <c:pt idx="13">
                  <c:v>44.9253870967742</c:v>
                </c:pt>
                <c:pt idx="14">
                  <c:v>47.3949032258065</c:v>
                </c:pt>
                <c:pt idx="15">
                  <c:v>51.7179285714286</c:v>
                </c:pt>
                <c:pt idx="16">
                  <c:v>53.0376451612903</c:v>
                </c:pt>
                <c:pt idx="17">
                  <c:v>55.2365333333333</c:v>
                </c:pt>
                <c:pt idx="18">
                  <c:v>53.6193548387097</c:v>
                </c:pt>
                <c:pt idx="19">
                  <c:v>55.9788333333333</c:v>
                </c:pt>
                <c:pt idx="20">
                  <c:v>53.2697741935484</c:v>
                </c:pt>
                <c:pt idx="21">
                  <c:v>56.4907419354839</c:v>
                </c:pt>
                <c:pt idx="22">
                  <c:v>55.8949333333333</c:v>
                </c:pt>
                <c:pt idx="23">
                  <c:v>46.6660322580645</c:v>
                </c:pt>
                <c:pt idx="24">
                  <c:v>48.5110666666667</c:v>
                </c:pt>
                <c:pt idx="25">
                  <c:v>51.3445483870968</c:v>
                </c:pt>
                <c:pt idx="26">
                  <c:v>48.3329032258065</c:v>
                </c:pt>
                <c:pt idx="27">
                  <c:v>46.5633793103448</c:v>
                </c:pt>
                <c:pt idx="28">
                  <c:v>47.8518387096774</c:v>
                </c:pt>
                <c:pt idx="29">
                  <c:v>38.1981333333333</c:v>
                </c:pt>
                <c:pt idx="30">
                  <c:v>42.5065483870968</c:v>
                </c:pt>
                <c:pt idx="31">
                  <c:v>46.2289666666667</c:v>
                </c:pt>
                <c:pt idx="32">
                  <c:v>48.6720967741936</c:v>
                </c:pt>
                <c:pt idx="33">
                  <c:v>53.5381612903226</c:v>
                </c:pt>
                <c:pt idx="34">
                  <c:v>55.0918666666667</c:v>
                </c:pt>
                <c:pt idx="35">
                  <c:v>56.8785806451613</c:v>
                </c:pt>
                <c:pt idx="36">
                  <c:v>57.7943</c:v>
                </c:pt>
                <c:pt idx="37">
                  <c:v>56.9523870967742</c:v>
                </c:pt>
                <c:pt idx="38">
                  <c:v>68.2758709677419</c:v>
                </c:pt>
                <c:pt idx="39">
                  <c:v>69.7037857142857</c:v>
                </c:pt>
                <c:pt idx="40">
                  <c:v>66.7760322580645</c:v>
                </c:pt>
                <c:pt idx="41">
                  <c:v>61.4248</c:v>
                </c:pt>
                <c:pt idx="42">
                  <c:v>59.3788064516129</c:v>
                </c:pt>
                <c:pt idx="43">
                  <c:v>55.7363</c:v>
                </c:pt>
                <c:pt idx="44">
                  <c:v>55.9837419354839</c:v>
                </c:pt>
                <c:pt idx="45">
                  <c:v>60.7269677419355</c:v>
                </c:pt>
                <c:pt idx="46">
                  <c:v>60.1358333333333</c:v>
                </c:pt>
                <c:pt idx="47">
                  <c:v>64.6340967741936</c:v>
                </c:pt>
                <c:pt idx="48">
                  <c:v>66.4728333333333</c:v>
                </c:pt>
                <c:pt idx="49">
                  <c:v>64.2978064516129</c:v>
                </c:pt>
                <c:pt idx="50">
                  <c:v>61.9102258064516</c:v>
                </c:pt>
                <c:pt idx="51">
                  <c:v>64.4906071428571</c:v>
                </c:pt>
                <c:pt idx="52">
                  <c:v>62.0923225806452</c:v>
                </c:pt>
                <c:pt idx="53">
                  <c:v>58.3919333333333</c:v>
                </c:pt>
                <c:pt idx="54">
                  <c:v>56.8934516129032</c:v>
                </c:pt>
                <c:pt idx="55">
                  <c:v>58.0861666666667</c:v>
                </c:pt>
                <c:pt idx="56">
                  <c:v>58.0244193548387</c:v>
                </c:pt>
                <c:pt idx="57">
                  <c:v>62.8208064516129</c:v>
                </c:pt>
                <c:pt idx="58">
                  <c:v>64.241</c:v>
                </c:pt>
                <c:pt idx="59">
                  <c:v>61.9472903225806</c:v>
                </c:pt>
                <c:pt idx="60">
                  <c:v>63.5882333333333</c:v>
                </c:pt>
                <c:pt idx="61">
                  <c:v>63.5537419354839</c:v>
                </c:pt>
                <c:pt idx="62">
                  <c:v>60.5275806451613</c:v>
                </c:pt>
                <c:pt idx="63">
                  <c:v>52.4278214285714</c:v>
                </c:pt>
                <c:pt idx="64">
                  <c:v>41.8681935483871</c:v>
                </c:pt>
                <c:pt idx="65">
                  <c:v>43.9547666666667</c:v>
                </c:pt>
                <c:pt idx="66">
                  <c:v>41.419064516129</c:v>
                </c:pt>
                <c:pt idx="67">
                  <c:v>42.8200333333333</c:v>
                </c:pt>
                <c:pt idx="68">
                  <c:v>35.378</c:v>
                </c:pt>
                <c:pt idx="69">
                  <c:v>36.607064516129</c:v>
                </c:pt>
                <c:pt idx="70">
                  <c:v>51.4668</c:v>
                </c:pt>
                <c:pt idx="71">
                  <c:v>51.4475806451613</c:v>
                </c:pt>
                <c:pt idx="72">
                  <c:v>51.4156333333333</c:v>
                </c:pt>
                <c:pt idx="73">
                  <c:v>53.1341935483871</c:v>
                </c:pt>
                <c:pt idx="74">
                  <c:v>60.39</c:v>
                </c:pt>
                <c:pt idx="75">
                  <c:v>60.8774137931034</c:v>
                </c:pt>
                <c:pt idx="76">
                  <c:v>43.5067096774194</c:v>
                </c:pt>
                <c:pt idx="77">
                  <c:v>37.7875333333333</c:v>
                </c:pt>
                <c:pt idx="78">
                  <c:v>40.0402258064516</c:v>
                </c:pt>
                <c:pt idx="79">
                  <c:v>43.7492666666667</c:v>
                </c:pt>
                <c:pt idx="80">
                  <c:v>56.4610967741936</c:v>
                </c:pt>
                <c:pt idx="81">
                  <c:v>58.3535161290323</c:v>
                </c:pt>
                <c:pt idx="82">
                  <c:v>59.8572666666667</c:v>
                </c:pt>
                <c:pt idx="83">
                  <c:v>60.622064516129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daily!$V$7</c:f>
              <c:strCache>
                <c:ptCount val="1"/>
                <c:pt idx="0">
                  <c:v>Act.Used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custDash>
                <a:ds d="300000" sp="300000"/>
              </a:custDash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daily!$P$18:$P$117</c:f>
              <c:numCache>
                <c:formatCode>0.0</c:formatCode>
                <c:ptCount val="100"/>
                <c:pt idx="0">
                  <c:v>22.0428</c:v>
                </c:pt>
                <c:pt idx="1">
                  <c:v>24.4797096774194</c:v>
                </c:pt>
                <c:pt idx="2">
                  <c:v>24.5595806451613</c:v>
                </c:pt>
                <c:pt idx="3">
                  <c:v>23.119</c:v>
                </c:pt>
                <c:pt idx="4">
                  <c:v>18.8763548387097</c:v>
                </c:pt>
                <c:pt idx="5">
                  <c:v>24.0796</c:v>
                </c:pt>
                <c:pt idx="6">
                  <c:v>23.0266451612903</c:v>
                </c:pt>
                <c:pt idx="7">
                  <c:v>18.2473666666667</c:v>
                </c:pt>
                <c:pt idx="8">
                  <c:v>27.0423870967742</c:v>
                </c:pt>
                <c:pt idx="9">
                  <c:v>40.9791612903226</c:v>
                </c:pt>
                <c:pt idx="10">
                  <c:v>26.2352333333333</c:v>
                </c:pt>
                <c:pt idx="11">
                  <c:v>45.6022903225806</c:v>
                </c:pt>
                <c:pt idx="12">
                  <c:v>48.1564666666667</c:v>
                </c:pt>
                <c:pt idx="13">
                  <c:v>54.8841935483871</c:v>
                </c:pt>
                <c:pt idx="14">
                  <c:v>60.9711290322581</c:v>
                </c:pt>
                <c:pt idx="15">
                  <c:v>34.4754642857143</c:v>
                </c:pt>
                <c:pt idx="16">
                  <c:v>57.4791935483871</c:v>
                </c:pt>
                <c:pt idx="17">
                  <c:v>51.8849</c:v>
                </c:pt>
                <c:pt idx="18">
                  <c:v>47.1686774193548</c:v>
                </c:pt>
                <c:pt idx="19">
                  <c:v>44.7335333333333</c:v>
                </c:pt>
                <c:pt idx="20">
                  <c:v>48.6292580645161</c:v>
                </c:pt>
                <c:pt idx="21">
                  <c:v>50.5469032258065</c:v>
                </c:pt>
                <c:pt idx="22">
                  <c:v>52.1132666666667</c:v>
                </c:pt>
                <c:pt idx="23">
                  <c:v>54.5620967741936</c:v>
                </c:pt>
                <c:pt idx="24">
                  <c:v>50.9833</c:v>
                </c:pt>
                <c:pt idx="25">
                  <c:v>58.5100967741936</c:v>
                </c:pt>
                <c:pt idx="26">
                  <c:v>51.6861612903226</c:v>
                </c:pt>
                <c:pt idx="27">
                  <c:v>41.9206206896552</c:v>
                </c:pt>
                <c:pt idx="28">
                  <c:v>42.6024516129032</c:v>
                </c:pt>
                <c:pt idx="29">
                  <c:v>36.4444666666667</c:v>
                </c:pt>
                <c:pt idx="30">
                  <c:v>50.6286774193548</c:v>
                </c:pt>
                <c:pt idx="31">
                  <c:v>53.4771</c:v>
                </c:pt>
                <c:pt idx="32">
                  <c:v>64.978935483871</c:v>
                </c:pt>
                <c:pt idx="33">
                  <c:v>65.8271612903226</c:v>
                </c:pt>
                <c:pt idx="34">
                  <c:v>69.7858333333333</c:v>
                </c:pt>
                <c:pt idx="35">
                  <c:v>67.4857419354839</c:v>
                </c:pt>
                <c:pt idx="36">
                  <c:v>74.3606666666667</c:v>
                </c:pt>
                <c:pt idx="37">
                  <c:v>64.6757096774194</c:v>
                </c:pt>
                <c:pt idx="38">
                  <c:v>52.4691935483871</c:v>
                </c:pt>
                <c:pt idx="39">
                  <c:v>49.15275</c:v>
                </c:pt>
                <c:pt idx="40">
                  <c:v>48.6694516129032</c:v>
                </c:pt>
                <c:pt idx="41">
                  <c:v>52.7867</c:v>
                </c:pt>
                <c:pt idx="42">
                  <c:v>44.8858387096774</c:v>
                </c:pt>
                <c:pt idx="43">
                  <c:v>48.7984</c:v>
                </c:pt>
                <c:pt idx="44">
                  <c:v>59.6107096774194</c:v>
                </c:pt>
                <c:pt idx="45">
                  <c:v>65.092935483871</c:v>
                </c:pt>
                <c:pt idx="46">
                  <c:v>63.5491666666667</c:v>
                </c:pt>
                <c:pt idx="47">
                  <c:v>71.209064516129</c:v>
                </c:pt>
                <c:pt idx="48">
                  <c:v>66.6151</c:v>
                </c:pt>
                <c:pt idx="49">
                  <c:v>64.9638387096774</c:v>
                </c:pt>
                <c:pt idx="50">
                  <c:v>54.212</c:v>
                </c:pt>
                <c:pt idx="51">
                  <c:v>59.7226428571429</c:v>
                </c:pt>
                <c:pt idx="52">
                  <c:v>62.6591935483871</c:v>
                </c:pt>
                <c:pt idx="53">
                  <c:v>65.2796</c:v>
                </c:pt>
                <c:pt idx="54">
                  <c:v>64.3853870967742</c:v>
                </c:pt>
                <c:pt idx="55">
                  <c:v>53.0462666666667</c:v>
                </c:pt>
                <c:pt idx="56">
                  <c:v>65.5412903225807</c:v>
                </c:pt>
                <c:pt idx="57">
                  <c:v>62.2203225806452</c:v>
                </c:pt>
                <c:pt idx="58">
                  <c:v>72.0145</c:v>
                </c:pt>
                <c:pt idx="59">
                  <c:v>48.4498387096774</c:v>
                </c:pt>
                <c:pt idx="60">
                  <c:v>57.3215333333333</c:v>
                </c:pt>
                <c:pt idx="61">
                  <c:v>56.2344838709677</c:v>
                </c:pt>
                <c:pt idx="62">
                  <c:v>42.8506129032258</c:v>
                </c:pt>
                <c:pt idx="63">
                  <c:v>33.2443214285714</c:v>
                </c:pt>
                <c:pt idx="64">
                  <c:v>28.4057419354839</c:v>
                </c:pt>
                <c:pt idx="65">
                  <c:v>52.6818333333333</c:v>
                </c:pt>
                <c:pt idx="66">
                  <c:v>43.3352580645161</c:v>
                </c:pt>
                <c:pt idx="67">
                  <c:v>32.3827</c:v>
                </c:pt>
                <c:pt idx="68">
                  <c:v>39.5521935483871</c:v>
                </c:pt>
                <c:pt idx="69">
                  <c:v>46.3158064516129</c:v>
                </c:pt>
                <c:pt idx="70">
                  <c:v>63.0203333333333</c:v>
                </c:pt>
                <c:pt idx="71">
                  <c:v>69.1420322580645</c:v>
                </c:pt>
                <c:pt idx="72">
                  <c:v>55.3478666666667</c:v>
                </c:pt>
                <c:pt idx="73">
                  <c:v>59.3383548387097</c:v>
                </c:pt>
                <c:pt idx="74">
                  <c:v>51.7672258064516</c:v>
                </c:pt>
                <c:pt idx="75">
                  <c:v>47.6705517241379</c:v>
                </c:pt>
                <c:pt idx="76">
                  <c:v>51.6573548387097</c:v>
                </c:pt>
                <c:pt idx="77">
                  <c:v>41.6411</c:v>
                </c:pt>
                <c:pt idx="78">
                  <c:v>49.5541612903226</c:v>
                </c:pt>
                <c:pt idx="79">
                  <c:v>57.4666333333333</c:v>
                </c:pt>
                <c:pt idx="80">
                  <c:v>67.0439677419355</c:v>
                </c:pt>
                <c:pt idx="81">
                  <c:v>64.2513870967742</c:v>
                </c:pt>
                <c:pt idx="82">
                  <c:v>61.2416</c:v>
                </c:pt>
                <c:pt idx="83">
                  <c:v>54.0012903225806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daily!$D$7</c:f>
              <c:strCache>
                <c:ptCount val="1"/>
                <c:pt idx="0">
                  <c:v>Est.Used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custDash>
                <a:ds d="300000" sp="300000"/>
              </a:custDash>
              <a:round/>
            </a:ln>
          </c:spPr>
          <c:marker>
            <c:symbol val="triangle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daily!$D$18:$D$117</c:f>
              <c:numCache>
                <c:formatCode>0.0</c:formatCode>
                <c:ptCount val="100"/>
                <c:pt idx="3">
                  <c:v>32.2071428571429</c:v>
                </c:pt>
                <c:pt idx="4">
                  <c:v>23.5451612903226</c:v>
                </c:pt>
                <c:pt idx="5">
                  <c:v>29.8966666666667</c:v>
                </c:pt>
                <c:pt idx="6">
                  <c:v>37.9677419354839</c:v>
                </c:pt>
                <c:pt idx="7">
                  <c:v>23.9166666666667</c:v>
                </c:pt>
                <c:pt idx="8">
                  <c:v>24.7612903225806</c:v>
                </c:pt>
                <c:pt idx="9">
                  <c:v>30.1903225806452</c:v>
                </c:pt>
                <c:pt idx="10">
                  <c:v>29.0566666666667</c:v>
                </c:pt>
                <c:pt idx="11">
                  <c:v>22.6290322580645</c:v>
                </c:pt>
                <c:pt idx="12">
                  <c:v>33.3333333333333</c:v>
                </c:pt>
                <c:pt idx="13">
                  <c:v>40.3451612903226</c:v>
                </c:pt>
                <c:pt idx="14">
                  <c:v>42.4709677419355</c:v>
                </c:pt>
                <c:pt idx="15">
                  <c:v>50.7142857142857</c:v>
                </c:pt>
                <c:pt idx="16">
                  <c:v>41.1290322580645</c:v>
                </c:pt>
                <c:pt idx="17">
                  <c:v>49.6666666666667</c:v>
                </c:pt>
                <c:pt idx="18">
                  <c:v>58.8709677419355</c:v>
                </c:pt>
                <c:pt idx="19">
                  <c:v>49.5</c:v>
                </c:pt>
                <c:pt idx="20">
                  <c:v>50.9677419354839</c:v>
                </c:pt>
                <c:pt idx="21">
                  <c:v>58.0645161290323</c:v>
                </c:pt>
                <c:pt idx="22">
                  <c:v>52.5</c:v>
                </c:pt>
                <c:pt idx="23">
                  <c:v>47.9032258064516</c:v>
                </c:pt>
                <c:pt idx="24">
                  <c:v>47.5</c:v>
                </c:pt>
                <c:pt idx="25">
                  <c:v>37.9032258064516</c:v>
                </c:pt>
                <c:pt idx="26">
                  <c:v>40.3225806451613</c:v>
                </c:pt>
                <c:pt idx="27">
                  <c:v>37.9310344827586</c:v>
                </c:pt>
                <c:pt idx="28">
                  <c:v>43.5483870967742</c:v>
                </c:pt>
                <c:pt idx="29">
                  <c:v>45.8333333333333</c:v>
                </c:pt>
                <c:pt idx="30">
                  <c:v>49.1935483870968</c:v>
                </c:pt>
                <c:pt idx="31">
                  <c:v>49.4</c:v>
                </c:pt>
                <c:pt idx="32">
                  <c:v>44.1935483870968</c:v>
                </c:pt>
                <c:pt idx="33">
                  <c:v>49.6774193548387</c:v>
                </c:pt>
                <c:pt idx="34">
                  <c:v>43.3333333333333</c:v>
                </c:pt>
                <c:pt idx="35">
                  <c:v>44.3548387096774</c:v>
                </c:pt>
                <c:pt idx="36">
                  <c:v>43.1666666666667</c:v>
                </c:pt>
                <c:pt idx="37">
                  <c:v>45.1612903225807</c:v>
                </c:pt>
                <c:pt idx="38">
                  <c:v>53.2258064516129</c:v>
                </c:pt>
                <c:pt idx="39">
                  <c:v>60.7142857142857</c:v>
                </c:pt>
                <c:pt idx="40">
                  <c:v>59.6774193548387</c:v>
                </c:pt>
                <c:pt idx="41">
                  <c:v>60.8333333333333</c:v>
                </c:pt>
                <c:pt idx="42">
                  <c:v>56.4516129032258</c:v>
                </c:pt>
                <c:pt idx="43">
                  <c:v>48.6666666666667</c:v>
                </c:pt>
                <c:pt idx="44">
                  <c:v>52.9032258064516</c:v>
                </c:pt>
                <c:pt idx="45">
                  <c:v>49.6774193548387</c:v>
                </c:pt>
                <c:pt idx="46">
                  <c:v>51.6666666666667</c:v>
                </c:pt>
                <c:pt idx="47">
                  <c:v>55.4838709677419</c:v>
                </c:pt>
                <c:pt idx="48">
                  <c:v>49.1166666666667</c:v>
                </c:pt>
                <c:pt idx="49">
                  <c:v>58.8709677419355</c:v>
                </c:pt>
                <c:pt idx="50">
                  <c:v>50.3225806451613</c:v>
                </c:pt>
                <c:pt idx="51">
                  <c:v>64.6428571428571</c:v>
                </c:pt>
                <c:pt idx="52">
                  <c:v>54.8387096774194</c:v>
                </c:pt>
                <c:pt idx="53">
                  <c:v>52.5</c:v>
                </c:pt>
                <c:pt idx="54">
                  <c:v>51.6129032258065</c:v>
                </c:pt>
                <c:pt idx="55">
                  <c:v>51</c:v>
                </c:pt>
                <c:pt idx="56">
                  <c:v>48.3870967741936</c:v>
                </c:pt>
                <c:pt idx="57">
                  <c:v>53.2258064516129</c:v>
                </c:pt>
                <c:pt idx="58">
                  <c:v>50</c:v>
                </c:pt>
                <c:pt idx="59">
                  <c:v>54.6774193548387</c:v>
                </c:pt>
                <c:pt idx="60">
                  <c:v>53.3333333333333</c:v>
                </c:pt>
                <c:pt idx="61">
                  <c:v>62.9032258064516</c:v>
                </c:pt>
                <c:pt idx="62">
                  <c:v>60.4838709677419</c:v>
                </c:pt>
                <c:pt idx="63">
                  <c:v>51.9642857142857</c:v>
                </c:pt>
                <c:pt idx="64">
                  <c:v>47.4193548387097</c:v>
                </c:pt>
                <c:pt idx="65">
                  <c:v>54.5</c:v>
                </c:pt>
                <c:pt idx="66">
                  <c:v>41.9354838709677</c:v>
                </c:pt>
                <c:pt idx="67">
                  <c:v>33.3333333333333</c:v>
                </c:pt>
                <c:pt idx="68">
                  <c:v>29.8387096774194</c:v>
                </c:pt>
                <c:pt idx="69">
                  <c:v>35.4838709677419</c:v>
                </c:pt>
                <c:pt idx="70">
                  <c:v>47</c:v>
                </c:pt>
                <c:pt idx="71">
                  <c:v>39.0322580645161</c:v>
                </c:pt>
                <c:pt idx="72">
                  <c:v>43.3333333333333</c:v>
                </c:pt>
                <c:pt idx="73">
                  <c:v>39.5161290322581</c:v>
                </c:pt>
                <c:pt idx="74">
                  <c:v>58.0645161290323</c:v>
                </c:pt>
                <c:pt idx="75">
                  <c:v>56.3793103448276</c:v>
                </c:pt>
                <c:pt idx="76">
                  <c:v>43.5483870967742</c:v>
                </c:pt>
                <c:pt idx="77">
                  <c:v>48.3333333333333</c:v>
                </c:pt>
                <c:pt idx="78">
                  <c:v>25.8064516129032</c:v>
                </c:pt>
                <c:pt idx="79">
                  <c:v>34.1666666666667</c:v>
                </c:pt>
                <c:pt idx="80">
                  <c:v>38.0161290322581</c:v>
                </c:pt>
                <c:pt idx="81">
                  <c:v>37.5806451612903</c:v>
                </c:pt>
                <c:pt idx="82">
                  <c:v>41.6666666666667</c:v>
                </c:pt>
                <c:pt idx="83">
                  <c:v>42.741935483871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daily!$I$7</c:f>
              <c:strCache>
                <c:ptCount val="1"/>
                <c:pt idx="0">
                  <c:v>2be.retain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custDash>
                <a:ds d="300000" sp="300000"/>
              </a:custDash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daily!$B$18:$B$117</c:f>
              <c:strCache>
                <c:ptCount val="100"/>
                <c:pt idx="0">
                  <c:v>Nov-93</c:v>
                </c:pt>
                <c:pt idx="1">
                  <c:v>Dec-93</c:v>
                </c:pt>
                <c:pt idx="2">
                  <c:v>Jan-94</c:v>
                </c:pt>
                <c:pt idx="3">
                  <c:v>Feb-94</c:v>
                </c:pt>
                <c:pt idx="4">
                  <c:v>Mar-94</c:v>
                </c:pt>
                <c:pt idx="5">
                  <c:v>Apr-94</c:v>
                </c:pt>
                <c:pt idx="6">
                  <c:v>May-94</c:v>
                </c:pt>
                <c:pt idx="7">
                  <c:v>Jun-94</c:v>
                </c:pt>
                <c:pt idx="8">
                  <c:v>Jul-94</c:v>
                </c:pt>
                <c:pt idx="9">
                  <c:v>Aug-94</c:v>
                </c:pt>
                <c:pt idx="10">
                  <c:v>Sep-94</c:v>
                </c:pt>
                <c:pt idx="11">
                  <c:v>Oct-94</c:v>
                </c:pt>
                <c:pt idx="12">
                  <c:v>Nov-94</c:v>
                </c:pt>
                <c:pt idx="13">
                  <c:v>Dec-94</c:v>
                </c:pt>
                <c:pt idx="14">
                  <c:v>Jan-95</c:v>
                </c:pt>
                <c:pt idx="15">
                  <c:v>Feb-95</c:v>
                </c:pt>
                <c:pt idx="16">
                  <c:v>Mar-95</c:v>
                </c:pt>
                <c:pt idx="17">
                  <c:v>Apr-95</c:v>
                </c:pt>
                <c:pt idx="18">
                  <c:v>May-95</c:v>
                </c:pt>
                <c:pt idx="19">
                  <c:v>Jun-95</c:v>
                </c:pt>
                <c:pt idx="20">
                  <c:v>Jul-95</c:v>
                </c:pt>
                <c:pt idx="21">
                  <c:v>Aug-95</c:v>
                </c:pt>
                <c:pt idx="22">
                  <c:v>Sep-95</c:v>
                </c:pt>
                <c:pt idx="23">
                  <c:v>Oct-95</c:v>
                </c:pt>
                <c:pt idx="24">
                  <c:v>Nov-95</c:v>
                </c:pt>
                <c:pt idx="25">
                  <c:v>Dec-95</c:v>
                </c:pt>
                <c:pt idx="26">
                  <c:v>Jan-96</c:v>
                </c:pt>
                <c:pt idx="27">
                  <c:v>Feb-96</c:v>
                </c:pt>
                <c:pt idx="28">
                  <c:v>Mar-96</c:v>
                </c:pt>
                <c:pt idx="29">
                  <c:v>Apr-96</c:v>
                </c:pt>
                <c:pt idx="30">
                  <c:v>May-96</c:v>
                </c:pt>
                <c:pt idx="31">
                  <c:v>Jun-96</c:v>
                </c:pt>
                <c:pt idx="32">
                  <c:v>Jul-96</c:v>
                </c:pt>
                <c:pt idx="33">
                  <c:v>Aug-96</c:v>
                </c:pt>
                <c:pt idx="34">
                  <c:v>Sep-96</c:v>
                </c:pt>
                <c:pt idx="35">
                  <c:v>Oct-96</c:v>
                </c:pt>
                <c:pt idx="36">
                  <c:v>Nov-96</c:v>
                </c:pt>
                <c:pt idx="37">
                  <c:v>Dec-96</c:v>
                </c:pt>
                <c:pt idx="38">
                  <c:v>Jan-97</c:v>
                </c:pt>
                <c:pt idx="39">
                  <c:v>Feb-97</c:v>
                </c:pt>
                <c:pt idx="40">
                  <c:v>Mar-97</c:v>
                </c:pt>
                <c:pt idx="41">
                  <c:v>Apr-97</c:v>
                </c:pt>
                <c:pt idx="42">
                  <c:v>May-97</c:v>
                </c:pt>
                <c:pt idx="43">
                  <c:v>Jun-97</c:v>
                </c:pt>
                <c:pt idx="44">
                  <c:v>Jul-97</c:v>
                </c:pt>
                <c:pt idx="45">
                  <c:v>Aug-97</c:v>
                </c:pt>
                <c:pt idx="46">
                  <c:v>Sep-97</c:v>
                </c:pt>
                <c:pt idx="47">
                  <c:v>Oct-97</c:v>
                </c:pt>
                <c:pt idx="48">
                  <c:v>Nov-97</c:v>
                </c:pt>
                <c:pt idx="49">
                  <c:v>Dec-97</c:v>
                </c:pt>
                <c:pt idx="50">
                  <c:v>Jan-98</c:v>
                </c:pt>
                <c:pt idx="51">
                  <c:v>Feb-98</c:v>
                </c:pt>
                <c:pt idx="52">
                  <c:v>Mar-98</c:v>
                </c:pt>
                <c:pt idx="53">
                  <c:v>Apr-98</c:v>
                </c:pt>
                <c:pt idx="54">
                  <c:v>May-98</c:v>
                </c:pt>
                <c:pt idx="55">
                  <c:v>Jun-98</c:v>
                </c:pt>
                <c:pt idx="56">
                  <c:v>Jul-98</c:v>
                </c:pt>
                <c:pt idx="57">
                  <c:v>Aug-98</c:v>
                </c:pt>
                <c:pt idx="58">
                  <c:v>Sep-98</c:v>
                </c:pt>
                <c:pt idx="59">
                  <c:v>Oct-98</c:v>
                </c:pt>
                <c:pt idx="60">
                  <c:v>Nov-98</c:v>
                </c:pt>
                <c:pt idx="61">
                  <c:v>Dec-98</c:v>
                </c:pt>
                <c:pt idx="62">
                  <c:v>Jan-99</c:v>
                </c:pt>
                <c:pt idx="63">
                  <c:v>Feb-99</c:v>
                </c:pt>
                <c:pt idx="64">
                  <c:v>Mar-99</c:v>
                </c:pt>
                <c:pt idx="65">
                  <c:v>Apr-99</c:v>
                </c:pt>
                <c:pt idx="66">
                  <c:v>May-99</c:v>
                </c:pt>
                <c:pt idx="67">
                  <c:v>Jun-99</c:v>
                </c:pt>
                <c:pt idx="68">
                  <c:v>Jul-99</c:v>
                </c:pt>
                <c:pt idx="69">
                  <c:v>Aug-99</c:v>
                </c:pt>
                <c:pt idx="70">
                  <c:v>Sep-99</c:v>
                </c:pt>
                <c:pt idx="71">
                  <c:v>Oct-99</c:v>
                </c:pt>
                <c:pt idx="72">
                  <c:v>Nov-99</c:v>
                </c:pt>
                <c:pt idx="73">
                  <c:v>Dec-99</c:v>
                </c:pt>
                <c:pt idx="74">
                  <c:v>Jan-00</c:v>
                </c:pt>
                <c:pt idx="75">
                  <c:v>Feb-00</c:v>
                </c:pt>
                <c:pt idx="76">
                  <c:v>Mar-00</c:v>
                </c:pt>
                <c:pt idx="77">
                  <c:v>Apr-00</c:v>
                </c:pt>
                <c:pt idx="78">
                  <c:v>May-00</c:v>
                </c:pt>
                <c:pt idx="79">
                  <c:v>Jun-00</c:v>
                </c:pt>
                <c:pt idx="80">
                  <c:v>Jul-00</c:v>
                </c:pt>
                <c:pt idx="81">
                  <c:v>Aug-00</c:v>
                </c:pt>
                <c:pt idx="82">
                  <c:v>Sep-00</c:v>
                </c:pt>
                <c:pt idx="83">
                  <c:v>Oct-00</c:v>
                </c:pt>
                <c:pt idx="84">
                  <c:v>Nov-00</c:v>
                </c:pt>
                <c:pt idx="85">
                  <c:v>Dec-00</c:v>
                </c:pt>
                <c:pt idx="86">
                  <c:v>Jan-01</c:v>
                </c:pt>
                <c:pt idx="87">
                  <c:v>Feb-01</c:v>
                </c:pt>
                <c:pt idx="88">
                  <c:v>Mar-01</c:v>
                </c:pt>
                <c:pt idx="89">
                  <c:v>Apr-01</c:v>
                </c:pt>
                <c:pt idx="90">
                  <c:v>May-01</c:v>
                </c:pt>
                <c:pt idx="91">
                  <c:v>Jun-01</c:v>
                </c:pt>
                <c:pt idx="92">
                  <c:v>Jul-01</c:v>
                </c:pt>
                <c:pt idx="93">
                  <c:v>Aug-01</c:v>
                </c:pt>
                <c:pt idx="94">
                  <c:v>Sep-01</c:v>
                </c:pt>
                <c:pt idx="95">
                  <c:v>Oct-01</c:v>
                </c:pt>
                <c:pt idx="96">
                  <c:v>Nov-01</c:v>
                </c:pt>
                <c:pt idx="97">
                  <c:v>Dec-01</c:v>
                </c:pt>
                <c:pt idx="98">
                  <c:v>Jan-02</c:v>
                </c:pt>
                <c:pt idx="99">
                  <c:v/>
                </c:pt>
              </c:strCache>
            </c:strRef>
          </c:cat>
          <c:val>
            <c:numRef>
              <c:f>daily!$I$18:$I$117</c:f>
              <c:numCache>
                <c:formatCode>0.0</c:formatCode>
                <c:ptCount val="100"/>
                <c:pt idx="3">
                  <c:v>35.0607142857143</c:v>
                </c:pt>
                <c:pt idx="4">
                  <c:v>35.0290322580645</c:v>
                </c:pt>
                <c:pt idx="5">
                  <c:v>26.13</c:v>
                </c:pt>
                <c:pt idx="6">
                  <c:v>24.7549677419355</c:v>
                </c:pt>
                <c:pt idx="7">
                  <c:v>21.2018666666667</c:v>
                </c:pt>
                <c:pt idx="8">
                  <c:v>23.6604838709677</c:v>
                </c:pt>
                <c:pt idx="9">
                  <c:v>27.7958709677419</c:v>
                </c:pt>
                <c:pt idx="10">
                  <c:v>37.8626666666667</c:v>
                </c:pt>
                <c:pt idx="11">
                  <c:v>42.9587419354839</c:v>
                </c:pt>
                <c:pt idx="12">
                  <c:v>42.9723</c:v>
                </c:pt>
                <c:pt idx="13">
                  <c:v>51.1706129032258</c:v>
                </c:pt>
                <c:pt idx="14">
                  <c:v>56.8987419354839</c:v>
                </c:pt>
                <c:pt idx="15">
                  <c:v>70.9608928571429</c:v>
                </c:pt>
                <c:pt idx="16">
                  <c:v>62.1832580645161</c:v>
                </c:pt>
                <c:pt idx="17">
                  <c:v>42.604</c:v>
                </c:pt>
                <c:pt idx="18">
                  <c:v>53.5006774193548</c:v>
                </c:pt>
                <c:pt idx="19">
                  <c:v>54.4000333333333</c:v>
                </c:pt>
                <c:pt idx="20">
                  <c:v>52.1061612903226</c:v>
                </c:pt>
                <c:pt idx="21">
                  <c:v>55.8298709677419</c:v>
                </c:pt>
                <c:pt idx="22">
                  <c:v>55.5239333333333</c:v>
                </c:pt>
                <c:pt idx="23">
                  <c:v>50.3424516129032</c:v>
                </c:pt>
                <c:pt idx="24">
                  <c:v>50.7928</c:v>
                </c:pt>
                <c:pt idx="25">
                  <c:v>52.4323548387097</c:v>
                </c:pt>
                <c:pt idx="26">
                  <c:v>49.5994193548387</c:v>
                </c:pt>
                <c:pt idx="27">
                  <c:v>51.7655862068966</c:v>
                </c:pt>
                <c:pt idx="28">
                  <c:v>48.9271612903226</c:v>
                </c:pt>
                <c:pt idx="29">
                  <c:v>43.4771</c:v>
                </c:pt>
                <c:pt idx="30">
                  <c:v>46.2322258064516</c:v>
                </c:pt>
                <c:pt idx="31">
                  <c:v>50.4692</c:v>
                </c:pt>
                <c:pt idx="32">
                  <c:v>54.8410322580645</c:v>
                </c:pt>
                <c:pt idx="33">
                  <c:v>59.3063548387097</c:v>
                </c:pt>
                <c:pt idx="34">
                  <c:v>64.5170666666667</c:v>
                </c:pt>
                <c:pt idx="35">
                  <c:v>60.7698709677419</c:v>
                </c:pt>
                <c:pt idx="36">
                  <c:v>61.7848666666667</c:v>
                </c:pt>
                <c:pt idx="37">
                  <c:v>59.7827741935484</c:v>
                </c:pt>
                <c:pt idx="38">
                  <c:v>72.9929032258065</c:v>
                </c:pt>
                <c:pt idx="39">
                  <c:v>74.6619285714286</c:v>
                </c:pt>
                <c:pt idx="40">
                  <c:v>60.6222903225806</c:v>
                </c:pt>
                <c:pt idx="41">
                  <c:v>58.7284</c:v>
                </c:pt>
                <c:pt idx="42">
                  <c:v>56.7782258064516</c:v>
                </c:pt>
                <c:pt idx="43">
                  <c:v>55.9197333333333</c:v>
                </c:pt>
                <c:pt idx="44">
                  <c:v>55.6847741935484</c:v>
                </c:pt>
                <c:pt idx="45">
                  <c:v>61.0278387096774</c:v>
                </c:pt>
                <c:pt idx="46">
                  <c:v>62.3709666666667</c:v>
                </c:pt>
                <c:pt idx="47">
                  <c:v>62.5112580645161</c:v>
                </c:pt>
                <c:pt idx="48">
                  <c:v>65.6943333333333</c:v>
                </c:pt>
                <c:pt idx="49">
                  <c:v>65.1988387096774</c:v>
                </c:pt>
                <c:pt idx="50">
                  <c:v>63.2271612903226</c:v>
                </c:pt>
                <c:pt idx="51">
                  <c:v>70.8973928571429</c:v>
                </c:pt>
                <c:pt idx="52">
                  <c:v>61.5836774193548</c:v>
                </c:pt>
                <c:pt idx="53">
                  <c:v>56.7261</c:v>
                </c:pt>
                <c:pt idx="54">
                  <c:v>60.2084516129032</c:v>
                </c:pt>
                <c:pt idx="55">
                  <c:v>66.19</c:v>
                </c:pt>
                <c:pt idx="56">
                  <c:v>63.5769677419355</c:v>
                </c:pt>
                <c:pt idx="57">
                  <c:v>56.8162258064516</c:v>
                </c:pt>
                <c:pt idx="58">
                  <c:v>65.7219666666667</c:v>
                </c:pt>
                <c:pt idx="59">
                  <c:v>62.0507419354839</c:v>
                </c:pt>
                <c:pt idx="60">
                  <c:v>63.205</c:v>
                </c:pt>
                <c:pt idx="61">
                  <c:v>58.5791612903226</c:v>
                </c:pt>
                <c:pt idx="62">
                  <c:v>62.3933870967742</c:v>
                </c:pt>
                <c:pt idx="63">
                  <c:v>51.4389642857143</c:v>
                </c:pt>
                <c:pt idx="64">
                  <c:v>38.6335161290323</c:v>
                </c:pt>
                <c:pt idx="65">
                  <c:v>48.2734</c:v>
                </c:pt>
                <c:pt idx="66">
                  <c:v>38.9569032258065</c:v>
                </c:pt>
                <c:pt idx="67">
                  <c:v>46.4221666666667</c:v>
                </c:pt>
                <c:pt idx="68">
                  <c:v>39.4277096774194</c:v>
                </c:pt>
                <c:pt idx="69">
                  <c:v>33.7872903225806</c:v>
                </c:pt>
                <c:pt idx="70">
                  <c:v>48.2474666666667</c:v>
                </c:pt>
                <c:pt idx="71">
                  <c:v>47.439935483871</c:v>
                </c:pt>
                <c:pt idx="72">
                  <c:v>50.6441333333333</c:v>
                </c:pt>
                <c:pt idx="73">
                  <c:v>56.2220322580645</c:v>
                </c:pt>
                <c:pt idx="74">
                  <c:v>60.4182903225806</c:v>
                </c:pt>
                <c:pt idx="75">
                  <c:v>61.6018620689655</c:v>
                </c:pt>
                <c:pt idx="76">
                  <c:v>39.6591290322581</c:v>
                </c:pt>
                <c:pt idx="77">
                  <c:v>40.8203333333333</c:v>
                </c:pt>
                <c:pt idx="78">
                  <c:v>37.9893548387097</c:v>
                </c:pt>
                <c:pt idx="79">
                  <c:v>43.3587666666667</c:v>
                </c:pt>
                <c:pt idx="80">
                  <c:v>53.4700967741935</c:v>
                </c:pt>
                <c:pt idx="81">
                  <c:v>56.3820967741936</c:v>
                </c:pt>
                <c:pt idx="82">
                  <c:v>58.3952666666667</c:v>
                </c:pt>
                <c:pt idx="83">
                  <c:v>54.0962258064516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234023"/>
        <c:axId val="48158938"/>
      </c:lineChart>
      <c:catAx>
        <c:axId val="72234023"/>
        <c:scaling>
          <c:orientation val="minMax"/>
        </c:scaling>
        <c:delete val="0"/>
        <c:axPos val="b"/>
        <c:numFmt formatCode="[$-409]mmm\-yy" sourceLinked="1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58938"/>
        <c:crossesAt val="0"/>
        <c:auto val="1"/>
        <c:lblAlgn val="ctr"/>
        <c:lblOffset val="100"/>
        <c:noMultiLvlLbl val="0"/>
      </c:catAx>
      <c:valAx>
        <c:axId val="481589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Daily Fuel  in  Mdt/day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3402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29</xdr:col>
      <xdr:colOff>149400</xdr:colOff>
      <xdr:row>19</xdr:row>
      <xdr:rowOff>28440</xdr:rowOff>
    </xdr:from>
    <xdr:to>
      <xdr:col>36</xdr:col>
      <xdr:colOff>553680</xdr:colOff>
      <xdr:row>39</xdr:row>
      <xdr:rowOff>142920</xdr:rowOff>
    </xdr:to>
    <xdr:graphicFrame>
      <xdr:nvGraphicFramePr>
        <xdr:cNvPr id="12" name="Chart 1"/>
        <xdr:cNvGraphicFramePr/>
      </xdr:nvGraphicFramePr>
      <xdr:xfrm>
        <a:off x="18239400" y="3105000"/>
        <a:ext cx="4871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4" min="4" style="0" width="12.28"/>
  </cols>
  <sheetData>
    <row r="1" customFormat="false" ht="12.75" hidden="false" customHeight="false" outlineLevel="0" collapsed="false">
      <c r="B1" s="1"/>
      <c r="C1" s="2"/>
    </row>
    <row r="2" customFormat="false" ht="12.75" hidden="false" customHeight="false" outlineLevel="0" collapsed="false">
      <c r="A2" s="3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customFormat="false" ht="12.75" hidden="false" customHeight="false" outlineLevel="0" collapsed="false">
      <c r="B3" s="7" t="n">
        <v>34274</v>
      </c>
      <c r="C3" s="7" t="n">
        <v>34304</v>
      </c>
      <c r="D3" s="8" t="n">
        <f aca="false">filings!AB17</f>
        <v>-480.045000000002</v>
      </c>
      <c r="E3" s="9" t="n">
        <f aca="false">filings!AB19</f>
        <v>-110.618000000002</v>
      </c>
      <c r="F3" s="9" t="n">
        <f aca="false">E3-D3</f>
        <v>369.427</v>
      </c>
      <c r="G3" s="10" t="n">
        <v>0</v>
      </c>
      <c r="H3" s="9"/>
    </row>
    <row r="4" customFormat="false" ht="12.75" hidden="false" customHeight="false" outlineLevel="0" collapsed="false">
      <c r="B4" s="7" t="n">
        <f aca="false">DATE(YEAR(C3+45),MONTH(C3+45),1)</f>
        <v>34335</v>
      </c>
      <c r="C4" s="7" t="n">
        <f aca="false">DATE(YEAR(C3+200),MONTH(C3+200),1)</f>
        <v>34486</v>
      </c>
      <c r="D4" s="11" t="n">
        <f aca="false">E3</f>
        <v>-110.618000000002</v>
      </c>
      <c r="E4" s="12" t="n">
        <f aca="false">filings!AB25</f>
        <v>295.448999999999</v>
      </c>
      <c r="F4" s="12" t="n">
        <f aca="false">E4-D4</f>
        <v>406.067</v>
      </c>
      <c r="G4" s="1" t="n">
        <v>0</v>
      </c>
      <c r="H4" s="12"/>
    </row>
    <row r="5" customFormat="false" ht="12.75" hidden="false" customHeight="false" outlineLevel="0" collapsed="false">
      <c r="A5" s="0" t="n">
        <v>1</v>
      </c>
      <c r="B5" s="7" t="n">
        <f aca="false">DATE(YEAR(C4+45),MONTH(C4+45),1)</f>
        <v>34516</v>
      </c>
      <c r="C5" s="7" t="n">
        <f aca="false">DATE(YEAR(C4+200),MONTH(C4+200),1)</f>
        <v>34669</v>
      </c>
      <c r="D5" s="11" t="n">
        <f aca="false">E4</f>
        <v>295.448999999999</v>
      </c>
      <c r="E5" s="12" t="n">
        <f aca="false">filings!AB31</f>
        <v>-1519.31</v>
      </c>
      <c r="F5" s="12" t="n">
        <f aca="false">E5-D5</f>
        <v>-1814.759</v>
      </c>
      <c r="G5" s="12" t="n">
        <f aca="false">SUM(filings!S26:S31)</f>
        <v>-830.874</v>
      </c>
      <c r="H5" s="12" t="n">
        <f aca="false">F5-G5</f>
        <v>-983.885</v>
      </c>
    </row>
    <row r="6" customFormat="false" ht="12.75" hidden="false" customHeight="false" outlineLevel="0" collapsed="false">
      <c r="A6" s="0" t="n">
        <v>2</v>
      </c>
      <c r="B6" s="7" t="n">
        <f aca="false">DATE(YEAR(C5+45),MONTH(C5+45),1)</f>
        <v>34700</v>
      </c>
      <c r="C6" s="7" t="n">
        <f aca="false">DATE(YEAR(C5+200),MONTH(C5+200),1)</f>
        <v>34851</v>
      </c>
      <c r="D6" s="11" t="n">
        <f aca="false">E5</f>
        <v>-1519.31</v>
      </c>
      <c r="E6" s="12" t="n">
        <f aca="false">filings!AB37</f>
        <v>-957.193000000002</v>
      </c>
      <c r="F6" s="12" t="n">
        <f aca="false">E6-D6</f>
        <v>562.117</v>
      </c>
      <c r="G6" s="12" t="n">
        <f aca="false">SUM(filings!S32:S37)</f>
        <v>1689.188</v>
      </c>
      <c r="H6" s="12" t="n">
        <f aca="false">F6-G6</f>
        <v>-1127.071</v>
      </c>
    </row>
    <row r="7" customFormat="false" ht="12.75" hidden="false" customHeight="false" outlineLevel="0" collapsed="false">
      <c r="A7" s="0" t="n">
        <v>3</v>
      </c>
      <c r="B7" s="7" t="n">
        <f aca="false">DATE(YEAR(C6+45),MONTH(C6+45),1)</f>
        <v>34881</v>
      </c>
      <c r="C7" s="7" t="n">
        <f aca="false">DATE(YEAR(C6+200),MONTH(C6+200),1)</f>
        <v>35034</v>
      </c>
      <c r="D7" s="11" t="n">
        <f aca="false">E6</f>
        <v>-957.193000000002</v>
      </c>
      <c r="E7" s="12" t="n">
        <f aca="false">filings!AB43</f>
        <v>-1056.705</v>
      </c>
      <c r="F7" s="12" t="n">
        <f aca="false">E7-D7</f>
        <v>-99.5119999999997</v>
      </c>
      <c r="G7" s="12" t="n">
        <f aca="false">SUM(filings!S38:S43)</f>
        <v>1517.255</v>
      </c>
      <c r="H7" s="12" t="n">
        <f aca="false">F7-G7</f>
        <v>-1616.767</v>
      </c>
    </row>
    <row r="8" customFormat="false" ht="12.75" hidden="false" customHeight="false" outlineLevel="0" collapsed="false">
      <c r="A8" s="0" t="n">
        <v>4</v>
      </c>
      <c r="B8" s="7" t="n">
        <f aca="false">DATE(YEAR(C7+45),MONTH(C7+45),1)</f>
        <v>35065</v>
      </c>
      <c r="C8" s="7" t="n">
        <f aca="false">DATE(YEAR(C7+200),MONTH(C7+200),1)</f>
        <v>35217</v>
      </c>
      <c r="D8" s="11" t="n">
        <f aca="false">E7</f>
        <v>-1056.705</v>
      </c>
      <c r="E8" s="12" t="n">
        <f aca="false">filings!AB49</f>
        <v>-1279.905</v>
      </c>
      <c r="F8" s="12" t="n">
        <f aca="false">E8-D8</f>
        <v>-223.2</v>
      </c>
      <c r="G8" s="12" t="n">
        <f aca="false">SUM(filings!S44:S49)</f>
        <v>445.264</v>
      </c>
      <c r="H8" s="12" t="n">
        <f aca="false">F8-G8</f>
        <v>-668.464</v>
      </c>
    </row>
    <row r="9" customFormat="false" ht="12.75" hidden="false" customHeight="false" outlineLevel="0" collapsed="false">
      <c r="A9" s="0" t="n">
        <v>5</v>
      </c>
      <c r="B9" s="7" t="n">
        <f aca="false">DATE(YEAR(C8+45),MONTH(C8+45),1)</f>
        <v>35247</v>
      </c>
      <c r="C9" s="7" t="n">
        <f aca="false">DATE(YEAR(C8+200),MONTH(C8+200),1)</f>
        <v>35400</v>
      </c>
      <c r="D9" s="11" t="n">
        <f aca="false">E8</f>
        <v>-1279.905</v>
      </c>
      <c r="E9" s="12" t="n">
        <f aca="false">filings!AB55</f>
        <v>-3672.431</v>
      </c>
      <c r="F9" s="12" t="n">
        <f aca="false">E9-D9</f>
        <v>-2392.526</v>
      </c>
      <c r="G9" s="12" t="n">
        <f aca="false">SUM(filings!S50:S55)</f>
        <v>923.309</v>
      </c>
      <c r="H9" s="12" t="n">
        <f aca="false">F9-G9</f>
        <v>-3315.835</v>
      </c>
    </row>
    <row r="10" customFormat="false" ht="12.75" hidden="false" customHeight="false" outlineLevel="0" collapsed="false">
      <c r="A10" s="0" t="n">
        <v>6</v>
      </c>
      <c r="B10" s="7" t="n">
        <f aca="false">DATE(YEAR(C9+45),MONTH(C9+45),1)</f>
        <v>35431</v>
      </c>
      <c r="C10" s="7" t="n">
        <f aca="false">DATE(YEAR(C9+200),MONTH(C9+200),1)</f>
        <v>35582</v>
      </c>
      <c r="D10" s="11" t="n">
        <f aca="false">E9</f>
        <v>-3672.431</v>
      </c>
      <c r="E10" s="12" t="n">
        <f aca="false">filings!AB61</f>
        <v>-1129.129</v>
      </c>
      <c r="F10" s="12" t="n">
        <f aca="false">E10-D10</f>
        <v>2543.302</v>
      </c>
      <c r="G10" s="12" t="n">
        <f aca="false">SUM(filings!S56:S61)</f>
        <v>3589.711</v>
      </c>
      <c r="H10" s="12" t="n">
        <f aca="false">F10-G10</f>
        <v>-1046.409</v>
      </c>
    </row>
    <row r="11" customFormat="false" ht="12.75" hidden="false" customHeight="false" outlineLevel="0" collapsed="false">
      <c r="A11" s="0" t="n">
        <v>7</v>
      </c>
      <c r="B11" s="7" t="n">
        <f aca="false">DATE(YEAR(C10+45),MONTH(C10+45),1)</f>
        <v>35612</v>
      </c>
      <c r="C11" s="7" t="n">
        <f aca="false">DATE(YEAR(C10+200),MONTH(C10+200),1)</f>
        <v>35765</v>
      </c>
      <c r="D11" s="11" t="n">
        <f aca="false">E10</f>
        <v>-1129.129</v>
      </c>
      <c r="E11" s="12" t="n">
        <f aca="false">filings!AB67</f>
        <v>-1708.049</v>
      </c>
      <c r="F11" s="12" t="n">
        <f aca="false">E11-D11</f>
        <v>-578.92</v>
      </c>
      <c r="G11" s="12" t="n">
        <f aca="false">SUM(filings!S62:S67)</f>
        <v>1688.869</v>
      </c>
      <c r="H11" s="12" t="n">
        <f aca="false">F11-G11</f>
        <v>-2267.789</v>
      </c>
    </row>
    <row r="12" customFormat="false" ht="12.75" hidden="false" customHeight="false" outlineLevel="0" collapsed="false">
      <c r="A12" s="0" t="n">
        <v>8</v>
      </c>
      <c r="B12" s="7" t="n">
        <f aca="false">DATE(YEAR(C11+45),MONTH(C11+45),1)</f>
        <v>35796</v>
      </c>
      <c r="C12" s="7" t="n">
        <f aca="false">DATE(YEAR(C11+200),MONTH(C11+200),1)</f>
        <v>35947</v>
      </c>
      <c r="D12" s="11" t="n">
        <f aca="false">E11</f>
        <v>-1708.049</v>
      </c>
      <c r="E12" s="12" t="n">
        <f aca="false">filings!AB73</f>
        <v>-1641.157</v>
      </c>
      <c r="F12" s="12" t="n">
        <f aca="false">E12-D12</f>
        <v>66.8920000000007</v>
      </c>
      <c r="G12" s="12" t="n">
        <f aca="false">SUM(filings!S68:S73)</f>
        <v>1685.63293399695</v>
      </c>
      <c r="H12" s="12" t="n">
        <f aca="false">F12-G12</f>
        <v>-1618.74093399695</v>
      </c>
    </row>
    <row r="13" customFormat="false" ht="12.75" hidden="false" customHeight="false" outlineLevel="0" collapsed="false">
      <c r="A13" s="0" t="n">
        <v>9</v>
      </c>
      <c r="B13" s="7" t="n">
        <f aca="false">DATE(YEAR(C12+45),MONTH(C12+45),1)</f>
        <v>35977</v>
      </c>
      <c r="C13" s="7" t="n">
        <f aca="false">DATE(YEAR(C12+200),MONTH(C12+200),1)</f>
        <v>36130</v>
      </c>
      <c r="D13" s="11" t="n">
        <f aca="false">E12</f>
        <v>-1641.157</v>
      </c>
      <c r="E13" s="12" t="n">
        <f aca="false">filings!AB79</f>
        <v>-1255.451</v>
      </c>
      <c r="F13" s="12" t="n">
        <f aca="false">E13-D13</f>
        <v>385.706</v>
      </c>
      <c r="G13" s="12" t="n">
        <f aca="false">SUM(filings!S74:S79)</f>
        <v>1696.483</v>
      </c>
      <c r="H13" s="12" t="n">
        <f aca="false">F13-G13</f>
        <v>-1310.777</v>
      </c>
    </row>
    <row r="14" customFormat="false" ht="12.75" hidden="false" customHeight="false" outlineLevel="0" collapsed="false">
      <c r="A14" s="0" t="n">
        <v>10</v>
      </c>
      <c r="B14" s="7" t="n">
        <f aca="false">DATE(YEAR(C13+45),MONTH(C13+45),1)</f>
        <v>36161</v>
      </c>
      <c r="C14" s="7" t="n">
        <f aca="false">DATE(YEAR(C13+200),MONTH(C13+200),1)</f>
        <v>36312</v>
      </c>
      <c r="D14" s="11" t="n">
        <f aca="false">E13</f>
        <v>-1255.451</v>
      </c>
      <c r="E14" s="12" t="n">
        <f aca="false">filings!AB85</f>
        <v>238.915</v>
      </c>
      <c r="F14" s="12" t="n">
        <f aca="false">E14-D14</f>
        <v>1494.366</v>
      </c>
      <c r="G14" s="12" t="n">
        <f aca="false">SUM(filings!S80:S85)</f>
        <v>1964.215</v>
      </c>
      <c r="H14" s="12" t="n">
        <f aca="false">F14-G14</f>
        <v>-469.849</v>
      </c>
    </row>
    <row r="15" customFormat="false" ht="12.75" hidden="false" customHeight="false" outlineLevel="0" collapsed="false">
      <c r="A15" s="0" t="n">
        <v>11</v>
      </c>
      <c r="B15" s="7" t="n">
        <f aca="false">DATE(YEAR(C14+45),MONTH(C14+45),1)</f>
        <v>36342</v>
      </c>
      <c r="C15" s="7" t="n">
        <f aca="false">DATE(YEAR(C14+200),MONTH(C14+200),1)</f>
        <v>36495</v>
      </c>
      <c r="D15" s="11" t="n">
        <f aca="false">E14</f>
        <v>238.915</v>
      </c>
      <c r="E15" s="12" t="n">
        <f aca="false">filings!AB91</f>
        <v>-1396.886</v>
      </c>
      <c r="F15" s="12" t="n">
        <f aca="false">E15-D15</f>
        <v>-1635.801</v>
      </c>
      <c r="G15" s="12" t="n">
        <f aca="false">SUM(filings!S86:S91)</f>
        <v>-232.523</v>
      </c>
      <c r="H15" s="12" t="n">
        <f aca="false">F15-G15</f>
        <v>-1403.278</v>
      </c>
    </row>
    <row r="16" customFormat="false" ht="12.75" hidden="false" customHeight="false" outlineLevel="0" collapsed="false">
      <c r="A16" s="0" t="n">
        <v>12</v>
      </c>
      <c r="B16" s="7" t="n">
        <f aca="false">DATE(YEAR(C15+45),MONTH(C15+45),1)</f>
        <v>36526</v>
      </c>
      <c r="C16" s="7" t="n">
        <v>36678</v>
      </c>
      <c r="D16" s="11" t="n">
        <f aca="false">E15</f>
        <v>-1396.886</v>
      </c>
      <c r="E16" s="12" t="n">
        <f aca="false">filings!AB97</f>
        <v>-1821.311</v>
      </c>
      <c r="F16" s="12" t="n">
        <f aca="false">E16-D16</f>
        <v>-424.425</v>
      </c>
      <c r="G16" s="12" t="n">
        <f aca="false">SUM(filings!S92:S97)</f>
        <v>1158.054</v>
      </c>
      <c r="H16" s="12" t="n">
        <f aca="false">F16-G16</f>
        <v>-1582.479</v>
      </c>
    </row>
    <row r="17" customFormat="false" ht="12.75" hidden="false" customHeight="false" outlineLevel="0" collapsed="false">
      <c r="A17" s="0" t="n">
        <v>13</v>
      </c>
      <c r="B17" s="7" t="n">
        <f aca="false">DATE(YEAR(B15)+1,MONTH(B15),1)</f>
        <v>36708</v>
      </c>
      <c r="C17" s="7" t="n">
        <v>36800</v>
      </c>
      <c r="D17" s="11" t="n">
        <f aca="false">E16</f>
        <v>-1821.311</v>
      </c>
      <c r="E17" s="12" t="n">
        <f aca="false">filings!AB101</f>
        <v>-2168.5</v>
      </c>
      <c r="F17" s="12" t="n">
        <f aca="false">E17-D17</f>
        <v>-347.189</v>
      </c>
      <c r="G17" s="12" t="n">
        <f aca="false">SUM(filings!S98:S103)</f>
        <v>944.468</v>
      </c>
      <c r="H17" s="12" t="n">
        <f aca="false">F17-G17</f>
        <v>-1291.657</v>
      </c>
    </row>
    <row r="18" customFormat="false" ht="12.75" hidden="false" customHeight="false" outlineLevel="0" collapsed="false">
      <c r="A18" s="0" t="n">
        <v>14</v>
      </c>
      <c r="B18" s="7" t="n">
        <f aca="false">DATE(YEAR(B16)+1,MONTH(B16),1)</f>
        <v>36892</v>
      </c>
      <c r="C18" s="7"/>
      <c r="D18" s="11"/>
      <c r="E18" s="1"/>
      <c r="F18" s="1"/>
      <c r="G18" s="1"/>
      <c r="H18" s="1"/>
    </row>
    <row r="19" customFormat="false" ht="12.75" hidden="false" customHeight="false" outlineLevel="0" collapsed="false">
      <c r="A19" s="0" t="n">
        <v>15</v>
      </c>
      <c r="B19" s="7" t="n">
        <f aca="false">DATE(YEAR(B17)+1,MONTH(B17),1)</f>
        <v>37073</v>
      </c>
      <c r="C19" s="7"/>
      <c r="D19" s="13"/>
      <c r="E19" s="1"/>
      <c r="F19" s="1"/>
      <c r="G19" s="1"/>
      <c r="H19" s="1"/>
    </row>
    <row r="20" customFormat="false" ht="12.75" hidden="false" customHeight="false" outlineLevel="0" collapsed="false">
      <c r="D20" s="13"/>
      <c r="E20" s="1"/>
      <c r="F20" s="1"/>
      <c r="G20" s="1"/>
      <c r="H20" s="1"/>
    </row>
    <row r="21" customFormat="false" ht="12.75" hidden="false" customHeight="false" outlineLevel="0" collapsed="false">
      <c r="D21" s="13"/>
      <c r="E21" s="1"/>
      <c r="F21" s="1"/>
      <c r="G21" s="1"/>
      <c r="H21" s="1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5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4, Page 1 of 1</oddHeader>
    <oddFooter>&amp;LSource: PGT Filings with FERC, TM94-3-86 et al.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1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91" activePane="bottomRight" state="frozen"/>
      <selection pane="topLeft" activeCell="A1" activeCellId="0" sqref="A1"/>
      <selection pane="topRight" activeCell="C1" activeCellId="0" sqref="C1"/>
      <selection pane="bottomLeft" activeCell="A91" activeCellId="0" sqref="A91"/>
      <selection pane="bottomRight" activeCell="H110" activeCellId="0" sqref="H1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8.14"/>
    <col collapsed="false" customWidth="true" hidden="false" outlineLevel="0" max="3" min="3" style="0" width="9.85"/>
    <col collapsed="false" customWidth="true" hidden="false" outlineLevel="0" max="4" min="4" style="0" width="9.56"/>
    <col collapsed="false" customWidth="true" hidden="false" outlineLevel="0" max="7" min="7" style="0" width="10.28"/>
    <col collapsed="false" customWidth="true" hidden="false" outlineLevel="0" max="10" min="10" style="0" width="9.85"/>
    <col collapsed="false" customWidth="true" hidden="false" outlineLevel="0" max="11" min="11" style="0" width="12.56"/>
    <col collapsed="false" customWidth="true" hidden="false" outlineLevel="0" max="12" min="12" style="0" width="11.7"/>
    <col collapsed="false" customWidth="true" hidden="false" outlineLevel="0" max="13" min="13" style="0" width="10.85"/>
    <col collapsed="false" customWidth="true" hidden="false" outlineLevel="0" max="16" min="15" style="0" width="5.99"/>
    <col collapsed="false" customWidth="true" hidden="false" outlineLevel="0" max="17" min="17" style="0" width="7.56"/>
    <col collapsed="false" customWidth="true" hidden="false" outlineLevel="0" max="18" min="18" style="0" width="5.99"/>
    <col collapsed="false" customWidth="true" hidden="false" outlineLevel="0" max="19" min="19" style="0" width="6.7"/>
    <col collapsed="false" customWidth="true" hidden="false" outlineLevel="0" max="23" min="21" style="0" width="9.85"/>
    <col collapsed="false" customWidth="true" hidden="false" outlineLevel="0" max="25" min="25" style="0" width="9.28"/>
    <col collapsed="false" customWidth="true" hidden="false" outlineLevel="0" max="29" min="29" style="0" width="9.85"/>
  </cols>
  <sheetData>
    <row r="1" customFormat="false" ht="12.75" hidden="false" customHeight="false" outlineLevel="0" collapsed="false">
      <c r="A1" s="0" t="n">
        <v>4.1E-005</v>
      </c>
      <c r="B1" s="0" t="n">
        <v>0</v>
      </c>
      <c r="C1" s="26" t="n">
        <f aca="false">MAX(C18:C117)</f>
        <v>1.64378425324675</v>
      </c>
      <c r="J1" s="50" t="n">
        <f aca="false">MAX(J$18:J$117)</f>
        <v>5.14417791808778E-005</v>
      </c>
      <c r="L1" s="50" t="n">
        <f aca="false">MAX(L$18:L$117)</f>
        <v>5.8E-005</v>
      </c>
      <c r="M1" s="50" t="n">
        <f aca="false">MAX(M$18:M$117)</f>
        <v>1.6E-005</v>
      </c>
      <c r="T1" s="26" t="n">
        <f aca="false">MAX(T18:T117)</f>
        <v>1.38485069444444</v>
      </c>
      <c r="U1" s="50" t="n">
        <f aca="false">MAX(U$18:U$117)</f>
        <v>5.07872433241412E-005</v>
      </c>
      <c r="V1" s="50" t="n">
        <f aca="false">MAX(V$18:V$117)</f>
        <v>5.7898962354419E-005</v>
      </c>
      <c r="W1" s="50"/>
      <c r="X1" s="26" t="n">
        <f aca="false">C1</f>
        <v>1.64378425324675</v>
      </c>
      <c r="Y1" s="51" t="n">
        <f aca="false">0.000041*X1*1000000</f>
        <v>67.3951543831169</v>
      </c>
      <c r="Z1" s="51" t="n">
        <f aca="false">0.00005*$X1*1000000</f>
        <v>82.1892126623377</v>
      </c>
      <c r="AA1" s="51" t="n">
        <f aca="false">0.000022*$X1*1000000</f>
        <v>36.1632535714286</v>
      </c>
    </row>
    <row r="2" customFormat="false" ht="12.75" hidden="false" customHeight="false" outlineLevel="0" collapsed="false">
      <c r="A2" s="0" t="n">
        <v>4.1E-005</v>
      </c>
      <c r="B2" s="52" t="s">
        <v>64</v>
      </c>
      <c r="C2" s="26" t="n">
        <f aca="false">MIN(C30:C117)</f>
        <v>0.998709212121212</v>
      </c>
      <c r="J2" s="50" t="n">
        <f aca="false">MIN(J$18:J$117)</f>
        <v>1.77158463106011E-005</v>
      </c>
      <c r="L2" s="50" t="n">
        <f aca="false">MIN(L$18:L$117)</f>
        <v>1E-005</v>
      </c>
      <c r="M2" s="50" t="n">
        <f aca="false">MIN(M$18:M$117)</f>
        <v>-4E-006</v>
      </c>
      <c r="N2" s="52"/>
      <c r="O2" s="52"/>
      <c r="P2" s="52"/>
      <c r="T2" s="26" t="n">
        <f aca="false">MIN(T18:T117)</f>
        <v>0.964401290322581</v>
      </c>
      <c r="U2" s="50" t="n">
        <f aca="false">MIN(U$18:U$117)</f>
        <v>2.52739456604198E-005</v>
      </c>
      <c r="V2" s="50" t="n">
        <f aca="false">MIN(V$18:V$117)</f>
        <v>1.76121832767893E-005</v>
      </c>
      <c r="W2" s="50"/>
      <c r="X2" s="0" t="n">
        <v>0</v>
      </c>
      <c r="Y2" s="51" t="n">
        <f aca="false">0.000041*X2*1000000</f>
        <v>0</v>
      </c>
      <c r="Z2" s="51" t="n">
        <f aca="false">0.00005*$X2*1000000</f>
        <v>0</v>
      </c>
      <c r="AA2" s="51" t="n">
        <f aca="false">0.00002*$X2*1000000</f>
        <v>0</v>
      </c>
    </row>
    <row r="3" customFormat="false" ht="12.75" hidden="false" customHeight="false" outlineLevel="0" collapsed="false">
      <c r="B3" s="52" t="s">
        <v>65</v>
      </c>
      <c r="C3" s="52" t="s">
        <v>46</v>
      </c>
      <c r="D3" s="52" t="s">
        <v>47</v>
      </c>
      <c r="E3" s="52" t="s">
        <v>47</v>
      </c>
      <c r="F3" s="52" t="s">
        <v>47</v>
      </c>
      <c r="G3" s="52" t="s">
        <v>47</v>
      </c>
      <c r="H3" s="52" t="s">
        <v>47</v>
      </c>
      <c r="I3" s="52" t="s">
        <v>47</v>
      </c>
      <c r="J3" s="53" t="s">
        <v>66</v>
      </c>
      <c r="K3" s="53" t="s">
        <v>66</v>
      </c>
      <c r="L3" s="53" t="s">
        <v>66</v>
      </c>
      <c r="M3" s="53"/>
      <c r="N3" s="52" t="s">
        <v>47</v>
      </c>
      <c r="O3" s="52" t="s">
        <v>47</v>
      </c>
      <c r="P3" s="52" t="s">
        <v>47</v>
      </c>
      <c r="Q3" s="52" t="s">
        <v>47</v>
      </c>
      <c r="R3" s="52" t="s">
        <v>47</v>
      </c>
      <c r="S3" s="52" t="s">
        <v>47</v>
      </c>
      <c r="T3" s="52" t="s">
        <v>46</v>
      </c>
      <c r="U3" s="53" t="s">
        <v>66</v>
      </c>
      <c r="V3" s="53" t="s">
        <v>66</v>
      </c>
      <c r="W3" s="53"/>
      <c r="X3" s="52" t="s">
        <v>47</v>
      </c>
      <c r="Y3" s="52" t="s">
        <v>67</v>
      </c>
      <c r="Z3" s="52" t="s">
        <v>68</v>
      </c>
      <c r="AA3" s="52" t="s">
        <v>69</v>
      </c>
    </row>
    <row r="4" customFormat="false" ht="12.75" hidden="false" customHeight="false" outlineLevel="0" collapsed="false">
      <c r="B4" s="52" t="s">
        <v>70</v>
      </c>
      <c r="C4" s="52"/>
      <c r="E4" s="52"/>
      <c r="F4" s="52"/>
      <c r="G4" s="52"/>
      <c r="H4" s="52"/>
      <c r="I4" s="52"/>
      <c r="J4" s="52"/>
      <c r="K4" s="52"/>
      <c r="L4" s="50" t="n">
        <f aca="false">AVERAGE(L18:L117)</f>
        <v>4.13626373626374E-005</v>
      </c>
      <c r="M4" s="50" t="n">
        <f aca="false">AVERAGE(M18:M117)</f>
        <v>6.07142857142857E-006</v>
      </c>
      <c r="N4" s="52"/>
      <c r="O4" s="52"/>
      <c r="P4" s="52"/>
      <c r="T4" s="52"/>
      <c r="U4" s="50" t="n">
        <f aca="false">AVERAGE(U18:U117)</f>
        <v>4.02069260983726E-005</v>
      </c>
      <c r="V4" s="50" t="n">
        <f aca="false">AVERAGE(V18:V117)</f>
        <v>4.09861330801248E-005</v>
      </c>
      <c r="W4" s="52"/>
    </row>
    <row r="5" customFormat="false" ht="12.75" hidden="false" customHeight="false" outlineLevel="0" collapsed="false">
      <c r="B5" s="52"/>
      <c r="C5" s="52" t="s">
        <v>53</v>
      </c>
      <c r="D5" s="52" t="s">
        <v>53</v>
      </c>
      <c r="E5" s="52" t="s">
        <v>71</v>
      </c>
      <c r="F5" s="52" t="s">
        <v>71</v>
      </c>
      <c r="G5" s="52"/>
      <c r="H5" s="52"/>
      <c r="I5" s="52"/>
      <c r="J5" s="52" t="s">
        <v>53</v>
      </c>
      <c r="K5" s="52"/>
      <c r="L5" s="53" t="s">
        <v>55</v>
      </c>
      <c r="M5" s="53"/>
      <c r="N5" s="52" t="s">
        <v>71</v>
      </c>
      <c r="O5" s="52" t="s">
        <v>71</v>
      </c>
      <c r="P5" s="52" t="s">
        <v>71</v>
      </c>
      <c r="Q5" s="52" t="s">
        <v>71</v>
      </c>
      <c r="R5" s="52" t="s">
        <v>71</v>
      </c>
      <c r="S5" s="52" t="s">
        <v>71</v>
      </c>
      <c r="T5" s="52" t="s">
        <v>71</v>
      </c>
      <c r="U5" s="52" t="s">
        <v>71</v>
      </c>
      <c r="V5" s="52" t="s">
        <v>71</v>
      </c>
      <c r="W5" s="52"/>
      <c r="X5" s="52" t="s">
        <v>72</v>
      </c>
    </row>
    <row r="6" customFormat="false" ht="12.75" hidden="false" customHeight="false" outlineLevel="0" collapsed="false">
      <c r="A6" s="52" t="s">
        <v>73</v>
      </c>
      <c r="B6" s="52" t="s">
        <v>74</v>
      </c>
      <c r="C6" s="52"/>
      <c r="E6" s="52"/>
      <c r="F6" s="52"/>
      <c r="G6" s="52" t="s">
        <v>75</v>
      </c>
      <c r="H6" s="52"/>
      <c r="I6" s="52" t="s">
        <v>76</v>
      </c>
      <c r="J6" s="52"/>
      <c r="K6" s="52"/>
      <c r="L6" s="54" t="s">
        <v>77</v>
      </c>
      <c r="M6" s="53"/>
      <c r="N6" s="52" t="s">
        <v>32</v>
      </c>
      <c r="O6" s="52" t="s">
        <v>33</v>
      </c>
      <c r="P6" s="52" t="s">
        <v>78</v>
      </c>
      <c r="Q6" s="52" t="s">
        <v>35</v>
      </c>
      <c r="R6" s="52" t="s">
        <v>6</v>
      </c>
      <c r="S6" s="52" t="s">
        <v>79</v>
      </c>
      <c r="T6" s="52" t="s">
        <v>38</v>
      </c>
      <c r="U6" s="52" t="s">
        <v>32</v>
      </c>
      <c r="V6" s="52" t="s">
        <v>80</v>
      </c>
      <c r="W6" s="52"/>
      <c r="X6" s="52" t="s">
        <v>81</v>
      </c>
    </row>
    <row r="7" customFormat="false" ht="12.75" hidden="false" customHeight="false" outlineLevel="0" collapsed="false">
      <c r="A7" s="52" t="s">
        <v>73</v>
      </c>
      <c r="B7" s="52" t="s">
        <v>74</v>
      </c>
      <c r="C7" s="52" t="s">
        <v>82</v>
      </c>
      <c r="D7" s="52" t="s">
        <v>81</v>
      </c>
      <c r="E7" s="52" t="s">
        <v>83</v>
      </c>
      <c r="F7" s="52" t="s">
        <v>40</v>
      </c>
      <c r="G7" s="52" t="s">
        <v>6</v>
      </c>
      <c r="H7" s="52" t="s">
        <v>84</v>
      </c>
      <c r="I7" s="52" t="s">
        <v>85</v>
      </c>
      <c r="J7" s="52" t="s">
        <v>81</v>
      </c>
      <c r="K7" s="52" t="s">
        <v>85</v>
      </c>
      <c r="L7" s="54" t="s">
        <v>83</v>
      </c>
      <c r="M7" s="53"/>
      <c r="N7" s="52" t="s">
        <v>86</v>
      </c>
      <c r="O7" s="52"/>
      <c r="P7" s="52" t="s">
        <v>87</v>
      </c>
      <c r="T7" s="52" t="s">
        <v>88</v>
      </c>
      <c r="U7" s="52" t="s">
        <v>89</v>
      </c>
      <c r="V7" s="52" t="s">
        <v>90</v>
      </c>
      <c r="W7" s="52" t="s">
        <v>91</v>
      </c>
      <c r="X7" s="52" t="s">
        <v>92</v>
      </c>
      <c r="Y7" s="51" t="n">
        <f aca="false">0.000041*IF(ISNUMBER(C7),C7,0)*1000000</f>
        <v>0</v>
      </c>
      <c r="Z7" s="0" t="s">
        <v>74</v>
      </c>
      <c r="AB7" s="0" t="s">
        <v>93</v>
      </c>
      <c r="AC7" s="0" t="s">
        <v>93</v>
      </c>
    </row>
    <row r="8" customFormat="false" ht="12.75" hidden="false" customHeight="false" outlineLevel="0" collapsed="false">
      <c r="A8" s="0" t="n">
        <f aca="false">DAY((B9-1))</f>
        <v>31</v>
      </c>
      <c r="B8" s="7" t="n">
        <v>33970</v>
      </c>
      <c r="C8" s="52"/>
      <c r="D8" s="52"/>
      <c r="E8" s="52"/>
      <c r="F8" s="52"/>
      <c r="G8" s="52"/>
      <c r="H8" s="52"/>
      <c r="I8" s="52"/>
      <c r="J8" s="52"/>
      <c r="K8" s="52"/>
      <c r="L8" s="54"/>
      <c r="M8" s="53"/>
      <c r="N8" s="52"/>
      <c r="O8" s="52"/>
      <c r="P8" s="52"/>
      <c r="T8" s="52"/>
      <c r="U8" s="52"/>
      <c r="V8" s="52"/>
      <c r="W8" s="52"/>
      <c r="X8" s="52"/>
      <c r="Y8" s="51"/>
    </row>
    <row r="9" customFormat="false" ht="12.75" hidden="false" customHeight="false" outlineLevel="0" collapsed="false">
      <c r="A9" s="0" t="n">
        <f aca="false">DAY((B10-1))</f>
        <v>28</v>
      </c>
      <c r="B9" s="7" t="n">
        <v>34001</v>
      </c>
      <c r="C9" s="52"/>
      <c r="D9" s="52"/>
      <c r="E9" s="52"/>
      <c r="F9" s="52"/>
      <c r="G9" s="52"/>
      <c r="H9" s="52"/>
      <c r="I9" s="52"/>
      <c r="J9" s="52"/>
      <c r="K9" s="52"/>
      <c r="L9" s="54"/>
      <c r="M9" s="53"/>
      <c r="N9" s="52"/>
      <c r="O9" s="52"/>
      <c r="P9" s="52"/>
      <c r="T9" s="52"/>
      <c r="U9" s="52"/>
      <c r="V9" s="52"/>
      <c r="W9" s="52"/>
      <c r="X9" s="52"/>
      <c r="Y9" s="51"/>
    </row>
    <row r="10" customFormat="false" ht="12.75" hidden="false" customHeight="false" outlineLevel="0" collapsed="false">
      <c r="A10" s="0" t="n">
        <f aca="false">DAY((B11-1))</f>
        <v>31</v>
      </c>
      <c r="B10" s="7" t="n">
        <v>34029</v>
      </c>
      <c r="C10" s="52"/>
      <c r="D10" s="52"/>
      <c r="E10" s="52"/>
      <c r="F10" s="52"/>
      <c r="G10" s="52"/>
      <c r="H10" s="52"/>
      <c r="I10" s="52"/>
      <c r="J10" s="52"/>
      <c r="K10" s="52"/>
      <c r="L10" s="54"/>
      <c r="M10" s="53"/>
      <c r="N10" s="52"/>
      <c r="O10" s="52"/>
      <c r="P10" s="52"/>
      <c r="T10" s="52"/>
      <c r="U10" s="52"/>
      <c r="V10" s="52"/>
      <c r="W10" s="52"/>
      <c r="X10" s="52"/>
      <c r="Y10" s="51"/>
    </row>
    <row r="11" customFormat="false" ht="12.75" hidden="false" customHeight="false" outlineLevel="0" collapsed="false">
      <c r="A11" s="0" t="n">
        <f aca="false">DAY((B12-1))</f>
        <v>30</v>
      </c>
      <c r="B11" s="7" t="n">
        <v>34060</v>
      </c>
      <c r="C11" s="52"/>
      <c r="D11" s="52"/>
      <c r="E11" s="52"/>
      <c r="F11" s="52"/>
      <c r="G11" s="52"/>
      <c r="H11" s="52"/>
      <c r="I11" s="52"/>
      <c r="J11" s="52"/>
      <c r="K11" s="52"/>
      <c r="L11" s="54"/>
      <c r="M11" s="53"/>
      <c r="N11" s="52"/>
      <c r="O11" s="52"/>
      <c r="P11" s="52"/>
      <c r="T11" s="52"/>
      <c r="U11" s="52"/>
      <c r="V11" s="52"/>
      <c r="W11" s="52"/>
      <c r="X11" s="52"/>
      <c r="Y11" s="51"/>
    </row>
    <row r="12" customFormat="false" ht="12.75" hidden="false" customHeight="false" outlineLevel="0" collapsed="false">
      <c r="A12" s="0" t="n">
        <f aca="false">DAY((B13-1))</f>
        <v>31</v>
      </c>
      <c r="B12" s="7" t="n">
        <v>34090</v>
      </c>
      <c r="C12" s="52"/>
      <c r="D12" s="52"/>
      <c r="E12" s="52"/>
      <c r="F12" s="52"/>
      <c r="G12" s="52"/>
      <c r="H12" s="52"/>
      <c r="I12" s="52"/>
      <c r="J12" s="52"/>
      <c r="K12" s="52"/>
      <c r="L12" s="54"/>
      <c r="M12" s="53"/>
      <c r="N12" s="52"/>
      <c r="O12" s="52"/>
      <c r="P12" s="52"/>
      <c r="T12" s="52"/>
      <c r="U12" s="52"/>
      <c r="V12" s="52"/>
      <c r="W12" s="52"/>
      <c r="X12" s="52"/>
      <c r="Y12" s="51"/>
    </row>
    <row r="13" customFormat="false" ht="12.75" hidden="false" customHeight="false" outlineLevel="0" collapsed="false">
      <c r="A13" s="0" t="n">
        <f aca="false">DAY((B14-1))</f>
        <v>30</v>
      </c>
      <c r="B13" s="7" t="n">
        <v>34121</v>
      </c>
      <c r="C13" s="52"/>
      <c r="D13" s="52"/>
      <c r="E13" s="52"/>
      <c r="F13" s="52"/>
      <c r="G13" s="52"/>
      <c r="H13" s="52"/>
      <c r="I13" s="52"/>
      <c r="J13" s="52"/>
      <c r="K13" s="52"/>
      <c r="L13" s="54"/>
      <c r="M13" s="53"/>
      <c r="N13" s="52"/>
      <c r="O13" s="52"/>
      <c r="P13" s="52"/>
      <c r="T13" s="52"/>
      <c r="U13" s="52"/>
      <c r="V13" s="52"/>
      <c r="W13" s="52"/>
      <c r="X13" s="52"/>
      <c r="Y13" s="51"/>
    </row>
    <row r="14" customFormat="false" ht="12.75" hidden="false" customHeight="false" outlineLevel="0" collapsed="false">
      <c r="A14" s="0" t="n">
        <f aca="false">DAY((B15-1))</f>
        <v>31</v>
      </c>
      <c r="B14" s="7" t="n">
        <v>34151</v>
      </c>
      <c r="C14" s="52"/>
      <c r="D14" s="52"/>
      <c r="E14" s="52"/>
      <c r="F14" s="52"/>
      <c r="G14" s="52"/>
      <c r="H14" s="52"/>
      <c r="I14" s="52"/>
      <c r="J14" s="52"/>
      <c r="K14" s="52"/>
      <c r="L14" s="54"/>
      <c r="M14" s="53"/>
      <c r="N14" s="52"/>
      <c r="O14" s="52"/>
      <c r="P14" s="52"/>
      <c r="T14" s="52"/>
      <c r="U14" s="52"/>
      <c r="V14" s="52"/>
      <c r="W14" s="52"/>
      <c r="X14" s="52"/>
      <c r="Y14" s="51"/>
    </row>
    <row r="15" customFormat="false" ht="12.75" hidden="false" customHeight="false" outlineLevel="0" collapsed="false">
      <c r="A15" s="0" t="n">
        <f aca="false">DAY((B16-1))</f>
        <v>31</v>
      </c>
      <c r="B15" s="7" t="n">
        <v>34182</v>
      </c>
      <c r="C15" s="52"/>
      <c r="D15" s="52"/>
      <c r="E15" s="52"/>
      <c r="F15" s="52"/>
      <c r="G15" s="52"/>
      <c r="H15" s="52"/>
      <c r="I15" s="52"/>
      <c r="J15" s="52"/>
      <c r="K15" s="52"/>
      <c r="L15" s="54"/>
      <c r="M15" s="53"/>
      <c r="N15" s="52"/>
      <c r="O15" s="52"/>
      <c r="P15" s="52"/>
      <c r="T15" s="52"/>
      <c r="U15" s="52"/>
      <c r="V15" s="52"/>
      <c r="W15" s="52"/>
      <c r="X15" s="52"/>
      <c r="Y15" s="51"/>
    </row>
    <row r="16" customFormat="false" ht="12.75" hidden="false" customHeight="false" outlineLevel="0" collapsed="false">
      <c r="A16" s="0" t="n">
        <f aca="false">DAY((B17-1))</f>
        <v>30</v>
      </c>
      <c r="B16" s="7" t="n">
        <v>34213</v>
      </c>
      <c r="C16" s="52"/>
      <c r="D16" s="52"/>
      <c r="E16" s="52"/>
      <c r="F16" s="52"/>
      <c r="G16" s="52"/>
      <c r="H16" s="52"/>
      <c r="I16" s="52"/>
      <c r="J16" s="52"/>
      <c r="K16" s="52"/>
      <c r="L16" s="54"/>
      <c r="M16" s="53"/>
      <c r="N16" s="52"/>
      <c r="O16" s="52"/>
      <c r="P16" s="52"/>
      <c r="T16" s="52"/>
      <c r="U16" s="52"/>
      <c r="V16" s="52"/>
      <c r="W16" s="52"/>
      <c r="X16" s="52"/>
      <c r="Y16" s="51"/>
    </row>
    <row r="17" customFormat="false" ht="12.75" hidden="false" customHeight="false" outlineLevel="0" collapsed="false">
      <c r="A17" s="0" t="n">
        <f aca="false">DAY((B18-1))</f>
        <v>31</v>
      </c>
      <c r="B17" s="7" t="n">
        <v>34243</v>
      </c>
      <c r="C17" s="52"/>
      <c r="D17" s="52"/>
      <c r="E17" s="52"/>
      <c r="F17" s="52"/>
      <c r="G17" s="52"/>
      <c r="H17" s="52"/>
      <c r="I17" s="52"/>
      <c r="J17" s="52"/>
      <c r="K17" s="52"/>
      <c r="L17" s="54"/>
      <c r="M17" s="53"/>
      <c r="N17" s="51"/>
      <c r="O17" s="52"/>
      <c r="P17" s="52"/>
      <c r="T17" s="52"/>
      <c r="U17" s="52"/>
      <c r="V17" s="52"/>
      <c r="W17" s="50"/>
      <c r="X17" s="52"/>
      <c r="Y17" s="51"/>
    </row>
    <row r="18" customFormat="false" ht="12.75" hidden="false" customHeight="false" outlineLevel="0" collapsed="false">
      <c r="A18" s="0" t="n">
        <f aca="false">DAY((B19-1))</f>
        <v>30</v>
      </c>
      <c r="B18" s="7" t="n">
        <v>34274</v>
      </c>
      <c r="C18" s="52"/>
      <c r="E18" s="51"/>
      <c r="F18" s="51"/>
      <c r="G18" s="51"/>
      <c r="H18" s="51"/>
      <c r="I18" s="52"/>
      <c r="J18" s="52"/>
      <c r="K18" s="52"/>
      <c r="L18" s="55" t="n">
        <v>4.1E-005</v>
      </c>
      <c r="M18" s="56"/>
      <c r="N18" s="51" t="n">
        <f aca="false">filings!O18/daily!$A18</f>
        <v>26.1025666666667</v>
      </c>
      <c r="O18" s="51" t="n">
        <f aca="false">filings!P18/daily!$A18</f>
        <v>-4.05976666666667</v>
      </c>
      <c r="P18" s="51" t="n">
        <f aca="false">filings!Q18/daily!$A18</f>
        <v>22.0428</v>
      </c>
      <c r="Q18" s="51" t="n">
        <f aca="false">filings!R18/daily!$A18</f>
        <v>40.1494</v>
      </c>
      <c r="R18" s="51" t="n">
        <f aca="false">filings!S18/daily!$A18</f>
        <v>0</v>
      </c>
      <c r="S18" s="51" t="n">
        <f aca="false">Q18-R18</f>
        <v>40.1494</v>
      </c>
      <c r="T18" s="26" t="n">
        <f aca="false">Q18/L18/1000000</f>
        <v>0.979253658536585</v>
      </c>
      <c r="U18" s="50" t="n">
        <f aca="false">N18/$T18/1000000</f>
        <v>2.66555722709015E-005</v>
      </c>
      <c r="V18" s="57" t="n">
        <f aca="false">P18/$T18/1000000</f>
        <v>2.25097959122677E-005</v>
      </c>
      <c r="W18" s="50" t="n">
        <f aca="false">M18+0.000041</f>
        <v>4.1E-005</v>
      </c>
      <c r="Y18" s="51" t="n">
        <f aca="false">0.000041*C18*1000000</f>
        <v>0</v>
      </c>
      <c r="Z18" s="0" t="n">
        <f aca="false">MONTH(B18)</f>
        <v>11</v>
      </c>
      <c r="AA18" s="26" t="n">
        <f aca="false">T25</f>
        <v>1.036065</v>
      </c>
      <c r="AB18" s="51" t="n">
        <f aca="false">P25</f>
        <v>18.2473666666667</v>
      </c>
      <c r="AC18" s="50" t="n">
        <f aca="false">V25</f>
        <v>1.76121832767893E-005</v>
      </c>
    </row>
    <row r="19" customFormat="false" ht="12.75" hidden="false" customHeight="false" outlineLevel="0" collapsed="false">
      <c r="A19" s="0" t="n">
        <f aca="false">DAY((B20-1))</f>
        <v>31</v>
      </c>
      <c r="B19" s="7" t="n">
        <v>34304</v>
      </c>
      <c r="C19" s="52"/>
      <c r="E19" s="51" t="n">
        <f aca="false">filings!E21/daily!$A19</f>
        <v>18.8741935483871</v>
      </c>
      <c r="F19" s="51" t="n">
        <f aca="false">filings!F21/daily!$A19</f>
        <v>21.4516129032258</v>
      </c>
      <c r="G19" s="51" t="n">
        <f aca="false">filings!G21/daily!$A19</f>
        <v>0</v>
      </c>
      <c r="H19" s="51" t="n">
        <f aca="false">filings!H21/daily!$A19</f>
        <v>-2.57741935483871</v>
      </c>
      <c r="I19" s="52"/>
      <c r="J19" s="52"/>
      <c r="K19" s="52"/>
      <c r="L19" s="55" t="n">
        <f aca="false">(41*9+10*22)/31/1000000</f>
        <v>1.9E-005</v>
      </c>
      <c r="M19" s="56"/>
      <c r="N19" s="51" t="n">
        <f aca="false">filings!O19/daily!$A19</f>
        <v>29.3289677419355</v>
      </c>
      <c r="O19" s="51" t="n">
        <f aca="false">filings!P19/daily!$A19</f>
        <v>-4.84925806451613</v>
      </c>
      <c r="P19" s="51" t="n">
        <f aca="false">filings!Q19/daily!$A19</f>
        <v>24.4797096774194</v>
      </c>
      <c r="Q19" s="51" t="n">
        <f aca="false">filings!R19/daily!$A19</f>
        <v>18.8741935483871</v>
      </c>
      <c r="R19" s="51" t="n">
        <f aca="false">filings!S19/daily!$A19</f>
        <v>0</v>
      </c>
      <c r="S19" s="51" t="n">
        <f aca="false">Q19-R19</f>
        <v>18.8741935483871</v>
      </c>
      <c r="T19" s="26" t="n">
        <f aca="false">Q19/L19/1000000</f>
        <v>0.993378607809847</v>
      </c>
      <c r="U19" s="50" t="n">
        <f aca="false">N19/$T19/1000000</f>
        <v>2.95244607759357E-005</v>
      </c>
      <c r="V19" s="57" t="n">
        <f aca="false">P19/$T19/1000000</f>
        <v>2.46428798495984E-005</v>
      </c>
      <c r="W19" s="50" t="n">
        <f aca="false">M19+0.000041</f>
        <v>4.1E-005</v>
      </c>
      <c r="Y19" s="51" t="n">
        <f aca="false">0.000041*C19*1000000</f>
        <v>0</v>
      </c>
      <c r="Z19" s="0" t="n">
        <f aca="false">MONTH(B19)</f>
        <v>12</v>
      </c>
      <c r="AA19" s="26" t="n">
        <f aca="false">T81</f>
        <v>1.24828146258503</v>
      </c>
      <c r="AB19" s="51" t="n">
        <f aca="false">P81</f>
        <v>33.2443214285714</v>
      </c>
      <c r="AC19" s="50" t="n">
        <f aca="false">V81</f>
        <v>2.66320717121975E-005</v>
      </c>
    </row>
    <row r="20" customFormat="false" ht="12.75" hidden="false" customHeight="false" outlineLevel="0" collapsed="false">
      <c r="A20" s="0" t="n">
        <f aca="false">DAY((B21-1))</f>
        <v>31</v>
      </c>
      <c r="B20" s="7" t="n">
        <v>34335</v>
      </c>
      <c r="C20" s="52"/>
      <c r="E20" s="51" t="n">
        <f aca="false">filings!E22/daily!$A20</f>
        <v>10.1612903225806</v>
      </c>
      <c r="F20" s="51" t="n">
        <f aca="false">filings!F22/daily!$A20</f>
        <v>21.6451612903226</v>
      </c>
      <c r="G20" s="51" t="n">
        <f aca="false">filings!G22/daily!$A20</f>
        <v>0</v>
      </c>
      <c r="H20" s="51" t="n">
        <f aca="false">filings!H22/daily!$A20</f>
        <v>-11.4838709677419</v>
      </c>
      <c r="I20" s="52"/>
      <c r="J20" s="52"/>
      <c r="K20" s="52"/>
      <c r="L20" s="55" t="n">
        <v>1E-005</v>
      </c>
      <c r="M20" s="56"/>
      <c r="N20" s="51" t="n">
        <f aca="false">filings!O20/daily!$A20</f>
        <v>29.7138064516129</v>
      </c>
      <c r="O20" s="51" t="n">
        <f aca="false">filings!P20/daily!$A20</f>
        <v>-5.15422580645161</v>
      </c>
      <c r="P20" s="51" t="n">
        <f aca="false">filings!Q20/daily!$A20</f>
        <v>24.5595806451613</v>
      </c>
      <c r="Q20" s="51" t="n">
        <f aca="false">filings!R20/daily!$A20</f>
        <v>10.1612903225806</v>
      </c>
      <c r="R20" s="51" t="n">
        <f aca="false">filings!S20/daily!$A20</f>
        <v>0</v>
      </c>
      <c r="S20" s="51" t="n">
        <f aca="false">Q20-R20</f>
        <v>10.1612903225806</v>
      </c>
      <c r="T20" s="26" t="n">
        <f aca="false">Q20/L20/1000000</f>
        <v>1.01612903225806</v>
      </c>
      <c r="U20" s="50" t="n">
        <f aca="false">N20/$T20/1000000</f>
        <v>2.92421587301587E-005</v>
      </c>
      <c r="V20" s="57" t="n">
        <f aca="false">P20/$T20/1000000</f>
        <v>2.4169746031746E-005</v>
      </c>
      <c r="W20" s="50" t="n">
        <f aca="false">M20+0.000041</f>
        <v>4.1E-005</v>
      </c>
      <c r="Y20" s="51" t="n">
        <f aca="false">0.000041*C20*1000000</f>
        <v>0</v>
      </c>
      <c r="Z20" s="0" t="n">
        <f aca="false">MONTH(B20)</f>
        <v>1</v>
      </c>
      <c r="AA20" s="26" t="n">
        <f aca="false">T93</f>
        <v>1.32342203898051</v>
      </c>
      <c r="AB20" s="51" t="n">
        <f aca="false">P93</f>
        <v>47.6705517241379</v>
      </c>
      <c r="AC20" s="50" t="n">
        <f aca="false">V93</f>
        <v>3.6020672408373E-005</v>
      </c>
    </row>
    <row r="21" customFormat="false" ht="12.75" hidden="false" customHeight="false" outlineLevel="0" collapsed="false">
      <c r="A21" s="0" t="n">
        <f aca="false">DAY((B22-1))</f>
        <v>28</v>
      </c>
      <c r="B21" s="7" t="n">
        <v>34366</v>
      </c>
      <c r="C21" s="26" t="n">
        <f aca="false">(filings!C21+filings!D21)*filings!K21/daily!$A21/1000000</f>
        <v>1.14768752170507</v>
      </c>
      <c r="D21" s="51" t="n">
        <f aca="false">filings!$D21/daily!$A21</f>
        <v>32.2071428571429</v>
      </c>
      <c r="E21" s="51" t="n">
        <f aca="false">filings!E23/daily!$A21</f>
        <v>32.175</v>
      </c>
      <c r="F21" s="51" t="n">
        <f aca="false">filings!F23/daily!$A21</f>
        <v>28.1392857142857</v>
      </c>
      <c r="G21" s="51" t="n">
        <f aca="false">filings!G23/daily!$A21</f>
        <v>0</v>
      </c>
      <c r="H21" s="51" t="n">
        <f aca="false">filings!H23/daily!$A21</f>
        <v>4.03571428571429</v>
      </c>
      <c r="I21" s="51" t="n">
        <f aca="false">filings!I21/daily!$A21</f>
        <v>35.0607142857143</v>
      </c>
      <c r="J21" s="58" t="n">
        <f aca="false">$D21/$C21/1000000</f>
        <v>2.8062640961099E-005</v>
      </c>
      <c r="K21" s="59" t="n">
        <f aca="false">$I21/$C21/1000000</f>
        <v>3.05490071318595E-005</v>
      </c>
      <c r="L21" s="55" t="n">
        <v>3.1E-005</v>
      </c>
      <c r="M21" s="56"/>
      <c r="N21" s="51" t="n">
        <f aca="false">filings!O21/daily!$A21</f>
        <v>31.8445</v>
      </c>
      <c r="O21" s="51" t="n">
        <f aca="false">filings!P21/daily!$A21</f>
        <v>-8.7255</v>
      </c>
      <c r="P21" s="51" t="n">
        <f aca="false">filings!Q21/daily!$A21</f>
        <v>23.119</v>
      </c>
      <c r="Q21" s="51" t="n">
        <f aca="false">filings!R21/daily!$A21</f>
        <v>32.175</v>
      </c>
      <c r="R21" s="51" t="n">
        <f aca="false">filings!S21/daily!$A21</f>
        <v>0</v>
      </c>
      <c r="S21" s="51" t="n">
        <f aca="false">Q21-R21</f>
        <v>32.175</v>
      </c>
      <c r="T21" s="26" t="n">
        <f aca="false">Q21/L21/1000000</f>
        <v>1.03790322580645</v>
      </c>
      <c r="U21" s="50" t="n">
        <f aca="false">N21/$T21/1000000</f>
        <v>3.06815695415695E-005</v>
      </c>
      <c r="V21" s="57" t="n">
        <f aca="false">P21/$T21/1000000</f>
        <v>2.22747163947164E-005</v>
      </c>
      <c r="W21" s="50" t="n">
        <f aca="false">M21+0.000041</f>
        <v>4.1E-005</v>
      </c>
      <c r="X21" s="51" t="n">
        <f aca="false">D21-filings!N21*C21*1000000</f>
        <v>32.2071428571429</v>
      </c>
      <c r="Y21" s="51" t="n">
        <f aca="false">0.000041*C21*1000000</f>
        <v>47.0551883899078</v>
      </c>
      <c r="Z21" s="0" t="n">
        <f aca="false">MONTH(B21)</f>
        <v>2</v>
      </c>
      <c r="AA21" s="26" t="n">
        <f aca="false">T70</f>
        <v>1.379829390681</v>
      </c>
      <c r="AB21" s="51" t="n">
        <f aca="false">P70</f>
        <v>62.6591935483871</v>
      </c>
      <c r="AC21" s="50" t="n">
        <f aca="false">V70</f>
        <v>4.5410826854081E-005</v>
      </c>
    </row>
    <row r="22" customFormat="false" ht="12.75" hidden="false" customHeight="false" outlineLevel="0" collapsed="false">
      <c r="A22" s="0" t="n">
        <f aca="false">DAY((B23-1))</f>
        <v>31</v>
      </c>
      <c r="B22" s="7" t="n">
        <v>34394</v>
      </c>
      <c r="C22" s="26" t="n">
        <f aca="false">(filings!C22+filings!D22)*filings!K22/daily!$A22/1000000</f>
        <v>1.07610012623656</v>
      </c>
      <c r="D22" s="51" t="n">
        <f aca="false">filings!$D22/daily!$A22</f>
        <v>23.5451612903226</v>
      </c>
      <c r="E22" s="51" t="n">
        <f aca="false">filings!E24/daily!$A22</f>
        <v>32.0891290322581</v>
      </c>
      <c r="F22" s="51" t="n">
        <f aca="false">filings!F24/daily!$A22</f>
        <v>18.8763548387097</v>
      </c>
      <c r="G22" s="51" t="n">
        <f aca="false">filings!G24/daily!$A22</f>
        <v>0</v>
      </c>
      <c r="H22" s="51" t="n">
        <f aca="false">filings!H24/daily!$A22</f>
        <v>13.2127741935484</v>
      </c>
      <c r="I22" s="51" t="n">
        <f aca="false">filings!I22/daily!$A22</f>
        <v>35.0290322580645</v>
      </c>
      <c r="J22" s="58" t="n">
        <f aca="false">$D22/$C22/1000000</f>
        <v>2.18800841262485E-005</v>
      </c>
      <c r="K22" s="59" t="n">
        <f aca="false">$I22/$C22/1000000</f>
        <v>3.25518336110334E-005</v>
      </c>
      <c r="L22" s="55" t="n">
        <v>3.3E-005</v>
      </c>
      <c r="M22" s="56"/>
      <c r="N22" s="51" t="n">
        <f aca="false">filings!O22/daily!$A22</f>
        <v>25.2742258064516</v>
      </c>
      <c r="O22" s="51" t="n">
        <f aca="false">filings!P22/daily!$A22</f>
        <v>-6.39787096774194</v>
      </c>
      <c r="P22" s="51" t="n">
        <f aca="false">filings!Q22/daily!$A22</f>
        <v>18.8763548387097</v>
      </c>
      <c r="Q22" s="51" t="n">
        <f aca="false">filings!R22/daily!$A22</f>
        <v>32.0891290322581</v>
      </c>
      <c r="R22" s="51" t="n">
        <f aca="false">filings!S22/daily!$A22</f>
        <v>0</v>
      </c>
      <c r="S22" s="51" t="n">
        <f aca="false">Q22-R22</f>
        <v>32.0891290322581</v>
      </c>
      <c r="T22" s="26" t="n">
        <f aca="false">Q22/L22/1000000</f>
        <v>0.972397849462366</v>
      </c>
      <c r="U22" s="50" t="n">
        <f aca="false">N22/$T22/1000000</f>
        <v>2.59916512777415E-005</v>
      </c>
      <c r="V22" s="57" t="n">
        <f aca="false">P22/$T22/1000000</f>
        <v>1.94121725476319E-005</v>
      </c>
      <c r="W22" s="50" t="n">
        <f aca="false">M22+0.000041</f>
        <v>4.1E-005</v>
      </c>
      <c r="X22" s="51" t="n">
        <f aca="false">D22-filings!N22*C22*1000000</f>
        <v>23.5451612903226</v>
      </c>
      <c r="Y22" s="51" t="n">
        <f aca="false">0.000041*C22*1000000</f>
        <v>44.1201051756989</v>
      </c>
      <c r="Z22" s="0" t="n">
        <f aca="false">MONTH(B22)</f>
        <v>3</v>
      </c>
      <c r="AA22" s="26" t="n">
        <f aca="false">T66</f>
        <v>1.38485069444444</v>
      </c>
      <c r="AB22" s="51" t="n">
        <f aca="false">P66</f>
        <v>66.6151</v>
      </c>
      <c r="AC22" s="50" t="n">
        <f aca="false">V66</f>
        <v>4.81027306894797E-005</v>
      </c>
    </row>
    <row r="23" customFormat="false" ht="12.75" hidden="false" customHeight="false" outlineLevel="0" collapsed="false">
      <c r="A23" s="0" t="n">
        <f aca="false">DAY((B24-1))</f>
        <v>30</v>
      </c>
      <c r="B23" s="7" t="n">
        <v>34425</v>
      </c>
      <c r="C23" s="26" t="n">
        <f aca="false">(filings!C23+filings!D23)*filings!K23/daily!$A23/1000000</f>
        <v>1.02339181603846</v>
      </c>
      <c r="D23" s="51" t="n">
        <f aca="false">filings!$D23/daily!$A23</f>
        <v>29.8966666666667</v>
      </c>
      <c r="E23" s="51" t="n">
        <f aca="false">filings!E25/daily!$A23</f>
        <v>26.7945</v>
      </c>
      <c r="F23" s="51" t="n">
        <f aca="false">filings!F25/daily!$A23</f>
        <v>24.0797</v>
      </c>
      <c r="G23" s="51" t="n">
        <f aca="false">filings!G25/daily!$A23</f>
        <v>0</v>
      </c>
      <c r="H23" s="51" t="n">
        <f aca="false">filings!H25/daily!$A23</f>
        <v>2.7148</v>
      </c>
      <c r="I23" s="51" t="n">
        <f aca="false">filings!I23/daily!$A23</f>
        <v>26.13</v>
      </c>
      <c r="J23" s="58" t="n">
        <f aca="false">$D23/$C23/1000000</f>
        <v>2.92133141951402E-005</v>
      </c>
      <c r="K23" s="59" t="n">
        <f aca="false">$I23/$C23/1000000</f>
        <v>2.55327427779801E-005</v>
      </c>
      <c r="L23" s="55" t="n">
        <v>2.6E-005</v>
      </c>
      <c r="M23" s="56"/>
      <c r="N23" s="51" t="n">
        <f aca="false">filings!O23/daily!$A23</f>
        <v>27.0608</v>
      </c>
      <c r="O23" s="51" t="n">
        <f aca="false">filings!P23/daily!$A23</f>
        <v>-2.9812</v>
      </c>
      <c r="P23" s="51" t="n">
        <f aca="false">filings!Q23/daily!$A23</f>
        <v>24.0796</v>
      </c>
      <c r="Q23" s="51" t="n">
        <f aca="false">filings!R23/daily!$A23</f>
        <v>26.7945</v>
      </c>
      <c r="R23" s="51" t="n">
        <f aca="false">filings!S23/daily!$A23</f>
        <v>0</v>
      </c>
      <c r="S23" s="51" t="n">
        <f aca="false">Q23-R23</f>
        <v>26.7945</v>
      </c>
      <c r="T23" s="26" t="n">
        <f aca="false">Q23/L23/1000000</f>
        <v>1.03055769230769</v>
      </c>
      <c r="U23" s="50" t="n">
        <f aca="false">N23/$T23/1000000</f>
        <v>2.62584037768945E-005</v>
      </c>
      <c r="V23" s="57" t="n">
        <f aca="false">P23/$T23/1000000</f>
        <v>2.33656011494896E-005</v>
      </c>
      <c r="W23" s="50" t="n">
        <f aca="false">M23+0.000041</f>
        <v>4.1E-005</v>
      </c>
      <c r="X23" s="51" t="n">
        <f aca="false">D23-filings!N23*C23*1000000</f>
        <v>29.8966666666667</v>
      </c>
      <c r="Y23" s="51" t="n">
        <f aca="false">0.000041*C23*1000000</f>
        <v>41.9590644575769</v>
      </c>
      <c r="Z23" s="0" t="n">
        <f aca="false">MONTH(B23)</f>
        <v>4</v>
      </c>
      <c r="AA23" s="14" t="s">
        <v>94</v>
      </c>
      <c r="AB23" s="14" t="s">
        <v>95</v>
      </c>
      <c r="AC23" s="14" t="s">
        <v>96</v>
      </c>
    </row>
    <row r="24" customFormat="false" ht="12.75" hidden="false" customHeight="false" outlineLevel="0" collapsed="false">
      <c r="A24" s="0" t="n">
        <f aca="false">DAY((B25-1))</f>
        <v>31</v>
      </c>
      <c r="B24" s="7" t="n">
        <v>34455</v>
      </c>
      <c r="C24" s="26" t="n">
        <f aca="false">(filings!C24+filings!D24)*filings!K24/daily!$A24/1000000</f>
        <v>1.01363477419355</v>
      </c>
      <c r="D24" s="51" t="n">
        <f aca="false">filings!$D24/daily!$A24</f>
        <v>37.9677419354839</v>
      </c>
      <c r="E24" s="51" t="n">
        <f aca="false">filings!E26/daily!$A24</f>
        <v>24.1100322580645</v>
      </c>
      <c r="F24" s="51" t="n">
        <f aca="false">filings!F26/daily!$A24</f>
        <v>23.0092258064516</v>
      </c>
      <c r="G24" s="51" t="n">
        <f aca="false">filings!G26/daily!$A24</f>
        <v>0</v>
      </c>
      <c r="H24" s="51" t="n">
        <f aca="false">filings!H26/daily!$A24</f>
        <v>1.1008064516129</v>
      </c>
      <c r="I24" s="51" t="n">
        <f aca="false">filings!I24/daily!$A24</f>
        <v>24.7549677419355</v>
      </c>
      <c r="J24" s="58" t="n">
        <f aca="false">$D24/$C24/1000000</f>
        <v>3.7457023873013E-005</v>
      </c>
      <c r="K24" s="59" t="n">
        <f aca="false">$I24/$C24/1000000</f>
        <v>2.44219795652045E-005</v>
      </c>
      <c r="L24" s="55" t="n">
        <v>2.5E-005</v>
      </c>
      <c r="M24" s="56"/>
      <c r="N24" s="51" t="n">
        <f aca="false">filings!O24/daily!$A24</f>
        <v>24.3742258064516</v>
      </c>
      <c r="O24" s="51" t="n">
        <f aca="false">filings!P24/daily!$A24</f>
        <v>-1.34758064516129</v>
      </c>
      <c r="P24" s="51" t="n">
        <f aca="false">filings!Q24/daily!$A24</f>
        <v>23.0266451612903</v>
      </c>
      <c r="Q24" s="51" t="n">
        <f aca="false">filings!R24/daily!$A24</f>
        <v>24.1100322580645</v>
      </c>
      <c r="R24" s="51" t="n">
        <f aca="false">filings!S24/daily!$A24</f>
        <v>0</v>
      </c>
      <c r="S24" s="51" t="n">
        <f aca="false">Q24-R24</f>
        <v>24.1100322580645</v>
      </c>
      <c r="T24" s="26" t="n">
        <f aca="false">Q24/L24/1000000</f>
        <v>0.964401290322581</v>
      </c>
      <c r="U24" s="50" t="n">
        <f aca="false">N24/$T24/1000000</f>
        <v>2.52739456604198E-005</v>
      </c>
      <c r="V24" s="57" t="n">
        <f aca="false">P24/$T24/1000000</f>
        <v>2.38766220994874E-005</v>
      </c>
      <c r="W24" s="50" t="n">
        <f aca="false">M24+0.000041</f>
        <v>4.1E-005</v>
      </c>
      <c r="X24" s="51" t="n">
        <f aca="false">D24-filings!N24*C24*1000000</f>
        <v>37.9677419354839</v>
      </c>
      <c r="Y24" s="51" t="n">
        <f aca="false">0.000041*C24*1000000</f>
        <v>41.5590257419355</v>
      </c>
      <c r="Z24" s="0" t="n">
        <f aca="false">MONTH(B24)</f>
        <v>5</v>
      </c>
      <c r="AB24" s="0" t="s">
        <v>97</v>
      </c>
      <c r="AC24" s="0" t="s">
        <v>97</v>
      </c>
    </row>
    <row r="25" customFormat="false" ht="12.75" hidden="false" customHeight="false" outlineLevel="0" collapsed="false">
      <c r="A25" s="0" t="n">
        <f aca="false">DAY((B26-1))</f>
        <v>30</v>
      </c>
      <c r="B25" s="7" t="n">
        <v>34486</v>
      </c>
      <c r="C25" s="26" t="n">
        <f aca="false">(filings!C25+filings!D25)*filings!K25/daily!$A25/1000000</f>
        <v>1.0740312</v>
      </c>
      <c r="D25" s="51" t="n">
        <f aca="false">filings!$D25/daily!$A25</f>
        <v>23.9166666666667</v>
      </c>
      <c r="E25" s="51" t="n">
        <f aca="false">filings!E27/daily!$A25</f>
        <v>20.7213</v>
      </c>
      <c r="F25" s="51" t="n">
        <f aca="false">filings!F27/daily!$A25</f>
        <v>18.2470333333333</v>
      </c>
      <c r="G25" s="51" t="n">
        <f aca="false">filings!G27/daily!$A25</f>
        <v>0</v>
      </c>
      <c r="H25" s="51" t="n">
        <f aca="false">filings!H27/daily!$A25</f>
        <v>2.47426666666667</v>
      </c>
      <c r="I25" s="51" t="n">
        <f aca="false">filings!I25/daily!$A25</f>
        <v>21.2018666666667</v>
      </c>
      <c r="J25" s="58" t="n">
        <f aca="false">$D25/$C25/1000000</f>
        <v>2.22681302616411E-005</v>
      </c>
      <c r="K25" s="59" t="n">
        <f aca="false">$I25/$C25/1000000</f>
        <v>1.97404569501023E-005</v>
      </c>
      <c r="L25" s="55" t="n">
        <v>2E-005</v>
      </c>
      <c r="M25" s="56"/>
      <c r="N25" s="51" t="n">
        <f aca="false">filings!O25/daily!$A25</f>
        <v>28.4310666666667</v>
      </c>
      <c r="O25" s="51" t="n">
        <f aca="false">filings!P25/daily!$A25</f>
        <v>-10.1837</v>
      </c>
      <c r="P25" s="51" t="n">
        <f aca="false">filings!Q25/daily!$A25</f>
        <v>18.2473666666667</v>
      </c>
      <c r="Q25" s="51" t="n">
        <f aca="false">filings!R25/daily!$A25</f>
        <v>20.7213</v>
      </c>
      <c r="R25" s="51" t="n">
        <f aca="false">filings!S25/daily!$A25</f>
        <v>0</v>
      </c>
      <c r="S25" s="51" t="n">
        <f aca="false">Q25-R25</f>
        <v>20.7213</v>
      </c>
      <c r="T25" s="26" t="n">
        <f aca="false">Q25/L25/1000000</f>
        <v>1.036065</v>
      </c>
      <c r="U25" s="50" t="n">
        <f aca="false">N25/$T25/1000000</f>
        <v>2.74413928341047E-005</v>
      </c>
      <c r="V25" s="57" t="n">
        <f aca="false">P25/$T25/1000000</f>
        <v>1.76121832767893E-005</v>
      </c>
      <c r="W25" s="50" t="n">
        <f aca="false">M25+0.000041</f>
        <v>4.1E-005</v>
      </c>
      <c r="X25" s="51" t="n">
        <f aca="false">D25-filings!N25*C25*1000000</f>
        <v>23.9166666666667</v>
      </c>
      <c r="Y25" s="51" t="n">
        <f aca="false">0.000041*C25*1000000</f>
        <v>44.0352792</v>
      </c>
      <c r="Z25" s="0" t="n">
        <f aca="false">MONTH(B25)</f>
        <v>6</v>
      </c>
      <c r="AA25" s="26" t="n">
        <f aca="false">T22</f>
        <v>0.972397849462366</v>
      </c>
      <c r="AB25" s="51" t="n">
        <f aca="false">P22</f>
        <v>18.8763548387097</v>
      </c>
      <c r="AC25" s="50" t="n">
        <f aca="false">V22</f>
        <v>1.94121725476319E-005</v>
      </c>
    </row>
    <row r="26" customFormat="false" ht="12.75" hidden="false" customHeight="false" outlineLevel="0" collapsed="false">
      <c r="A26" s="0" t="n">
        <f aca="false">DAY((B27-1))</f>
        <v>31</v>
      </c>
      <c r="B26" s="7" t="n">
        <v>34516</v>
      </c>
      <c r="C26" s="26" t="n">
        <f aca="false">(filings!C26+filings!D26)*filings!K26/daily!$A26/1000000</f>
        <v>1.19810184258065</v>
      </c>
      <c r="D26" s="51" t="n">
        <f aca="false">filings!$D26/daily!$A26</f>
        <v>24.7612903225806</v>
      </c>
      <c r="E26" s="51" t="n">
        <f aca="false">filings!E28/daily!$A26</f>
        <v>18.5204516129032</v>
      </c>
      <c r="F26" s="51" t="n">
        <f aca="false">filings!F28/daily!$A26</f>
        <v>27.0423870967742</v>
      </c>
      <c r="G26" s="51" t="n">
        <f aca="false">filings!G28/daily!$A26</f>
        <v>0</v>
      </c>
      <c r="H26" s="51" t="n">
        <f aca="false">filings!H28/daily!$A26</f>
        <v>-8.52193548387097</v>
      </c>
      <c r="I26" s="51" t="n">
        <f aca="false">filings!I26/daily!$A26</f>
        <v>23.6604838709677</v>
      </c>
      <c r="J26" s="58" t="n">
        <f aca="false">$D26/$C26/1000000</f>
        <v>2.0667099776131E-005</v>
      </c>
      <c r="K26" s="60" t="n">
        <f aca="false">$I26/$C26/1000000</f>
        <v>1.97483077231601E-005</v>
      </c>
      <c r="L26" s="61" t="n">
        <v>1.6E-005</v>
      </c>
      <c r="M26" s="56" t="n">
        <f aca="false">filings!N26</f>
        <v>-4E-006</v>
      </c>
      <c r="N26" s="51" t="n">
        <f aca="false">filings!O26/daily!$A26</f>
        <v>38.9326129032258</v>
      </c>
      <c r="O26" s="51" t="n">
        <f aca="false">filings!P26/daily!$A26</f>
        <v>-11.8902258064516</v>
      </c>
      <c r="P26" s="51" t="n">
        <f aca="false">filings!Q26/daily!$A26</f>
        <v>27.0423870967742</v>
      </c>
      <c r="Q26" s="51" t="n">
        <f aca="false">filings!R26/daily!$A26</f>
        <v>18.5204516129032</v>
      </c>
      <c r="R26" s="51" t="n">
        <f aca="false">filings!S26/daily!$A26</f>
        <v>-4.63012903225806</v>
      </c>
      <c r="S26" s="51" t="n">
        <f aca="false">Q26-R26</f>
        <v>23.1505806451613</v>
      </c>
      <c r="T26" s="26" t="n">
        <f aca="false">Q26/L26/1000000</f>
        <v>1.15752822580645</v>
      </c>
      <c r="U26" s="50" t="n">
        <f aca="false">N26/$T26/1000000</f>
        <v>3.36342665649483E-005</v>
      </c>
      <c r="V26" s="57" t="n">
        <f aca="false">P26/$T26/1000000</f>
        <v>2.33621837410779E-005</v>
      </c>
      <c r="W26" s="50" t="n">
        <f aca="false">M26+0.000041</f>
        <v>3.7E-005</v>
      </c>
      <c r="X26" s="51" t="n">
        <f aca="false">D26-filings!N26*C26*1000000</f>
        <v>29.5536976929032</v>
      </c>
      <c r="Y26" s="51" t="n">
        <f aca="false">0.000041*C26*1000000</f>
        <v>49.1221755458065</v>
      </c>
      <c r="Z26" s="0" t="n">
        <f aca="false">MONTH(B26)</f>
        <v>7</v>
      </c>
      <c r="AA26" s="26" t="n">
        <f aca="false">T28</f>
        <v>1.09121733333333</v>
      </c>
      <c r="AB26" s="51" t="n">
        <f aca="false">P28</f>
        <v>26.2352333333333</v>
      </c>
      <c r="AC26" s="50" t="n">
        <f aca="false">V28</f>
        <v>2.40421706400069E-005</v>
      </c>
    </row>
    <row r="27" customFormat="false" ht="12.75" hidden="false" customHeight="false" outlineLevel="0" collapsed="false">
      <c r="A27" s="0" t="n">
        <f aca="false">DAY((B28-1))</f>
        <v>31</v>
      </c>
      <c r="B27" s="7" t="n">
        <v>34547</v>
      </c>
      <c r="C27" s="26" t="n">
        <f aca="false">(filings!C27+filings!D27)*filings!K27/daily!$A27/1000000</f>
        <v>1.2819603483871</v>
      </c>
      <c r="D27" s="51" t="n">
        <f aca="false">filings!$D27/daily!$A27</f>
        <v>30.1903225806452</v>
      </c>
      <c r="E27" s="51" t="n">
        <f aca="false">filings!E29/daily!$A27</f>
        <v>20.6494516129032</v>
      </c>
      <c r="F27" s="51" t="n">
        <f aca="false">filings!F29/daily!$A27</f>
        <v>40.9791612903226</v>
      </c>
      <c r="G27" s="51" t="n">
        <f aca="false">filings!G29/daily!$A27</f>
        <v>0</v>
      </c>
      <c r="H27" s="51" t="n">
        <f aca="false">filings!H29/daily!$A27</f>
        <v>-20.3297096774194</v>
      </c>
      <c r="I27" s="51" t="n">
        <f aca="false">filings!I27/daily!$A27</f>
        <v>27.7958709677419</v>
      </c>
      <c r="J27" s="58" t="n">
        <f aca="false">$D27/$C27/1000000</f>
        <v>2.35501219820326E-005</v>
      </c>
      <c r="K27" s="60" t="n">
        <f aca="false">$I27/$C27/1000000</f>
        <v>2.16823172438316E-005</v>
      </c>
      <c r="L27" s="61" t="n">
        <v>1.8E-005</v>
      </c>
      <c r="M27" s="56" t="n">
        <f aca="false">filings!N27</f>
        <v>-4E-006</v>
      </c>
      <c r="N27" s="51" t="n">
        <f aca="false">filings!O27/daily!$A27</f>
        <v>41.5963870967742</v>
      </c>
      <c r="O27" s="51" t="n">
        <f aca="false">filings!P27/daily!$A27</f>
        <v>-0.617225806451613</v>
      </c>
      <c r="P27" s="51" t="n">
        <f aca="false">filings!Q27/daily!$A27</f>
        <v>40.9791612903226</v>
      </c>
      <c r="Q27" s="51" t="n">
        <f aca="false">filings!R27/daily!$A27</f>
        <v>20.6494516129032</v>
      </c>
      <c r="R27" s="51" t="n">
        <f aca="false">filings!S27/daily!$A27</f>
        <v>-4.58877419354839</v>
      </c>
      <c r="S27" s="51" t="n">
        <f aca="false">Q27-R27</f>
        <v>25.2382258064516</v>
      </c>
      <c r="T27" s="26" t="n">
        <f aca="false">Q27/L27/1000000</f>
        <v>1.1471917562724</v>
      </c>
      <c r="U27" s="50" t="n">
        <f aca="false">N27/$T27/1000000</f>
        <v>3.62593148611304E-005</v>
      </c>
      <c r="V27" s="57" t="n">
        <f aca="false">P27/$T27/1000000</f>
        <v>3.5721282920893E-005</v>
      </c>
      <c r="W27" s="50" t="n">
        <f aca="false">M27+0.000041</f>
        <v>3.7E-005</v>
      </c>
      <c r="X27" s="51" t="n">
        <f aca="false">D27-filings!N27*C27*1000000</f>
        <v>35.3181639741936</v>
      </c>
      <c r="Y27" s="51" t="n">
        <f aca="false">0.000041*C27*1000000</f>
        <v>52.560374283871</v>
      </c>
      <c r="Z27" s="0" t="n">
        <f aca="false">MONTH(B27)</f>
        <v>8</v>
      </c>
      <c r="AA27" s="26" t="n">
        <f aca="false">T80</f>
        <v>1.26099126344086</v>
      </c>
      <c r="AB27" s="51" t="n">
        <f aca="false">P80</f>
        <v>42.8506129032258</v>
      </c>
      <c r="AC27" s="50" t="n">
        <f aca="false">V80</f>
        <v>3.39816889661072E-005</v>
      </c>
    </row>
    <row r="28" customFormat="false" ht="12.75" hidden="false" customHeight="false" outlineLevel="0" collapsed="false">
      <c r="A28" s="0" t="n">
        <f aca="false">DAY((B29-1))</f>
        <v>30</v>
      </c>
      <c r="B28" s="7" t="n">
        <v>34578</v>
      </c>
      <c r="C28" s="26" t="n">
        <f aca="false">(filings!C28+filings!D28)*filings!K28/daily!$A28/1000000</f>
        <v>1.32338268</v>
      </c>
      <c r="D28" s="51" t="n">
        <f aca="false">filings!$D28/daily!$A28</f>
        <v>29.0566666666667</v>
      </c>
      <c r="E28" s="51" t="n">
        <f aca="false">filings!E30/daily!$A28</f>
        <v>27.2804333333333</v>
      </c>
      <c r="F28" s="51" t="n">
        <f aca="false">filings!F30/daily!$A28</f>
        <v>33.3158</v>
      </c>
      <c r="G28" s="51" t="n">
        <f aca="false">filings!G30/daily!$A28</f>
        <v>3.6036</v>
      </c>
      <c r="H28" s="51" t="n">
        <f aca="false">filings!H30/daily!$A28</f>
        <v>-9.63896666666667</v>
      </c>
      <c r="I28" s="51" t="n">
        <f aca="false">filings!I28/daily!$A28</f>
        <v>37.8626666666667</v>
      </c>
      <c r="J28" s="58" t="n">
        <f aca="false">$D28/$C28/1000000</f>
        <v>2.19563600958316E-005</v>
      </c>
      <c r="K28" s="60" t="n">
        <f aca="false">$I28/$C28/1000000</f>
        <v>2.86105200248402E-005</v>
      </c>
      <c r="L28" s="61" t="n">
        <v>2.5E-005</v>
      </c>
      <c r="M28" s="56" t="n">
        <f aca="false">filings!N28</f>
        <v>-4E-006</v>
      </c>
      <c r="N28" s="51" t="n">
        <f aca="false">filings!O28/daily!$A28</f>
        <v>37.6551</v>
      </c>
      <c r="O28" s="51" t="n">
        <f aca="false">filings!P28/daily!$A28</f>
        <v>-11.4198666666667</v>
      </c>
      <c r="P28" s="51" t="n">
        <f aca="false">filings!Q28/daily!$A28</f>
        <v>26.2352333333333</v>
      </c>
      <c r="Q28" s="51" t="n">
        <f aca="false">filings!R28/daily!$A28</f>
        <v>27.2804333333333</v>
      </c>
      <c r="R28" s="51" t="n">
        <f aca="false">filings!S28/daily!$A28</f>
        <v>-4.36486666666667</v>
      </c>
      <c r="S28" s="51" t="n">
        <f aca="false">Q28-R28</f>
        <v>31.6453</v>
      </c>
      <c r="T28" s="26" t="n">
        <f aca="false">Q28/L28/1000000</f>
        <v>1.09121733333333</v>
      </c>
      <c r="U28" s="50" t="n">
        <f aca="false">N28/$T28/1000000</f>
        <v>3.45074247354331E-005</v>
      </c>
      <c r="V28" s="57" t="n">
        <f aca="false">P28/$T28/1000000</f>
        <v>2.40421706400069E-005</v>
      </c>
      <c r="W28" s="50" t="n">
        <f aca="false">M28+0.000041</f>
        <v>3.7E-005</v>
      </c>
      <c r="X28" s="51" t="n">
        <f aca="false">D28-filings!N28*C28*1000000</f>
        <v>34.3501973866667</v>
      </c>
      <c r="Y28" s="51" t="n">
        <f aca="false">0.000041*C28*1000000</f>
        <v>54.25868988</v>
      </c>
      <c r="Z28" s="0" t="n">
        <f aca="false">MONTH(B28)</f>
        <v>9</v>
      </c>
      <c r="AA28" s="26" t="n">
        <f aca="false">T92</f>
        <v>1.31282608695652</v>
      </c>
      <c r="AB28" s="51" t="n">
        <f aca="false">P92</f>
        <v>51.7672258064516</v>
      </c>
      <c r="AC28" s="50" t="n">
        <f aca="false">V92</f>
        <v>3.94318991074147E-005</v>
      </c>
    </row>
    <row r="29" customFormat="false" ht="12.75" hidden="false" customHeight="false" outlineLevel="0" collapsed="false">
      <c r="A29" s="0" t="n">
        <f aca="false">DAY((B30-1))</f>
        <v>31</v>
      </c>
      <c r="B29" s="7" t="n">
        <v>34608</v>
      </c>
      <c r="C29" s="26" t="n">
        <f aca="false">(filings!C29+filings!D29)*filings!K29/daily!$A29/1000000</f>
        <v>1.27733283870968</v>
      </c>
      <c r="D29" s="51" t="n">
        <f aca="false">filings!$D29/daily!$A29</f>
        <v>22.6290322580645</v>
      </c>
      <c r="E29" s="51" t="n">
        <f aca="false">filings!E31/daily!$A29</f>
        <v>30.7942258064516</v>
      </c>
      <c r="F29" s="51" t="n">
        <f aca="false">filings!F31/daily!$A29</f>
        <v>45.9813225806452</v>
      </c>
      <c r="G29" s="51" t="n">
        <f aca="false">filings!G31/daily!$A29</f>
        <v>-4.36164516129032</v>
      </c>
      <c r="H29" s="51" t="n">
        <f aca="false">filings!H31/daily!$A29</f>
        <v>-10.8254516129032</v>
      </c>
      <c r="I29" s="51" t="n">
        <f aca="false">filings!I29/daily!$A29</f>
        <v>42.9587419354839</v>
      </c>
      <c r="J29" s="58" t="n">
        <f aca="false">$D29/$C29/1000000</f>
        <v>1.77158463106011E-005</v>
      </c>
      <c r="K29" s="60" t="n">
        <f aca="false">$I29/$C29/1000000</f>
        <v>3.36315959580899E-005</v>
      </c>
      <c r="L29" s="61" t="n">
        <v>3E-005</v>
      </c>
      <c r="M29" s="56" t="n">
        <f aca="false">filings!N29</f>
        <v>-4E-006</v>
      </c>
      <c r="N29" s="51" t="n">
        <f aca="false">filings!O29/daily!$A29</f>
        <v>39.0286774193548</v>
      </c>
      <c r="O29" s="51" t="n">
        <f aca="false">filings!P29/daily!$A29</f>
        <v>6.57361290322581</v>
      </c>
      <c r="P29" s="51" t="n">
        <f aca="false">filings!Q29/daily!$A29</f>
        <v>45.6022903225806</v>
      </c>
      <c r="Q29" s="51" t="n">
        <f aca="false">filings!R29/daily!$A29</f>
        <v>30.7942258064516</v>
      </c>
      <c r="R29" s="51" t="n">
        <f aca="false">filings!S29/daily!$A29</f>
        <v>-4.10590322580645</v>
      </c>
      <c r="S29" s="51" t="n">
        <f aca="false">Q29-R29</f>
        <v>34.9001290322581</v>
      </c>
      <c r="T29" s="26" t="n">
        <f aca="false">Q29/L29/1000000</f>
        <v>1.02647419354839</v>
      </c>
      <c r="U29" s="50" t="n">
        <f aca="false">N29/$T29/1000000</f>
        <v>3.80220736815972E-005</v>
      </c>
      <c r="V29" s="57" t="n">
        <f aca="false">P29/$T29/1000000</f>
        <v>4.44261439880329E-005</v>
      </c>
      <c r="W29" s="50" t="n">
        <f aca="false">M29+0.000041</f>
        <v>3.7E-005</v>
      </c>
      <c r="X29" s="51" t="n">
        <f aca="false">D29-filings!N29*C29*1000000</f>
        <v>27.7383636129032</v>
      </c>
      <c r="Y29" s="51" t="n">
        <f aca="false">0.000041*VALUE(C29)*1000000</f>
        <v>52.3706463870968</v>
      </c>
      <c r="Z29" s="0" t="n">
        <f aca="false">MONTH(B29)</f>
        <v>10</v>
      </c>
      <c r="AA29" s="26" t="n">
        <f aca="false">T73</f>
        <v>1.32014015151515</v>
      </c>
      <c r="AB29" s="51" t="n">
        <f aca="false">P73</f>
        <v>53.0462666666667</v>
      </c>
      <c r="AC29" s="50" t="n">
        <f aca="false">V73</f>
        <v>4.01822992852572E-005</v>
      </c>
    </row>
    <row r="30" customFormat="false" ht="12.75" hidden="false" customHeight="false" outlineLevel="0" collapsed="false">
      <c r="A30" s="0" t="n">
        <f aca="false">DAY((B31-1))</f>
        <v>30</v>
      </c>
      <c r="B30" s="7" t="n">
        <v>34639</v>
      </c>
      <c r="C30" s="26" t="n">
        <f aca="false">(filings!C30+filings!D30)*filings!K30/daily!$A30/1000000</f>
        <v>1.17797203783784</v>
      </c>
      <c r="D30" s="51" t="n">
        <f aca="false">filings!$D30/daily!$A30</f>
        <v>33.3333333333333</v>
      </c>
      <c r="E30" s="51" t="n">
        <f aca="false">filings!E32/daily!$A30</f>
        <v>42.0251</v>
      </c>
      <c r="F30" s="51" t="n">
        <f aca="false">filings!F32/daily!$A30</f>
        <v>48.1564666666667</v>
      </c>
      <c r="G30" s="51" t="n">
        <f aca="false">filings!G32/daily!$A30</f>
        <v>8.77733333333333</v>
      </c>
      <c r="H30" s="51" t="n">
        <f aca="false">filings!H32/daily!$A30</f>
        <v>-14.9087</v>
      </c>
      <c r="I30" s="51" t="n">
        <f aca="false">filings!I30/daily!$A30</f>
        <v>42.9723</v>
      </c>
      <c r="J30" s="58" t="n">
        <f aca="false">$D30/$C30/1000000</f>
        <v>2.82972195116928E-005</v>
      </c>
      <c r="K30" s="59" t="n">
        <f aca="false">$I30/$C30/1000000</f>
        <v>3.64798981806694E-005</v>
      </c>
      <c r="L30" s="55" t="n">
        <v>3.7E-005</v>
      </c>
      <c r="M30" s="56" t="n">
        <f aca="false">filings!N30</f>
        <v>-4E-006</v>
      </c>
      <c r="N30" s="51" t="n">
        <f aca="false">filings!O30/daily!$A30</f>
        <v>41.6146666666667</v>
      </c>
      <c r="O30" s="51" t="n">
        <f aca="false">filings!P30/daily!$A30</f>
        <v>6.5418</v>
      </c>
      <c r="P30" s="51" t="n">
        <f aca="false">filings!Q30/daily!$A30</f>
        <v>48.1564666666667</v>
      </c>
      <c r="Q30" s="51" t="n">
        <f aca="false">filings!R30/daily!$A30</f>
        <v>42.0251</v>
      </c>
      <c r="R30" s="51" t="n">
        <f aca="false">filings!S30/daily!$A30</f>
        <v>-4.54326666666667</v>
      </c>
      <c r="S30" s="51" t="n">
        <f aca="false">Q30-R30</f>
        <v>46.5683666666667</v>
      </c>
      <c r="T30" s="26" t="n">
        <f aca="false">Q30/L30/1000000</f>
        <v>1.13581351351351</v>
      </c>
      <c r="U30" s="50" t="n">
        <f aca="false">N30/$T30/1000000</f>
        <v>3.6638643731167E-005</v>
      </c>
      <c r="V30" s="57" t="n">
        <f aca="false">P30/$T30/1000000</f>
        <v>4.23982159867952E-005</v>
      </c>
      <c r="W30" s="50" t="n">
        <f aca="false">M30+0.000041</f>
        <v>3.7E-005</v>
      </c>
      <c r="X30" s="51" t="n">
        <f aca="false">D30-filings!N30*C30*1000000</f>
        <v>38.0452214846847</v>
      </c>
      <c r="Y30" s="51" t="n">
        <f aca="false">0.000041*C30*1000000</f>
        <v>48.2968535513514</v>
      </c>
      <c r="Z30" s="0" t="n">
        <f aca="false">MONTH(B30)</f>
        <v>11</v>
      </c>
      <c r="AA30" s="26" t="n">
        <f aca="false">T69</f>
        <v>1.34355431547619</v>
      </c>
      <c r="AB30" s="51" t="n">
        <f aca="false">P69</f>
        <v>59.7226428571429</v>
      </c>
      <c r="AC30" s="50" t="n">
        <f aca="false">V69</f>
        <v>4.44512307163225E-005</v>
      </c>
    </row>
    <row r="31" customFormat="false" ht="12.75" hidden="false" customHeight="false" outlineLevel="0" collapsed="false">
      <c r="A31" s="0" t="n">
        <f aca="false">DAY((B32-1))</f>
        <v>31</v>
      </c>
      <c r="B31" s="7" t="n">
        <v>34669</v>
      </c>
      <c r="C31" s="62" t="n">
        <f aca="false">(filings!C31+filings!D31)*filings!K31/daily!$A31/1000000</f>
        <v>1.40768274864865</v>
      </c>
      <c r="D31" s="51" t="n">
        <f aca="false">filings!$D31/daily!$A31</f>
        <v>40.3451612903226</v>
      </c>
      <c r="E31" s="51" t="n">
        <f aca="false">filings!E33/daily!$A31</f>
        <v>44.9253870967742</v>
      </c>
      <c r="F31" s="51" t="n">
        <f aca="false">filings!F33/daily!$A31</f>
        <v>54.8841935483871</v>
      </c>
      <c r="G31" s="51" t="n">
        <f aca="false">filings!G33/daily!$A31</f>
        <v>8.32845161290323</v>
      </c>
      <c r="H31" s="51" t="n">
        <f aca="false">filings!H33/daily!$A31</f>
        <v>-18.2872580645161</v>
      </c>
      <c r="I31" s="51" t="n">
        <f aca="false">filings!I31/daily!$A31</f>
        <v>51.1706129032258</v>
      </c>
      <c r="J31" s="58" t="n">
        <f aca="false">$D31/$C31/1000000</f>
        <v>2.86606917141332E-005</v>
      </c>
      <c r="K31" s="59" t="n">
        <f aca="false">$I31/$C31/1000000</f>
        <v>3.63509554637568E-005</v>
      </c>
      <c r="L31" s="55" t="n">
        <v>3.7E-005</v>
      </c>
      <c r="M31" s="56" t="n">
        <f aca="false">filings!N31</f>
        <v>-4E-006</v>
      </c>
      <c r="N31" s="51" t="n">
        <f aca="false">filings!O31/daily!$A31</f>
        <v>49.8972580645161</v>
      </c>
      <c r="O31" s="51" t="n">
        <f aca="false">filings!P31/daily!$A31</f>
        <v>4.98693548387097</v>
      </c>
      <c r="P31" s="51" t="n">
        <f aca="false">filings!Q31/daily!$A31</f>
        <v>54.8841935483871</v>
      </c>
      <c r="Q31" s="51" t="n">
        <f aca="false">filings!R31/daily!$A31</f>
        <v>44.9253870967742</v>
      </c>
      <c r="R31" s="51" t="n">
        <f aca="false">filings!S31/daily!$A31</f>
        <v>-4.8568064516129</v>
      </c>
      <c r="S31" s="51" t="n">
        <f aca="false">Q31-R31</f>
        <v>49.7821935483871</v>
      </c>
      <c r="T31" s="26" t="n">
        <f aca="false">Q31/L31/1000000</f>
        <v>1.21419965126417</v>
      </c>
      <c r="U31" s="50" t="n">
        <f aca="false">N31/$T31/1000000</f>
        <v>4.10947721921724E-005</v>
      </c>
      <c r="V31" s="57" t="n">
        <f aca="false">P31/$T31/1000000</f>
        <v>4.52019513357991E-005</v>
      </c>
      <c r="W31" s="50" t="n">
        <f aca="false">M31+0.000041</f>
        <v>3.7E-005</v>
      </c>
      <c r="X31" s="51" t="n">
        <f aca="false">D31-filings!N31*C31*1000000</f>
        <v>45.9758922849172</v>
      </c>
      <c r="Y31" s="51" t="n">
        <f aca="false">0.000041*C31*1000000</f>
        <v>57.7149926945946</v>
      </c>
      <c r="Z31" s="0" t="n">
        <f aca="false">MONTH(B31)</f>
        <v>12</v>
      </c>
      <c r="AA31" s="26" t="n">
        <f aca="false">T71</f>
        <v>1.3579519379845</v>
      </c>
      <c r="AB31" s="51" t="n">
        <f aca="false">P71</f>
        <v>65.2796</v>
      </c>
      <c r="AC31" s="50" t="n">
        <f aca="false">V71</f>
        <v>4.8072098999976E-005</v>
      </c>
    </row>
    <row r="32" customFormat="false" ht="12.75" hidden="false" customHeight="false" outlineLevel="0" collapsed="false">
      <c r="A32" s="0" t="n">
        <f aca="false">DAY((B33-1))</f>
        <v>31</v>
      </c>
      <c r="B32" s="7" t="n">
        <v>34700</v>
      </c>
      <c r="C32" s="62" t="n">
        <f aca="false">(filings!C32+filings!D32)*filings!K32/daily!$A32/1000000</f>
        <v>1.44847586032258</v>
      </c>
      <c r="D32" s="51" t="n">
        <f aca="false">filings!$D32/daily!$A32</f>
        <v>42.4709677419355</v>
      </c>
      <c r="E32" s="51" t="n">
        <f aca="false">filings!E34/daily!$A32</f>
        <v>47.3949032258065</v>
      </c>
      <c r="F32" s="51" t="n">
        <f aca="false">filings!F34/daily!$A32</f>
        <v>60.9711290322581</v>
      </c>
      <c r="G32" s="51" t="n">
        <f aca="false">filings!G34/daily!$A32</f>
        <v>7.478</v>
      </c>
      <c r="H32" s="51" t="n">
        <f aca="false">filings!H34/daily!$A32</f>
        <v>-21.0542258064516</v>
      </c>
      <c r="I32" s="51" t="n">
        <f aca="false">filings!I32/daily!$A32</f>
        <v>56.8987419354839</v>
      </c>
      <c r="J32" s="58" t="n">
        <f aca="false">$D32/$C32/1000000</f>
        <v>2.93211429374301E-005</v>
      </c>
      <c r="K32" s="59" t="n">
        <f aca="false">$I32/$C32/1000000</f>
        <v>3.92818019920693E-005</v>
      </c>
      <c r="L32" s="55" t="n">
        <v>4E-005</v>
      </c>
      <c r="M32" s="56" t="n">
        <f aca="false">filings!N32</f>
        <v>8E-006</v>
      </c>
      <c r="N32" s="51" t="n">
        <f aca="false">filings!O32/daily!$A32</f>
        <v>48.3485806451613</v>
      </c>
      <c r="O32" s="51" t="n">
        <f aca="false">filings!P32/daily!$A32</f>
        <v>12.6225483870968</v>
      </c>
      <c r="P32" s="51" t="n">
        <f aca="false">filings!Q32/daily!$A32</f>
        <v>60.9711290322581</v>
      </c>
      <c r="Q32" s="51" t="n">
        <f aca="false">filings!R32/daily!$A32</f>
        <v>47.3949032258065</v>
      </c>
      <c r="R32" s="51" t="n">
        <f aca="false">filings!S32/daily!$A32</f>
        <v>9.47896774193549</v>
      </c>
      <c r="S32" s="51" t="n">
        <f aca="false">Q32-R32</f>
        <v>37.915935483871</v>
      </c>
      <c r="T32" s="26" t="n">
        <f aca="false">Q32/L32/1000000</f>
        <v>1.18487258064516</v>
      </c>
      <c r="U32" s="50" t="n">
        <f aca="false">N32/$T32/1000000</f>
        <v>4.08048776171659E-005</v>
      </c>
      <c r="V32" s="57" t="n">
        <f aca="false">P32/$T32/1000000</f>
        <v>5.14579626773534E-005</v>
      </c>
      <c r="W32" s="50" t="n">
        <f aca="false">M32+0.000041</f>
        <v>4.9E-005</v>
      </c>
      <c r="X32" s="51" t="n">
        <f aca="false">D32-filings!N32*C32*1000000</f>
        <v>30.8831608593548</v>
      </c>
      <c r="Y32" s="51" t="n">
        <f aca="false">0.000041*C32*1000000</f>
        <v>59.3875102732258</v>
      </c>
      <c r="Z32" s="0" t="n">
        <f aca="false">MONTH(B32)</f>
        <v>1</v>
      </c>
    </row>
    <row r="33" customFormat="false" ht="12.75" hidden="false" customHeight="false" outlineLevel="0" collapsed="false">
      <c r="A33" s="0" t="n">
        <f aca="false">DAY((B34-1))</f>
        <v>28</v>
      </c>
      <c r="B33" s="7" t="n">
        <v>34731</v>
      </c>
      <c r="C33" s="62" t="n">
        <f aca="false">(filings!C33+filings!D33)*filings!K33/daily!$A33/1000000</f>
        <v>1.64378425324675</v>
      </c>
      <c r="D33" s="51" t="n">
        <f aca="false">filings!$D33/daily!$A33</f>
        <v>50.7142857142857</v>
      </c>
      <c r="E33" s="51" t="n">
        <f aca="false">filings!E35/daily!$A33</f>
        <v>51.7179285714286</v>
      </c>
      <c r="F33" s="51" t="n">
        <f aca="false">filings!F35/daily!$A33</f>
        <v>34.4754642857143</v>
      </c>
      <c r="G33" s="51" t="n">
        <f aca="false">filings!G35/daily!$A33</f>
        <v>9.67532142857143</v>
      </c>
      <c r="H33" s="51" t="n">
        <f aca="false">filings!H35/daily!$A33</f>
        <v>7.56714285714286</v>
      </c>
      <c r="I33" s="51" t="n">
        <f aca="false">filings!I33/daily!$A33</f>
        <v>70.9608928571429</v>
      </c>
      <c r="J33" s="58" t="n">
        <f aca="false">$D33/$C33/1000000</f>
        <v>3.08521544808063E-005</v>
      </c>
      <c r="K33" s="59" t="n">
        <f aca="false">$I33/$C33/1000000</f>
        <v>4.31692253511877E-005</v>
      </c>
      <c r="L33" s="55" t="n">
        <v>4.4E-005</v>
      </c>
      <c r="M33" s="56" t="n">
        <f aca="false">filings!N33</f>
        <v>8E-006</v>
      </c>
      <c r="N33" s="51" t="n">
        <f aca="false">filings!O33/daily!$A33</f>
        <v>42.7329285714286</v>
      </c>
      <c r="O33" s="51" t="n">
        <f aca="false">filings!P33/daily!$A33</f>
        <v>-8.25746428571429</v>
      </c>
      <c r="P33" s="51" t="n">
        <f aca="false">filings!Q33/daily!$A33</f>
        <v>34.4754642857143</v>
      </c>
      <c r="Q33" s="51" t="n">
        <f aca="false">filings!R33/daily!$A33</f>
        <v>51.7179285714286</v>
      </c>
      <c r="R33" s="51" t="n">
        <f aca="false">filings!S33/daily!$A33</f>
        <v>9.40325</v>
      </c>
      <c r="S33" s="51" t="n">
        <f aca="false">Q33-R33</f>
        <v>42.3146785714286</v>
      </c>
      <c r="T33" s="26" t="n">
        <f aca="false">Q33/L33/1000000</f>
        <v>1.17540746753247</v>
      </c>
      <c r="U33" s="50" t="n">
        <f aca="false">N33/$T33/1000000</f>
        <v>3.63558423370729E-005</v>
      </c>
      <c r="V33" s="57" t="n">
        <f aca="false">P33/$T33/1000000</f>
        <v>2.93306493603351E-005</v>
      </c>
      <c r="W33" s="50" t="n">
        <f aca="false">M33+0.000041</f>
        <v>4.9E-005</v>
      </c>
      <c r="X33" s="51" t="n">
        <f aca="false">D33-filings!N33*C33*1000000</f>
        <v>37.5640116883117</v>
      </c>
      <c r="Y33" s="51" t="n">
        <f aca="false">0.000041*C33*1000000</f>
        <v>67.3951543831169</v>
      </c>
      <c r="Z33" s="0" t="n">
        <f aca="false">MONTH(B33)</f>
        <v>2</v>
      </c>
      <c r="AB33" s="0" t="s">
        <v>98</v>
      </c>
      <c r="AC33" s="0" t="s">
        <v>98</v>
      </c>
    </row>
    <row r="34" customFormat="false" ht="12.75" hidden="false" customHeight="false" outlineLevel="0" collapsed="false">
      <c r="A34" s="0" t="n">
        <f aca="false">DAY((B35-1))</f>
        <v>31</v>
      </c>
      <c r="B34" s="7" t="n">
        <v>34759</v>
      </c>
      <c r="C34" s="62" t="n">
        <f aca="false">(filings!C34+filings!D34)*filings!K34/daily!$A34/1000000</f>
        <v>1.43845816129032</v>
      </c>
      <c r="D34" s="51" t="n">
        <f aca="false">filings!$D34/daily!$A34</f>
        <v>41.1290322580645</v>
      </c>
      <c r="E34" s="51" t="n">
        <f aca="false">filings!E36/daily!$A34</f>
        <v>53.0376451612903</v>
      </c>
      <c r="F34" s="51" t="n">
        <f aca="false">filings!F36/daily!$A34</f>
        <v>57.4791935483871</v>
      </c>
      <c r="G34" s="51" t="n">
        <f aca="false">filings!G36/daily!$A34</f>
        <v>-9.81183870967742</v>
      </c>
      <c r="H34" s="51" t="n">
        <f aca="false">filings!H36/daily!$A34</f>
        <v>5.37029032258064</v>
      </c>
      <c r="I34" s="51" t="n">
        <f aca="false">filings!I34/daily!$A34</f>
        <v>62.1832580645161</v>
      </c>
      <c r="J34" s="58" t="n">
        <f aca="false">$D34/$C34/1000000</f>
        <v>2.85924424949357E-005</v>
      </c>
      <c r="K34" s="59" t="n">
        <f aca="false">$I34/$C34/1000000</f>
        <v>4.32291044243766E-005</v>
      </c>
      <c r="L34" s="55" t="n">
        <v>4.4E-005</v>
      </c>
      <c r="M34" s="56" t="n">
        <f aca="false">filings!N34</f>
        <v>8E-006</v>
      </c>
      <c r="N34" s="51" t="n">
        <f aca="false">filings!O34/daily!$A34</f>
        <v>51.4991290322581</v>
      </c>
      <c r="O34" s="51" t="n">
        <f aca="false">filings!P34/daily!$A34</f>
        <v>5.98006451612903</v>
      </c>
      <c r="P34" s="51" t="n">
        <f aca="false">filings!Q34/daily!$A34</f>
        <v>57.4791935483871</v>
      </c>
      <c r="Q34" s="51" t="n">
        <f aca="false">filings!R34/daily!$A34</f>
        <v>53.0376451612903</v>
      </c>
      <c r="R34" s="51" t="n">
        <f aca="false">filings!S34/daily!$A34</f>
        <v>9.6431935483871</v>
      </c>
      <c r="S34" s="51" t="n">
        <f aca="false">Q34-R34</f>
        <v>43.3944516129032</v>
      </c>
      <c r="T34" s="26" t="n">
        <f aca="false">Q34/L34/1000000</f>
        <v>1.20540102639296</v>
      </c>
      <c r="U34" s="50" t="n">
        <f aca="false">N34/$T34/1000000</f>
        <v>4.27236479019467E-005</v>
      </c>
      <c r="V34" s="57" t="n">
        <f aca="false">P34/$T34/1000000</f>
        <v>4.76847059939775E-005</v>
      </c>
      <c r="W34" s="50" t="n">
        <f aca="false">M34+0.000041</f>
        <v>4.9E-005</v>
      </c>
      <c r="X34" s="51" t="n">
        <f aca="false">D34-filings!N34*C34*1000000</f>
        <v>29.6213669677419</v>
      </c>
      <c r="Y34" s="51" t="n">
        <f aca="false">0.000041*C34*1000000</f>
        <v>58.9767846129032</v>
      </c>
      <c r="Z34" s="0" t="n">
        <f aca="false">MONTH(B34)</f>
        <v>3</v>
      </c>
      <c r="AA34" s="26" t="n">
        <f aca="false">T24</f>
        <v>0.964401290322581</v>
      </c>
      <c r="AB34" s="51" t="n">
        <f aca="false">N24</f>
        <v>24.3742258064516</v>
      </c>
      <c r="AC34" s="50" t="n">
        <f aca="false">U24</f>
        <v>2.52739456604198E-005</v>
      </c>
    </row>
    <row r="35" customFormat="false" ht="12.75" hidden="false" customHeight="false" outlineLevel="0" collapsed="false">
      <c r="A35" s="0" t="n">
        <f aca="false">DAY((B36-1))</f>
        <v>30</v>
      </c>
      <c r="B35" s="7" t="n">
        <v>34790</v>
      </c>
      <c r="C35" s="26" t="n">
        <f aca="false">(filings!C35+filings!D35)*filings!K35/daily!$A35/1000000</f>
        <v>0.998709212121212</v>
      </c>
      <c r="D35" s="51" t="n">
        <f aca="false">filings!$D35/daily!$A35</f>
        <v>49.6666666666667</v>
      </c>
      <c r="E35" s="51" t="n">
        <f aca="false">filings!E37/daily!$A35</f>
        <v>55.2365333333333</v>
      </c>
      <c r="F35" s="51" t="n">
        <f aca="false">filings!F37/daily!$A35</f>
        <v>51.8849</v>
      </c>
      <c r="G35" s="51" t="n">
        <f aca="false">filings!G37/daily!$A35</f>
        <v>8.25166666666667</v>
      </c>
      <c r="H35" s="51" t="n">
        <f aca="false">filings!H37/daily!$A35</f>
        <v>-4.90003333333334</v>
      </c>
      <c r="I35" s="51" t="n">
        <f aca="false">filings!I35/daily!$A35</f>
        <v>42.604</v>
      </c>
      <c r="J35" s="58" t="n">
        <f aca="false">$D35/$C35/1000000</f>
        <v>4.97308586562218E-005</v>
      </c>
      <c r="K35" s="59" t="n">
        <f aca="false">$I35/$C35/1000000</f>
        <v>4.26590638024767E-005</v>
      </c>
      <c r="L35" s="55" t="n">
        <v>4.8E-005</v>
      </c>
      <c r="M35" s="56" t="n">
        <f aca="false">filings!N35</f>
        <v>8E-006</v>
      </c>
      <c r="N35" s="51" t="n">
        <f aca="false">filings!O35/daily!$A35</f>
        <v>45.1138</v>
      </c>
      <c r="O35" s="51" t="n">
        <f aca="false">filings!P35/daily!$A35</f>
        <v>6.7711</v>
      </c>
      <c r="P35" s="51" t="n">
        <f aca="false">filings!Q35/daily!$A35</f>
        <v>51.8849</v>
      </c>
      <c r="Q35" s="51" t="n">
        <f aca="false">filings!R35/daily!$A35</f>
        <v>55.2365333333333</v>
      </c>
      <c r="R35" s="51" t="n">
        <f aca="false">filings!S35/daily!$A35</f>
        <v>9.2061</v>
      </c>
      <c r="S35" s="51" t="n">
        <f aca="false">Q35-R35</f>
        <v>46.0304333333333</v>
      </c>
      <c r="T35" s="26" t="n">
        <f aca="false">Q35/L35/1000000</f>
        <v>1.15076111111111</v>
      </c>
      <c r="U35" s="50" t="n">
        <f aca="false">N35/$T35/1000000</f>
        <v>3.92034450629294E-005</v>
      </c>
      <c r="V35" s="57" t="n">
        <f aca="false">P35/$T35/1000000</f>
        <v>4.50874638524262E-005</v>
      </c>
      <c r="W35" s="50" t="n">
        <f aca="false">M35+0.000041</f>
        <v>4.9E-005</v>
      </c>
      <c r="X35" s="51" t="n">
        <f aca="false">D35-filings!N35*C35*1000000</f>
        <v>41.676992969697</v>
      </c>
      <c r="Y35" s="51" t="n">
        <f aca="false">0.000041*C35*1000000</f>
        <v>40.9470776969697</v>
      </c>
      <c r="Z35" s="0" t="n">
        <f aca="false">MONTH(B35)</f>
        <v>4</v>
      </c>
      <c r="AA35" s="26" t="n">
        <f aca="false">T23</f>
        <v>1.03055769230769</v>
      </c>
      <c r="AB35" s="51" t="n">
        <f aca="false">N23</f>
        <v>27.0608</v>
      </c>
      <c r="AC35" s="50" t="n">
        <f aca="false">U23</f>
        <v>2.62584037768945E-005</v>
      </c>
    </row>
    <row r="36" customFormat="false" ht="12.75" hidden="false" customHeight="false" outlineLevel="0" collapsed="false">
      <c r="A36" s="0" t="n">
        <f aca="false">DAY((B37-1))</f>
        <v>31</v>
      </c>
      <c r="B36" s="7" t="n">
        <v>34820</v>
      </c>
      <c r="C36" s="26" t="n">
        <f aca="false">(filings!C36+filings!D36)*filings!K36/daily!$A36/1000000</f>
        <v>1.14441935483871</v>
      </c>
      <c r="D36" s="51" t="n">
        <f aca="false">filings!$D36/daily!$A36</f>
        <v>58.8709677419355</v>
      </c>
      <c r="E36" s="51" t="n">
        <f aca="false">filings!E38/daily!$A36</f>
        <v>53.6193548387097</v>
      </c>
      <c r="F36" s="51" t="n">
        <f aca="false">filings!F38/daily!$A36</f>
        <v>47.1686774193548</v>
      </c>
      <c r="G36" s="51" t="n">
        <f aca="false">filings!G38/daily!$A36</f>
        <v>7.58909677419355</v>
      </c>
      <c r="H36" s="51" t="n">
        <f aca="false">filings!H38/daily!$A36</f>
        <v>-1.13841935483871</v>
      </c>
      <c r="I36" s="51" t="n">
        <f aca="false">filings!I36/daily!$A36</f>
        <v>53.5006774193548</v>
      </c>
      <c r="J36" s="58" t="n">
        <f aca="false">$D36/$C36/1000000</f>
        <v>5.14417791808778E-005</v>
      </c>
      <c r="K36" s="59" t="n">
        <f aca="false">$I36/$C36/1000000</f>
        <v>4.67491896158074E-005</v>
      </c>
      <c r="L36" s="55" t="n">
        <v>4.8E-005</v>
      </c>
      <c r="M36" s="56" t="n">
        <f aca="false">filings!N36</f>
        <v>8E-006</v>
      </c>
      <c r="N36" s="51" t="n">
        <f aca="false">filings!O36/daily!$A36</f>
        <v>39.2468387096774</v>
      </c>
      <c r="O36" s="51" t="n">
        <f aca="false">filings!P36/daily!$A36</f>
        <v>7.92183870967742</v>
      </c>
      <c r="P36" s="51" t="n">
        <f aca="false">filings!Q36/daily!$A36</f>
        <v>47.1686774193548</v>
      </c>
      <c r="Q36" s="51" t="n">
        <f aca="false">filings!R36/daily!$A36</f>
        <v>53.6193548387097</v>
      </c>
      <c r="R36" s="51" t="n">
        <f aca="false">filings!S36/daily!$A36</f>
        <v>8.93654838709677</v>
      </c>
      <c r="S36" s="51" t="n">
        <f aca="false">Q36-R36</f>
        <v>44.6828064516129</v>
      </c>
      <c r="T36" s="26" t="n">
        <f aca="false">Q36/L36/1000000</f>
        <v>1.11706989247312</v>
      </c>
      <c r="U36" s="50" t="n">
        <f aca="false">N36/$T36/1000000</f>
        <v>3.51337360125135E-005</v>
      </c>
      <c r="V36" s="57" t="n">
        <f aca="false">P36/$T36/1000000</f>
        <v>4.22253591625557E-005</v>
      </c>
      <c r="W36" s="50" t="n">
        <f aca="false">M36+0.000041</f>
        <v>4.9E-005</v>
      </c>
      <c r="X36" s="51" t="n">
        <f aca="false">D36-filings!N36*C36*1000000</f>
        <v>49.7156129032258</v>
      </c>
      <c r="Y36" s="51" t="n">
        <f aca="false">0.000041*C36*1000000</f>
        <v>46.9211935483871</v>
      </c>
      <c r="Z36" s="0" t="n">
        <f aca="false">MONTH(B36)</f>
        <v>5</v>
      </c>
      <c r="AA36" s="26" t="n">
        <f aca="false">T94</f>
        <v>1.27960910815939</v>
      </c>
      <c r="AB36" s="51" t="n">
        <f aca="false">N94</f>
        <v>47.3859677419355</v>
      </c>
      <c r="AC36" s="50" t="n">
        <f aca="false">U94</f>
        <v>3.70315961646257E-005</v>
      </c>
    </row>
    <row r="37" customFormat="false" ht="12.75" hidden="false" customHeight="false" outlineLevel="0" collapsed="false">
      <c r="A37" s="0" t="n">
        <f aca="false">DAY((B38-1))</f>
        <v>30</v>
      </c>
      <c r="B37" s="7" t="n">
        <v>34851</v>
      </c>
      <c r="C37" s="26" t="n">
        <f aca="false">(filings!C37+filings!D37)*filings!K37/daily!$A37/1000000</f>
        <v>1.16107333333333</v>
      </c>
      <c r="D37" s="51" t="n">
        <f aca="false">filings!$D37/daily!$A37</f>
        <v>49.5</v>
      </c>
      <c r="E37" s="51" t="n">
        <f aca="false">filings!E39/daily!$A37</f>
        <v>55.9788333333333</v>
      </c>
      <c r="F37" s="51" t="n">
        <f aca="false">filings!F39/daily!$A37</f>
        <v>44.7335333333333</v>
      </c>
      <c r="G37" s="51" t="n">
        <f aca="false">filings!G39/daily!$A37</f>
        <v>8.93616666666667</v>
      </c>
      <c r="H37" s="51" t="n">
        <f aca="false">filings!H39/daily!$A37</f>
        <v>2.30913333333333</v>
      </c>
      <c r="I37" s="51" t="n">
        <f aca="false">filings!I37/daily!$A37</f>
        <v>54.4000333333333</v>
      </c>
      <c r="J37" s="58" t="n">
        <f aca="false">$D37/$C37/1000000</f>
        <v>4.26329660486561E-005</v>
      </c>
      <c r="K37" s="59" t="n">
        <f aca="false">$I37/$C37/1000000</f>
        <v>4.68532277605204E-005</v>
      </c>
      <c r="L37" s="55" t="n">
        <v>4.8E-005</v>
      </c>
      <c r="M37" s="56" t="n">
        <f aca="false">filings!N37</f>
        <v>8E-006</v>
      </c>
      <c r="N37" s="51" t="n">
        <f aca="false">filings!O37/daily!$A37</f>
        <v>40.0669666666667</v>
      </c>
      <c r="O37" s="51" t="n">
        <f aca="false">filings!P37/daily!$A37</f>
        <v>4.66656666666667</v>
      </c>
      <c r="P37" s="51" t="n">
        <f aca="false">filings!Q37/daily!$A37</f>
        <v>44.7335333333333</v>
      </c>
      <c r="Q37" s="51" t="n">
        <f aca="false">filings!R37/daily!$A37</f>
        <v>55.9788333333333</v>
      </c>
      <c r="R37" s="51" t="n">
        <f aca="false">filings!S37/daily!$A37</f>
        <v>9.3298</v>
      </c>
      <c r="S37" s="51" t="n">
        <f aca="false">Q37-R37</f>
        <v>46.6490333333333</v>
      </c>
      <c r="T37" s="26" t="n">
        <f aca="false">Q37/L37/1000000</f>
        <v>1.16622569444444</v>
      </c>
      <c r="U37" s="50" t="n">
        <f aca="false">N37/$T37/1000000</f>
        <v>3.43561000735397E-005</v>
      </c>
      <c r="V37" s="57" t="n">
        <f aca="false">P37/$T37/1000000</f>
        <v>3.83575268032858E-005</v>
      </c>
      <c r="W37" s="50" t="n">
        <f aca="false">M37+0.000041</f>
        <v>4.9E-005</v>
      </c>
      <c r="X37" s="51" t="n">
        <f aca="false">D37-filings!N37*C37*1000000</f>
        <v>40.2114133333333</v>
      </c>
      <c r="Y37" s="51" t="n">
        <f aca="false">0.000041*C37*1000000</f>
        <v>47.6040066666667</v>
      </c>
      <c r="Z37" s="0" t="n">
        <f aca="false">MONTH(B37)</f>
        <v>6</v>
      </c>
      <c r="AA37" s="26" t="n">
        <f aca="false">T93</f>
        <v>1.32342203898051</v>
      </c>
      <c r="AB37" s="51" t="n">
        <f aca="false">N93</f>
        <v>51.1666896551724</v>
      </c>
      <c r="AC37" s="50" t="n">
        <f aca="false">U93</f>
        <v>3.86624131592885E-005</v>
      </c>
    </row>
    <row r="38" customFormat="false" ht="12.75" hidden="false" customHeight="false" outlineLevel="0" collapsed="false">
      <c r="A38" s="0" t="n">
        <f aca="false">DAY((B39-1))</f>
        <v>31</v>
      </c>
      <c r="B38" s="7" t="n">
        <v>34881</v>
      </c>
      <c r="C38" s="26" t="n">
        <f aca="false">(filings!C38+filings!D38)*filings!K38/daily!$A38/1000000</f>
        <v>1.1336</v>
      </c>
      <c r="D38" s="51" t="n">
        <f aca="false">filings!$D38/daily!$A38</f>
        <v>50.9677419354839</v>
      </c>
      <c r="E38" s="51" t="n">
        <f aca="false">filings!E40/daily!$A38</f>
        <v>53.2697741935484</v>
      </c>
      <c r="F38" s="51" t="n">
        <f aca="false">filings!F40/daily!$A38</f>
        <v>48.6292580645161</v>
      </c>
      <c r="G38" s="51" t="n">
        <f aca="false">filings!G40/daily!$A38</f>
        <v>7.56690322580645</v>
      </c>
      <c r="H38" s="51" t="n">
        <f aca="false">filings!H40/daily!$A38</f>
        <v>-2.92638709677419</v>
      </c>
      <c r="I38" s="51" t="n">
        <f aca="false">filings!I38/daily!$A38</f>
        <v>52.1061612903226</v>
      </c>
      <c r="J38" s="58" t="n">
        <f aca="false">$D38/$C38/1000000</f>
        <v>4.49609579529674E-005</v>
      </c>
      <c r="K38" s="59" t="n">
        <f aca="false">$I38/$C38/1000000</f>
        <v>4.59652093245612E-005</v>
      </c>
      <c r="L38" s="55" t="n">
        <v>4.7E-005</v>
      </c>
      <c r="M38" s="56" t="n">
        <f aca="false">filings!N38</f>
        <v>7E-006</v>
      </c>
      <c r="N38" s="51" t="n">
        <f aca="false">filings!O38/daily!$A38</f>
        <v>42.6071290322581</v>
      </c>
      <c r="O38" s="51" t="n">
        <f aca="false">filings!P38/daily!$A38</f>
        <v>6.02212903225807</v>
      </c>
      <c r="P38" s="51" t="n">
        <f aca="false">filings!Q38/daily!$A38</f>
        <v>48.6292580645161</v>
      </c>
      <c r="Q38" s="51" t="n">
        <f aca="false">filings!R38/daily!$A38</f>
        <v>53.2697741935484</v>
      </c>
      <c r="R38" s="51" t="n">
        <f aca="false">filings!S38/daily!$A38</f>
        <v>7.9338064516129</v>
      </c>
      <c r="S38" s="51" t="n">
        <f aca="false">Q38-R38</f>
        <v>45.3359677419355</v>
      </c>
      <c r="T38" s="26" t="n">
        <f aca="false">Q38/L38/1000000</f>
        <v>1.13339945092656</v>
      </c>
      <c r="U38" s="50" t="n">
        <f aca="false">N38/$T38/1000000</f>
        <v>3.7592332515625E-005</v>
      </c>
      <c r="V38" s="57" t="n">
        <f aca="false">P38/$T38/1000000</f>
        <v>4.29056658045505E-005</v>
      </c>
      <c r="W38" s="50" t="n">
        <f aca="false">M38+0.000041</f>
        <v>4.8E-005</v>
      </c>
      <c r="X38" s="51" t="n">
        <f aca="false">D38-filings!N38*C38*1000000</f>
        <v>43.0325419354839</v>
      </c>
      <c r="Y38" s="51" t="n">
        <f aca="false">0.000041*C38*1000000</f>
        <v>46.4776</v>
      </c>
      <c r="Z38" s="0" t="n">
        <f aca="false">MONTH(B38)</f>
        <v>7</v>
      </c>
      <c r="AA38" s="26" t="e">
        <f aca="false">NA()</f>
        <v>#N/A</v>
      </c>
      <c r="AB38" s="26" t="e">
        <f aca="false">NA()</f>
        <v>#N/A</v>
      </c>
      <c r="AC38" s="26" t="e">
        <f aca="false">NA()</f>
        <v>#N/A</v>
      </c>
    </row>
    <row r="39" customFormat="false" ht="12.75" hidden="false" customHeight="false" outlineLevel="0" collapsed="false">
      <c r="A39" s="0" t="n">
        <f aca="false">DAY((B40-1))</f>
        <v>31</v>
      </c>
      <c r="B39" s="7" t="n">
        <v>34912</v>
      </c>
      <c r="C39" s="26" t="n">
        <f aca="false">(filings!C39+filings!D39)*filings!K39/daily!$A39/1000000</f>
        <v>1.21445161290323</v>
      </c>
      <c r="D39" s="51" t="n">
        <f aca="false">filings!$D39/daily!$A39</f>
        <v>58.0645161290323</v>
      </c>
      <c r="E39" s="51" t="n">
        <f aca="false">filings!E41/daily!$A39</f>
        <v>56.4907419354839</v>
      </c>
      <c r="F39" s="51" t="n">
        <f aca="false">filings!F41/daily!$A39</f>
        <v>50.5469032258065</v>
      </c>
      <c r="G39" s="51" t="n">
        <f aca="false">filings!G41/daily!$A39</f>
        <v>8.38306451612903</v>
      </c>
      <c r="H39" s="51" t="n">
        <f aca="false">filings!H41/daily!$A39</f>
        <v>-2.43922580645161</v>
      </c>
      <c r="I39" s="51" t="n">
        <f aca="false">filings!I39/daily!$A39</f>
        <v>55.8298709677419</v>
      </c>
      <c r="J39" s="58" t="n">
        <f aca="false">$D39/$C39/1000000</f>
        <v>4.78113047173821E-005</v>
      </c>
      <c r="K39" s="59" t="n">
        <f aca="false">$I39/$C39/1000000</f>
        <v>4.59712600934977E-005</v>
      </c>
      <c r="L39" s="55" t="n">
        <v>4.7E-005</v>
      </c>
      <c r="M39" s="56" t="n">
        <f aca="false">filings!N39</f>
        <v>7E-006</v>
      </c>
      <c r="N39" s="51" t="n">
        <f aca="false">filings!O39/daily!$A39</f>
        <v>47.6471290322581</v>
      </c>
      <c r="O39" s="51" t="n">
        <f aca="false">filings!P39/daily!$A39</f>
        <v>2.89977419354839</v>
      </c>
      <c r="P39" s="51" t="n">
        <f aca="false">filings!Q39/daily!$A39</f>
        <v>50.5469032258065</v>
      </c>
      <c r="Q39" s="51" t="n">
        <f aca="false">filings!R39/daily!$A39</f>
        <v>56.4907419354839</v>
      </c>
      <c r="R39" s="51" t="n">
        <f aca="false">filings!S39/daily!$A39</f>
        <v>8.41351612903226</v>
      </c>
      <c r="S39" s="51" t="n">
        <f aca="false">Q39-R39</f>
        <v>48.0772258064516</v>
      </c>
      <c r="T39" s="26" t="n">
        <f aca="false">Q39/L39/1000000</f>
        <v>1.20193067947838</v>
      </c>
      <c r="U39" s="50" t="n">
        <f aca="false">N39/$T39/1000000</f>
        <v>3.96421606052491E-005</v>
      </c>
      <c r="V39" s="57" t="n">
        <f aca="false">P39/$T39/1000000</f>
        <v>4.20547574738196E-005</v>
      </c>
      <c r="W39" s="50" t="n">
        <f aca="false">M39+0.000041</f>
        <v>4.8E-005</v>
      </c>
      <c r="X39" s="51" t="n">
        <f aca="false">D39-filings!N39*C39*1000000</f>
        <v>49.5633548387097</v>
      </c>
      <c r="Y39" s="51" t="n">
        <f aca="false">0.000041*C39*1000000</f>
        <v>49.7925161290323</v>
      </c>
      <c r="Z39" s="0" t="n">
        <f aca="false">MONTH(B39)</f>
        <v>8</v>
      </c>
      <c r="AA39" s="26" t="n">
        <f aca="false">T70</f>
        <v>1.379829390681</v>
      </c>
      <c r="AB39" s="51" t="n">
        <f aca="false">N70</f>
        <v>64.0927419354839</v>
      </c>
      <c r="AC39" s="50" t="n">
        <f aca="false">U70</f>
        <v>4.64497584761921E-005</v>
      </c>
    </row>
    <row r="40" customFormat="false" ht="12.75" hidden="false" customHeight="false" outlineLevel="0" collapsed="false">
      <c r="A40" s="0" t="n">
        <f aca="false">DAY((B41-1))</f>
        <v>30</v>
      </c>
      <c r="B40" s="7" t="n">
        <v>34943</v>
      </c>
      <c r="C40" s="26" t="n">
        <f aca="false">(filings!C40+filings!D40)*filings!K40/daily!$A40/1000000</f>
        <v>1.20596666666667</v>
      </c>
      <c r="D40" s="51" t="n">
        <f aca="false">filings!$D40/daily!$A40</f>
        <v>52.5</v>
      </c>
      <c r="E40" s="51" t="n">
        <f aca="false">filings!E42/daily!$A40</f>
        <v>55.8949333333333</v>
      </c>
      <c r="F40" s="51" t="n">
        <f aca="false">filings!F42/daily!$A40</f>
        <v>52.1132666666667</v>
      </c>
      <c r="G40" s="51" t="n">
        <f aca="false">filings!G42/daily!$A40</f>
        <v>7.07446666666667</v>
      </c>
      <c r="H40" s="51" t="n">
        <f aca="false">filings!H42/daily!$A40</f>
        <v>-3.2928</v>
      </c>
      <c r="I40" s="51" t="n">
        <f aca="false">filings!I40/daily!$A40</f>
        <v>55.5239333333333</v>
      </c>
      <c r="J40" s="58" t="n">
        <f aca="false">$D40/$C40/1000000</f>
        <v>4.3533541557257E-005</v>
      </c>
      <c r="K40" s="59" t="n">
        <f aca="false">$I40/$C40/1000000</f>
        <v>4.60410182702673E-005</v>
      </c>
      <c r="L40" s="55" t="n">
        <v>4.7E-005</v>
      </c>
      <c r="M40" s="56" t="n">
        <f aca="false">filings!N40</f>
        <v>7E-006</v>
      </c>
      <c r="N40" s="51" t="n">
        <f aca="false">filings!O40/daily!$A40</f>
        <v>47.3285666666667</v>
      </c>
      <c r="O40" s="51" t="n">
        <f aca="false">filings!P40/daily!$A40</f>
        <v>4.7847</v>
      </c>
      <c r="P40" s="51" t="n">
        <f aca="false">filings!Q40/daily!$A40</f>
        <v>52.1132666666667</v>
      </c>
      <c r="Q40" s="51" t="n">
        <f aca="false">filings!R40/daily!$A40</f>
        <v>55.8949333333333</v>
      </c>
      <c r="R40" s="51" t="n">
        <f aca="false">filings!S40/daily!$A40</f>
        <v>8.32476666666667</v>
      </c>
      <c r="S40" s="51" t="n">
        <f aca="false">Q40-R40</f>
        <v>47.5701666666667</v>
      </c>
      <c r="T40" s="26" t="n">
        <f aca="false">Q40/L40/1000000</f>
        <v>1.18925390070922</v>
      </c>
      <c r="U40" s="50" t="n">
        <f aca="false">N40/$T40/1000000</f>
        <v>3.97968563638445E-005</v>
      </c>
      <c r="V40" s="57" t="n">
        <f aca="false">P40/$T40/1000000</f>
        <v>4.38201351583447E-005</v>
      </c>
      <c r="W40" s="50" t="n">
        <f aca="false">M40+0.000041</f>
        <v>4.8E-005</v>
      </c>
      <c r="X40" s="51" t="n">
        <f aca="false">D40-filings!N40*C40*1000000</f>
        <v>44.0582333333333</v>
      </c>
      <c r="Y40" s="51" t="n">
        <f aca="false">0.000041*C40*1000000</f>
        <v>49.4446333333333</v>
      </c>
      <c r="Z40" s="0" t="n">
        <f aca="false">MONTH(B40)</f>
        <v>9</v>
      </c>
      <c r="AA40" s="26" t="n">
        <f aca="false">T66</f>
        <v>1.38485069444444</v>
      </c>
      <c r="AB40" s="51" t="n">
        <f aca="false">N66</f>
        <v>68.5863333333333</v>
      </c>
      <c r="AC40" s="50" t="n">
        <f aca="false">U66</f>
        <v>4.95261573023566E-005</v>
      </c>
    </row>
    <row r="41" customFormat="false" ht="12.75" hidden="false" customHeight="false" outlineLevel="0" collapsed="false">
      <c r="A41" s="0" t="n">
        <f aca="false">DAY((B42-1))</f>
        <v>31</v>
      </c>
      <c r="B41" s="7" t="n">
        <v>34973</v>
      </c>
      <c r="C41" s="26" t="n">
        <f aca="false">(filings!C41+filings!D41)*filings!K41/daily!$A41/1000000</f>
        <v>1.27458709677419</v>
      </c>
      <c r="D41" s="51" t="n">
        <f aca="false">filings!$D41/daily!$A41</f>
        <v>47.9032258064516</v>
      </c>
      <c r="E41" s="51" t="n">
        <f aca="false">filings!E43/daily!$A41</f>
        <v>46.6660322580645</v>
      </c>
      <c r="F41" s="51" t="n">
        <f aca="false">filings!F43/daily!$A41</f>
        <v>54.5620967741936</v>
      </c>
      <c r="G41" s="51" t="n">
        <f aca="false">filings!G43/daily!$A41</f>
        <v>6.63306451612903</v>
      </c>
      <c r="H41" s="51" t="n">
        <f aca="false">filings!H43/daily!$A41</f>
        <v>-14.5291290322581</v>
      </c>
      <c r="I41" s="51" t="n">
        <f aca="false">filings!I41/daily!$A41</f>
        <v>50.3424516129032</v>
      </c>
      <c r="J41" s="58" t="n">
        <f aca="false">$D41/$C41/1000000</f>
        <v>3.75833286934162E-005</v>
      </c>
      <c r="K41" s="59" t="n">
        <f aca="false">$I41/$C41/1000000</f>
        <v>3.94970667287572E-005</v>
      </c>
      <c r="L41" s="55" t="n">
        <v>4E-005</v>
      </c>
      <c r="M41" s="56" t="n">
        <f aca="false">filings!N41</f>
        <v>7E-006</v>
      </c>
      <c r="N41" s="51" t="n">
        <f aca="false">filings!O41/daily!$A41</f>
        <v>46.5763225806452</v>
      </c>
      <c r="O41" s="51" t="n">
        <f aca="false">filings!P41/daily!$A41</f>
        <v>7.98577419354839</v>
      </c>
      <c r="P41" s="51" t="n">
        <f aca="false">filings!Q41/daily!$A41</f>
        <v>54.5620967741936</v>
      </c>
      <c r="Q41" s="51" t="n">
        <f aca="false">filings!R41/daily!$A41</f>
        <v>46.6660322580645</v>
      </c>
      <c r="R41" s="51" t="n">
        <f aca="false">filings!S41/daily!$A41</f>
        <v>8.16654838709678</v>
      </c>
      <c r="S41" s="51" t="n">
        <f aca="false">Q41-R41</f>
        <v>38.4994838709677</v>
      </c>
      <c r="T41" s="26" t="n">
        <f aca="false">Q41/L41/1000000</f>
        <v>1.16665080645161</v>
      </c>
      <c r="U41" s="50" t="n">
        <f aca="false">N41/$T41/1000000</f>
        <v>3.99231049454359E-005</v>
      </c>
      <c r="V41" s="57" t="n">
        <f aca="false">P41/$T41/1000000</f>
        <v>4.6768147308915E-005</v>
      </c>
      <c r="W41" s="50" t="n">
        <f aca="false">M41+0.000041</f>
        <v>4.8E-005</v>
      </c>
      <c r="X41" s="51" t="n">
        <f aca="false">D41-filings!N41*C41*1000000</f>
        <v>38.9811161290323</v>
      </c>
      <c r="Y41" s="51" t="n">
        <f aca="false">0.000041*C41*1000000</f>
        <v>52.2580709677419</v>
      </c>
      <c r="Z41" s="0" t="n">
        <f aca="false">MONTH(B41)</f>
        <v>10</v>
      </c>
    </row>
    <row r="42" customFormat="false" ht="12.75" hidden="false" customHeight="false" outlineLevel="0" collapsed="false">
      <c r="A42" s="0" t="n">
        <f aca="false">DAY((B43-1))</f>
        <v>30</v>
      </c>
      <c r="B42" s="7" t="n">
        <v>35004</v>
      </c>
      <c r="C42" s="26" t="n">
        <f aca="false">(filings!C42+filings!D42)*filings!K42/daily!$A42/1000000</f>
        <v>1.25536666666667</v>
      </c>
      <c r="D42" s="51" t="n">
        <f aca="false">filings!$D42/daily!$A42</f>
        <v>47.5</v>
      </c>
      <c r="E42" s="51" t="n">
        <f aca="false">filings!E44/daily!$A42</f>
        <v>48.5110666666667</v>
      </c>
      <c r="F42" s="51" t="n">
        <f aca="false">filings!F44/daily!$A42</f>
        <v>50.9833</v>
      </c>
      <c r="G42" s="51" t="n">
        <f aca="false">filings!G44/daily!$A42</f>
        <v>7.11383333333333</v>
      </c>
      <c r="H42" s="51" t="n">
        <f aca="false">filings!H44/daily!$A42</f>
        <v>-9.58606666666666</v>
      </c>
      <c r="I42" s="51" t="n">
        <f aca="false">filings!I42/daily!$A42</f>
        <v>50.7928</v>
      </c>
      <c r="J42" s="58" t="n">
        <f aca="false">$D42/$C42/1000000</f>
        <v>3.78375507819761E-005</v>
      </c>
      <c r="K42" s="59" t="n">
        <f aca="false">$I42/$C42/1000000</f>
        <v>4.04605294601843E-005</v>
      </c>
      <c r="L42" s="55" t="n">
        <v>4.1E-005</v>
      </c>
      <c r="M42" s="56" t="n">
        <f aca="false">filings!N42</f>
        <v>7E-006</v>
      </c>
      <c r="N42" s="51" t="n">
        <f aca="false">filings!O42/daily!$A42</f>
        <v>46.9672</v>
      </c>
      <c r="O42" s="51" t="n">
        <f aca="false">filings!P42/daily!$A42</f>
        <v>4.0161</v>
      </c>
      <c r="P42" s="51" t="n">
        <f aca="false">filings!Q42/daily!$A42</f>
        <v>50.9833</v>
      </c>
      <c r="Q42" s="51" t="n">
        <f aca="false">filings!R42/daily!$A42</f>
        <v>48.5110666666667</v>
      </c>
      <c r="R42" s="51" t="n">
        <f aca="false">filings!S42/daily!$A42</f>
        <v>8.28236666666667</v>
      </c>
      <c r="S42" s="51" t="n">
        <f aca="false">Q42-R42</f>
        <v>40.2287</v>
      </c>
      <c r="T42" s="26" t="n">
        <f aca="false">Q42/L42/1000000</f>
        <v>1.18319674796748</v>
      </c>
      <c r="U42" s="50" t="n">
        <f aca="false">N42/$T42/1000000</f>
        <v>3.96951733350191E-005</v>
      </c>
      <c r="V42" s="57" t="n">
        <f aca="false">P42/$T42/1000000</f>
        <v>4.30894524410925E-005</v>
      </c>
      <c r="W42" s="50" t="n">
        <f aca="false">M42+0.000041</f>
        <v>4.8E-005</v>
      </c>
      <c r="X42" s="51" t="n">
        <f aca="false">D42-filings!N42*C42*1000000</f>
        <v>38.7124333333333</v>
      </c>
      <c r="Y42" s="51" t="n">
        <f aca="false">0.000041*C42*1000000</f>
        <v>51.4700333333333</v>
      </c>
      <c r="Z42" s="0" t="n">
        <f aca="false">MONTH(B42)</f>
        <v>11</v>
      </c>
    </row>
    <row r="43" customFormat="false" ht="12.75" hidden="false" customHeight="false" outlineLevel="0" collapsed="false">
      <c r="A43" s="0" t="n">
        <f aca="false">DAY((B44-1))</f>
        <v>31</v>
      </c>
      <c r="B43" s="7" t="n">
        <v>35034</v>
      </c>
      <c r="C43" s="26" t="n">
        <f aca="false">(filings!C43+filings!D43)*filings!K43/daily!$A43/1000000</f>
        <v>1.24422580645161</v>
      </c>
      <c r="D43" s="51" t="n">
        <f aca="false">filings!$D43/daily!$A43</f>
        <v>37.9032258064516</v>
      </c>
      <c r="E43" s="51" t="n">
        <f aca="false">filings!E45/daily!$A43</f>
        <v>51.3445483870968</v>
      </c>
      <c r="F43" s="51" t="n">
        <f aca="false">filings!F45/daily!$A43</f>
        <v>58.5100967741936</v>
      </c>
      <c r="G43" s="51" t="n">
        <f aca="false">filings!G45/daily!$A43</f>
        <v>5.77645161290323</v>
      </c>
      <c r="H43" s="51" t="n">
        <f aca="false">filings!H45/daily!$A43</f>
        <v>-12.942</v>
      </c>
      <c r="I43" s="51" t="n">
        <f aca="false">filings!I43/daily!$A43</f>
        <v>52.4323548387097</v>
      </c>
      <c r="J43" s="58" t="n">
        <f aca="false">$D43/$C43/1000000</f>
        <v>3.04633014440901E-005</v>
      </c>
      <c r="K43" s="59" t="n">
        <f aca="false">$I43/$C43/1000000</f>
        <v>4.21405460060667E-005</v>
      </c>
      <c r="L43" s="55" t="n">
        <v>4.3E-005</v>
      </c>
      <c r="M43" s="56" t="n">
        <f aca="false">filings!N43</f>
        <v>7E-006</v>
      </c>
      <c r="N43" s="51" t="n">
        <f aca="false">filings!O43/daily!$A43</f>
        <v>53.0790322580645</v>
      </c>
      <c r="O43" s="51" t="n">
        <f aca="false">filings!P43/daily!$A43</f>
        <v>5.43106451612903</v>
      </c>
      <c r="P43" s="51" t="n">
        <f aca="false">filings!Q43/daily!$A43</f>
        <v>58.5100967741936</v>
      </c>
      <c r="Q43" s="51" t="n">
        <f aca="false">filings!R43/daily!$A43</f>
        <v>51.3445483870968</v>
      </c>
      <c r="R43" s="51" t="n">
        <f aca="false">filings!S43/daily!$A43</f>
        <v>8.35841935483871</v>
      </c>
      <c r="S43" s="51" t="n">
        <f aca="false">Q43-R43</f>
        <v>42.9861290322581</v>
      </c>
      <c r="T43" s="26" t="n">
        <f aca="false">Q43/L43/1000000</f>
        <v>1.1940592648162</v>
      </c>
      <c r="U43" s="50" t="n">
        <f aca="false">N43/$T43/1000000</f>
        <v>4.44525944583117E-005</v>
      </c>
      <c r="V43" s="57" t="n">
        <f aca="false">P43/$T43/1000000</f>
        <v>4.90009989438839E-005</v>
      </c>
      <c r="W43" s="50" t="n">
        <f aca="false">M43+0.000041</f>
        <v>4.8E-005</v>
      </c>
      <c r="X43" s="51" t="n">
        <f aca="false">D43-filings!N43*C43*1000000</f>
        <v>29.1936451612903</v>
      </c>
      <c r="Y43" s="51" t="n">
        <f aca="false">0.000041*C43*1000000</f>
        <v>51.0132580645161</v>
      </c>
      <c r="Z43" s="0" t="n">
        <f aca="false">MONTH(B43)</f>
        <v>12</v>
      </c>
    </row>
    <row r="44" customFormat="false" ht="12.75" hidden="false" customHeight="false" outlineLevel="0" collapsed="false">
      <c r="A44" s="0" t="n">
        <f aca="false">DAY((B45-1))</f>
        <v>31</v>
      </c>
      <c r="B44" s="7" t="n">
        <v>35065</v>
      </c>
      <c r="C44" s="26" t="n">
        <f aca="false">(filings!C44+filings!D44)*filings!K44/daily!$A44/1000000</f>
        <v>1.17838709677419</v>
      </c>
      <c r="D44" s="51" t="n">
        <f aca="false">filings!$D44/daily!$A44</f>
        <v>40.3225806451613</v>
      </c>
      <c r="E44" s="51" t="n">
        <f aca="false">filings!E46/daily!$A44</f>
        <v>48.3329032258065</v>
      </c>
      <c r="F44" s="51" t="n">
        <f aca="false">filings!F46/daily!$A44</f>
        <v>51.6861612903226</v>
      </c>
      <c r="G44" s="51" t="n">
        <f aca="false">filings!G46/daily!$A44</f>
        <v>2.02551612903226</v>
      </c>
      <c r="H44" s="51" t="n">
        <f aca="false">filings!H46/daily!$A44</f>
        <v>-5.37877419354839</v>
      </c>
      <c r="I44" s="51" t="n">
        <f aca="false">filings!I44/daily!$A44</f>
        <v>49.5994193548387</v>
      </c>
      <c r="J44" s="58" t="n">
        <f aca="false">$D44/$C44/1000000</f>
        <v>3.42184505885574E-005</v>
      </c>
      <c r="K44" s="59" t="n">
        <f aca="false">$I44/$C44/1000000</f>
        <v>4.20909389542842E-005</v>
      </c>
      <c r="L44" s="55" t="n">
        <v>4.3E-005</v>
      </c>
      <c r="M44" s="56" t="n">
        <f aca="false">filings!N44</f>
        <v>2E-006</v>
      </c>
      <c r="N44" s="51" t="n">
        <f aca="false">filings!O44/daily!$A44</f>
        <v>46.7697741935484</v>
      </c>
      <c r="O44" s="51" t="n">
        <f aca="false">filings!P44/daily!$A44</f>
        <v>4.91638709677419</v>
      </c>
      <c r="P44" s="51" t="n">
        <f aca="false">filings!Q44/daily!$A44</f>
        <v>51.6861612903226</v>
      </c>
      <c r="Q44" s="51" t="n">
        <f aca="false">filings!R44/daily!$A44</f>
        <v>48.3329032258065</v>
      </c>
      <c r="R44" s="51" t="n">
        <f aca="false">filings!S44/daily!$A44</f>
        <v>2.24803225806452</v>
      </c>
      <c r="S44" s="51" t="n">
        <f aca="false">Q44-R44</f>
        <v>46.0848709677419</v>
      </c>
      <c r="T44" s="26" t="n">
        <f aca="false">Q44/L44/1000000</f>
        <v>1.12402100525131</v>
      </c>
      <c r="U44" s="50" t="n">
        <f aca="false">N44/$T44/1000000</f>
        <v>4.1609341796145E-005</v>
      </c>
      <c r="V44" s="57" t="n">
        <f aca="false">P44/$T44/1000000</f>
        <v>4.59832699289871E-005</v>
      </c>
      <c r="W44" s="50" t="n">
        <f aca="false">M44+0.000041</f>
        <v>4.3E-005</v>
      </c>
      <c r="X44" s="51" t="n">
        <f aca="false">D44-filings!N44*C44*1000000</f>
        <v>37.9658064516129</v>
      </c>
      <c r="Y44" s="51" t="n">
        <f aca="false">0.000041*C44*1000000</f>
        <v>48.3138709677419</v>
      </c>
      <c r="Z44" s="0" t="n">
        <f aca="false">MONTH(B44)</f>
        <v>1</v>
      </c>
    </row>
    <row r="45" customFormat="false" ht="12.75" hidden="false" customHeight="false" outlineLevel="0" collapsed="false">
      <c r="A45" s="0" t="n">
        <f aca="false">DAY((B46-1))</f>
        <v>29</v>
      </c>
      <c r="B45" s="7" t="n">
        <v>35096</v>
      </c>
      <c r="C45" s="26" t="n">
        <f aca="false">(filings!C45+filings!D45)*filings!K45/daily!$A45/1000000</f>
        <v>1.22110344827586</v>
      </c>
      <c r="D45" s="51" t="n">
        <f aca="false">filings!$D45/daily!$A45</f>
        <v>37.9310344827586</v>
      </c>
      <c r="E45" s="51" t="n">
        <f aca="false">filings!E47/daily!$A45</f>
        <v>46.5633793103448</v>
      </c>
      <c r="F45" s="51" t="n">
        <f aca="false">filings!F47/daily!$A45</f>
        <v>41.9206206896552</v>
      </c>
      <c r="G45" s="51" t="n">
        <f aca="false">filings!G47/daily!$A45</f>
        <v>2.20527586206897</v>
      </c>
      <c r="H45" s="51" t="n">
        <f aca="false">filings!H47/daily!$A45</f>
        <v>2.43748275862069</v>
      </c>
      <c r="I45" s="51" t="n">
        <f aca="false">filings!I45/daily!$A45</f>
        <v>51.7655862068966</v>
      </c>
      <c r="J45" s="58" t="n">
        <f aca="false">$D45/$C45/1000000</f>
        <v>3.10629165254716E-005</v>
      </c>
      <c r="K45" s="63" t="n">
        <f aca="false">$I45/$C45/1000000</f>
        <v>4.23924658307918E-005</v>
      </c>
      <c r="L45" s="64" t="n">
        <v>4.3E-005</v>
      </c>
      <c r="M45" s="56" t="n">
        <f aca="false">filings!N45</f>
        <v>2E-006</v>
      </c>
      <c r="N45" s="51" t="n">
        <f aca="false">filings!O45/daily!$A45</f>
        <v>38.990724137931</v>
      </c>
      <c r="O45" s="51" t="n">
        <f aca="false">filings!P45/daily!$A45</f>
        <v>2.92989655172414</v>
      </c>
      <c r="P45" s="51" t="n">
        <f aca="false">filings!Q45/daily!$A45</f>
        <v>41.9206206896552</v>
      </c>
      <c r="Q45" s="51" t="n">
        <f aca="false">filings!R45/daily!$A45</f>
        <v>46.5633793103448</v>
      </c>
      <c r="R45" s="51" t="n">
        <f aca="false">filings!S45/daily!$A45</f>
        <v>2.16572413793103</v>
      </c>
      <c r="S45" s="51" t="n">
        <f aca="false">Q45-R45</f>
        <v>44.3976551724138</v>
      </c>
      <c r="T45" s="26" t="n">
        <f aca="false">Q45/L45/1000000</f>
        <v>1.08286928628709</v>
      </c>
      <c r="U45" s="50" t="n">
        <f aca="false">N45/$T45/1000000</f>
        <v>3.60068612451105E-005</v>
      </c>
      <c r="V45" s="57" t="n">
        <f aca="false">P45/$T45/1000000</f>
        <v>3.87125401195849E-005</v>
      </c>
      <c r="W45" s="50" t="n">
        <f aca="false">M45+0.000041</f>
        <v>4.3E-005</v>
      </c>
      <c r="X45" s="51" t="n">
        <f aca="false">D45-filings!N45*C45*1000000</f>
        <v>35.4888275862069</v>
      </c>
      <c r="Y45" s="51" t="n">
        <f aca="false">0.000041*C45*1000000</f>
        <v>50.0652413793103</v>
      </c>
      <c r="Z45" s="0" t="n">
        <f aca="false">MONTH(B45)</f>
        <v>2</v>
      </c>
    </row>
    <row r="46" customFormat="false" ht="12.75" hidden="false" customHeight="false" outlineLevel="0" collapsed="false">
      <c r="A46" s="0" t="n">
        <f aca="false">DAY((B47-1))</f>
        <v>31</v>
      </c>
      <c r="B46" s="7" t="n">
        <v>35125</v>
      </c>
      <c r="C46" s="26" t="n">
        <f aca="false">(filings!C46+filings!D46)*filings!K46/daily!$A46/1000000</f>
        <v>1.16329032258065</v>
      </c>
      <c r="D46" s="51" t="n">
        <f aca="false">filings!$D46/daily!$A46</f>
        <v>43.5483870967742</v>
      </c>
      <c r="E46" s="51" t="n">
        <f aca="false">filings!E48/daily!$A46</f>
        <v>47.8518387096774</v>
      </c>
      <c r="F46" s="51" t="n">
        <f aca="false">filings!F48/daily!$A46</f>
        <v>42.6024516129032</v>
      </c>
      <c r="G46" s="51" t="n">
        <f aca="false">filings!G48/daily!$A46</f>
        <v>2.28806451612903</v>
      </c>
      <c r="H46" s="51" t="n">
        <f aca="false">filings!H48/daily!$A46</f>
        <v>2.96132258064516</v>
      </c>
      <c r="I46" s="51" t="n">
        <f aca="false">filings!I46/daily!$A46</f>
        <v>48.9271612903226</v>
      </c>
      <c r="J46" s="58" t="n">
        <f aca="false">$D46/$C46/1000000</f>
        <v>3.74355277022905E-005</v>
      </c>
      <c r="K46" s="59" t="n">
        <f aca="false">$I46/$C46/1000000</f>
        <v>4.20592867838722E-005</v>
      </c>
      <c r="L46" s="64" t="n">
        <v>4.3E-005</v>
      </c>
      <c r="M46" s="56" t="n">
        <f aca="false">filings!N46</f>
        <v>2E-006</v>
      </c>
      <c r="N46" s="51" t="n">
        <f aca="false">filings!O46/daily!$A46</f>
        <v>34.6343870967742</v>
      </c>
      <c r="O46" s="51" t="n">
        <f aca="false">filings!P46/daily!$A46</f>
        <v>7.96806451612903</v>
      </c>
      <c r="P46" s="51" t="n">
        <f aca="false">filings!Q46/daily!$A46</f>
        <v>42.6024516129032</v>
      </c>
      <c r="Q46" s="51" t="n">
        <f aca="false">filings!R46/daily!$A46</f>
        <v>47.8518387096774</v>
      </c>
      <c r="R46" s="51" t="n">
        <f aca="false">filings!S46/daily!$A46</f>
        <v>3.19341935483871</v>
      </c>
      <c r="S46" s="51" t="n">
        <f aca="false">Q46-R46</f>
        <v>44.6584193548387</v>
      </c>
      <c r="T46" s="26" t="n">
        <f aca="false">Q46/L46/1000000</f>
        <v>1.11283345836459</v>
      </c>
      <c r="U46" s="50" t="n">
        <f aca="false">N46/$T46/1000000</f>
        <v>3.11227046926434E-005</v>
      </c>
      <c r="V46" s="57" t="n">
        <f aca="false">P46/$T46/1000000</f>
        <v>3.82828637049711E-005</v>
      </c>
      <c r="W46" s="50" t="n">
        <f aca="false">M46+0.000041</f>
        <v>4.3E-005</v>
      </c>
      <c r="X46" s="51" t="n">
        <f aca="false">D46-filings!N46*C46*1000000</f>
        <v>41.2218064516129</v>
      </c>
      <c r="Y46" s="51" t="n">
        <f aca="false">0.000041*C46*1000000</f>
        <v>47.6949032258064</v>
      </c>
      <c r="Z46" s="0" t="n">
        <f aca="false">MONTH(B46)</f>
        <v>3</v>
      </c>
    </row>
    <row r="47" customFormat="false" ht="12.75" hidden="false" customHeight="false" outlineLevel="0" collapsed="false">
      <c r="A47" s="0" t="n">
        <f aca="false">DAY((B48-1))</f>
        <v>30</v>
      </c>
      <c r="B47" s="7" t="n">
        <v>35156</v>
      </c>
      <c r="C47" s="26" t="n">
        <f aca="false">(filings!C47+filings!D47)*filings!K47/daily!$A47/1000000</f>
        <v>1.27183333333333</v>
      </c>
      <c r="D47" s="51" t="n">
        <f aca="false">filings!$D47/daily!$A47</f>
        <v>45.8333333333333</v>
      </c>
      <c r="E47" s="51" t="n">
        <f aca="false">filings!E49/daily!$A47</f>
        <v>38.1981333333333</v>
      </c>
      <c r="F47" s="51" t="n">
        <f aca="false">filings!F49/daily!$A47</f>
        <v>36.4444666666667</v>
      </c>
      <c r="G47" s="51" t="n">
        <f aca="false">filings!G49/daily!$A47</f>
        <v>2.82286666666667</v>
      </c>
      <c r="H47" s="51" t="n">
        <f aca="false">filings!H49/daily!$A47</f>
        <v>-1.0692</v>
      </c>
      <c r="I47" s="51" t="n">
        <f aca="false">filings!I47/daily!$A47</f>
        <v>43.4771</v>
      </c>
      <c r="J47" s="58" t="n">
        <f aca="false">$D47/$C47/1000000</f>
        <v>3.6037216616433E-005</v>
      </c>
      <c r="K47" s="59" t="n">
        <f aca="false">$I47/$C47/1000000</f>
        <v>3.41845891757306E-005</v>
      </c>
      <c r="L47" s="64" t="n">
        <v>3.5E-005</v>
      </c>
      <c r="M47" s="56" t="n">
        <f aca="false">filings!N47</f>
        <v>2E-006</v>
      </c>
      <c r="N47" s="51" t="n">
        <f aca="false">filings!O47/daily!$A47</f>
        <v>35.8238</v>
      </c>
      <c r="O47" s="51" t="n">
        <f aca="false">filings!P47/daily!$A47</f>
        <v>0.620666666666667</v>
      </c>
      <c r="P47" s="51" t="n">
        <f aca="false">filings!Q47/daily!$A47</f>
        <v>36.4444666666667</v>
      </c>
      <c r="Q47" s="51" t="n">
        <f aca="false">filings!R47/daily!$A47</f>
        <v>38.1981333333333</v>
      </c>
      <c r="R47" s="51" t="n">
        <f aca="false">filings!S47/daily!$A47</f>
        <v>2.18276666666667</v>
      </c>
      <c r="S47" s="51" t="n">
        <f aca="false">Q47-R47</f>
        <v>36.0153666666667</v>
      </c>
      <c r="T47" s="26" t="n">
        <f aca="false">Q47/L47/1000000</f>
        <v>1.09137523809524</v>
      </c>
      <c r="U47" s="50" t="n">
        <f aca="false">N47/$T47/1000000</f>
        <v>3.2824457390588E-005</v>
      </c>
      <c r="V47" s="57" t="n">
        <f aca="false">P47/$T47/1000000</f>
        <v>3.33931588280056E-005</v>
      </c>
      <c r="W47" s="50" t="n">
        <f aca="false">M47+0.000041</f>
        <v>4.3E-005</v>
      </c>
      <c r="X47" s="51" t="n">
        <f aca="false">D47-filings!N47*C47*1000000</f>
        <v>43.2896666666667</v>
      </c>
      <c r="Y47" s="51" t="n">
        <f aca="false">0.000041*C47*1000000</f>
        <v>52.1451666666667</v>
      </c>
      <c r="Z47" s="0" t="n">
        <f aca="false">MONTH(B47)</f>
        <v>4</v>
      </c>
    </row>
    <row r="48" customFormat="false" ht="12.75" hidden="false" customHeight="false" outlineLevel="0" collapsed="false">
      <c r="A48" s="0" t="n">
        <f aca="false">DAY((B49-1))</f>
        <v>31</v>
      </c>
      <c r="B48" s="7" t="n">
        <v>35186</v>
      </c>
      <c r="C48" s="26" t="n">
        <f aca="false">(filings!C48+filings!D48)*filings!K48/daily!$A48/1000000</f>
        <v>1.34570967741935</v>
      </c>
      <c r="D48" s="51" t="n">
        <f aca="false">filings!$D48/daily!$A48</f>
        <v>49.1935483870968</v>
      </c>
      <c r="E48" s="51" t="n">
        <f aca="false">filings!E50/daily!$A48</f>
        <v>42.5065483870968</v>
      </c>
      <c r="F48" s="51" t="n">
        <f aca="false">filings!F50/daily!$A48</f>
        <v>50.6286774193548</v>
      </c>
      <c r="G48" s="51" t="n">
        <f aca="false">filings!G50/daily!$A48</f>
        <v>2.52535483870968</v>
      </c>
      <c r="H48" s="51" t="n">
        <f aca="false">filings!H50/daily!$A48</f>
        <v>-10.6474838709677</v>
      </c>
      <c r="I48" s="51" t="n">
        <f aca="false">filings!I48/daily!$A48</f>
        <v>46.2322258064516</v>
      </c>
      <c r="J48" s="58" t="n">
        <f aca="false">$D48/$C48/1000000</f>
        <v>3.65558405446221E-005</v>
      </c>
      <c r="K48" s="59" t="n">
        <f aca="false">$I48/$C48/1000000</f>
        <v>3.43552748280078E-005</v>
      </c>
      <c r="L48" s="64" t="n">
        <v>3.5E-005</v>
      </c>
      <c r="M48" s="56" t="n">
        <f aca="false">filings!N48</f>
        <v>2E-006</v>
      </c>
      <c r="N48" s="51" t="n">
        <f aca="false">filings!O48/daily!$A48</f>
        <v>43.5401290322581</v>
      </c>
      <c r="O48" s="51" t="n">
        <f aca="false">filings!P48/daily!$A48</f>
        <v>7.08854838709677</v>
      </c>
      <c r="P48" s="51" t="n">
        <f aca="false">filings!Q48/daily!$A48</f>
        <v>50.6286774193548</v>
      </c>
      <c r="Q48" s="51" t="n">
        <f aca="false">filings!R48/daily!$A48</f>
        <v>42.5065483870968</v>
      </c>
      <c r="R48" s="51" t="n">
        <f aca="false">filings!S48/daily!$A48</f>
        <v>2.42893548387097</v>
      </c>
      <c r="S48" s="51" t="n">
        <f aca="false">Q48-R48</f>
        <v>40.0776129032258</v>
      </c>
      <c r="T48" s="26" t="n">
        <f aca="false">Q48/L48/1000000</f>
        <v>1.21447281105991</v>
      </c>
      <c r="U48" s="50" t="n">
        <f aca="false">N48/$T48/1000000</f>
        <v>3.58510529307439E-005</v>
      </c>
      <c r="V48" s="57" t="n">
        <f aca="false">P48/$T48/1000000</f>
        <v>4.16877816928397E-005</v>
      </c>
      <c r="W48" s="50" t="n">
        <f aca="false">M48+0.000041</f>
        <v>4.3E-005</v>
      </c>
      <c r="X48" s="51" t="n">
        <f aca="false">D48-filings!N48*C48*1000000</f>
        <v>46.5021290322581</v>
      </c>
      <c r="Y48" s="51" t="n">
        <f aca="false">0.000041*C48*1000000</f>
        <v>55.1740967741936</v>
      </c>
      <c r="Z48" s="0" t="n">
        <f aca="false">MONTH(B48)</f>
        <v>5</v>
      </c>
    </row>
    <row r="49" customFormat="false" ht="12.75" hidden="false" customHeight="false" outlineLevel="0" collapsed="false">
      <c r="A49" s="0" t="n">
        <f aca="false">DAY((B50-1))</f>
        <v>30</v>
      </c>
      <c r="B49" s="7" t="n">
        <v>35217</v>
      </c>
      <c r="C49" s="26" t="n">
        <f aca="false">(filings!C49+filings!D49)*filings!K49/daily!$A49/1000000</f>
        <v>1.35342133333333</v>
      </c>
      <c r="D49" s="51" t="n">
        <f aca="false">filings!$D49/daily!$A49</f>
        <v>49.4</v>
      </c>
      <c r="E49" s="51" t="n">
        <f aca="false">filings!E51/daily!$A49</f>
        <v>46.2289666666667</v>
      </c>
      <c r="F49" s="51" t="n">
        <f aca="false">filings!F51/daily!$A49</f>
        <v>53.4771</v>
      </c>
      <c r="G49" s="51" t="n">
        <f aca="false">filings!G51/daily!$A49</f>
        <v>2.70176666666667</v>
      </c>
      <c r="H49" s="51" t="n">
        <f aca="false">filings!H51/daily!$A49</f>
        <v>-9.94990000000001</v>
      </c>
      <c r="I49" s="51" t="n">
        <f aca="false">filings!I49/daily!$A49</f>
        <v>50.4692</v>
      </c>
      <c r="J49" s="58" t="n">
        <f aca="false">$D49/$C49/1000000</f>
        <v>3.6500089649343E-005</v>
      </c>
      <c r="K49" s="59" t="n">
        <f aca="false">$I49/$C49/1000000</f>
        <v>3.72900875411057E-005</v>
      </c>
      <c r="L49" s="64" t="n">
        <v>3.8E-005</v>
      </c>
      <c r="M49" s="56" t="n">
        <f aca="false">filings!N49</f>
        <v>2E-006</v>
      </c>
      <c r="N49" s="51" t="n">
        <f aca="false">filings!O49/daily!$A49</f>
        <v>50.5952666666667</v>
      </c>
      <c r="O49" s="51" t="n">
        <f aca="false">filings!P49/daily!$A49</f>
        <v>2.88183333333333</v>
      </c>
      <c r="P49" s="51" t="n">
        <f aca="false">filings!Q49/daily!$A49</f>
        <v>53.4771</v>
      </c>
      <c r="Q49" s="51" t="n">
        <f aca="false">filings!R49/daily!$A49</f>
        <v>46.2289666666667</v>
      </c>
      <c r="R49" s="51" t="n">
        <f aca="false">filings!S49/daily!$A49</f>
        <v>2.4331</v>
      </c>
      <c r="S49" s="51" t="n">
        <f aca="false">Q49-R49</f>
        <v>43.7958666666667</v>
      </c>
      <c r="T49" s="26" t="n">
        <f aca="false">Q49/L49/1000000</f>
        <v>1.21655175438596</v>
      </c>
      <c r="U49" s="50" t="n">
        <f aca="false">N49/$T49/1000000</f>
        <v>4.1589078708948E-005</v>
      </c>
      <c r="V49" s="57" t="n">
        <f aca="false">P49/$T49/1000000</f>
        <v>4.39579325805105E-005</v>
      </c>
      <c r="W49" s="50" t="n">
        <f aca="false">M49+0.000041</f>
        <v>4.3E-005</v>
      </c>
      <c r="X49" s="51" t="n">
        <f aca="false">D49-filings!N49*C49*1000000</f>
        <v>46.6931573333333</v>
      </c>
      <c r="Y49" s="51" t="n">
        <f aca="false">0.000041*C49*1000000</f>
        <v>55.4902746666667</v>
      </c>
      <c r="Z49" s="0" t="n">
        <f aca="false">MONTH(B49)</f>
        <v>6</v>
      </c>
    </row>
    <row r="50" customFormat="false" ht="12.75" hidden="false" customHeight="false" outlineLevel="0" collapsed="false">
      <c r="A50" s="0" t="n">
        <f aca="false">DAY((B51-1))</f>
        <v>31</v>
      </c>
      <c r="B50" s="7" t="n">
        <v>35247</v>
      </c>
      <c r="C50" s="62" t="n">
        <f aca="false">(filings!C50+filings!D50)*filings!K50/daily!$A50/1000000</f>
        <v>1.38169032258065</v>
      </c>
      <c r="D50" s="51" t="n">
        <f aca="false">filings!$D50/daily!$A50</f>
        <v>44.1935483870968</v>
      </c>
      <c r="E50" s="51" t="n">
        <f aca="false">filings!E52/daily!$A50</f>
        <v>48.6720967741936</v>
      </c>
      <c r="F50" s="51" t="n">
        <f aca="false">filings!F52/daily!$A50</f>
        <v>64.978935483871</v>
      </c>
      <c r="G50" s="51" t="n">
        <f aca="false">filings!G52/daily!$A50</f>
        <v>4.19354838709677</v>
      </c>
      <c r="H50" s="51" t="n">
        <f aca="false">filings!H52/daily!$A50</f>
        <v>-20.5003870967742</v>
      </c>
      <c r="I50" s="51" t="n">
        <f aca="false">filings!I50/daily!$A50</f>
        <v>54.8410322580645</v>
      </c>
      <c r="J50" s="58" t="n">
        <f aca="false">$D50/$C50/1000000</f>
        <v>3.19851327499743E-005</v>
      </c>
      <c r="K50" s="59" t="n">
        <f aca="false">$I50/$C50/1000000</f>
        <v>3.969126175512E-005</v>
      </c>
      <c r="L50" s="64" t="n">
        <v>4E-005</v>
      </c>
      <c r="M50" s="56" t="n">
        <f aca="false">filings!N50</f>
        <v>4E-006</v>
      </c>
      <c r="N50" s="51" t="n">
        <f aca="false">filings!O50/daily!$A50</f>
        <v>52.6807741935484</v>
      </c>
      <c r="O50" s="51" t="n">
        <f aca="false">filings!P50/daily!$A50</f>
        <v>12.2981612903226</v>
      </c>
      <c r="P50" s="51" t="n">
        <f aca="false">filings!Q50/daily!$A50</f>
        <v>64.978935483871</v>
      </c>
      <c r="Q50" s="51" t="n">
        <f aca="false">filings!R50/daily!$A50</f>
        <v>48.6720967741936</v>
      </c>
      <c r="R50" s="51" t="n">
        <f aca="false">filings!S50/daily!$A50</f>
        <v>4.86722580645161</v>
      </c>
      <c r="S50" s="51" t="n">
        <f aca="false">Q50-R50</f>
        <v>43.8048709677419</v>
      </c>
      <c r="T50" s="26" t="n">
        <f aca="false">Q50/L50/1000000</f>
        <v>1.21680241935484</v>
      </c>
      <c r="U50" s="50" t="n">
        <f aca="false">N50/$T50/1000000</f>
        <v>4.32944357732953E-005</v>
      </c>
      <c r="V50" s="57" t="n">
        <f aca="false">P50/$T50/1000000</f>
        <v>5.34013858374176E-005</v>
      </c>
      <c r="W50" s="50" t="n">
        <f aca="false">M50+0.000041</f>
        <v>4.5E-005</v>
      </c>
      <c r="X50" s="51" t="n">
        <f aca="false">D50-filings!N50*C50*1000000</f>
        <v>38.6667870967742</v>
      </c>
      <c r="Y50" s="51" t="n">
        <f aca="false">0.000041*C50*1000000</f>
        <v>56.6493032258065</v>
      </c>
      <c r="Z50" s="0" t="n">
        <f aca="false">MONTH(B50)</f>
        <v>7</v>
      </c>
    </row>
    <row r="51" customFormat="false" ht="12.75" hidden="false" customHeight="false" outlineLevel="0" collapsed="false">
      <c r="A51" s="0" t="n">
        <f aca="false">DAY((B52-1))</f>
        <v>31</v>
      </c>
      <c r="B51" s="7" t="n">
        <v>35278</v>
      </c>
      <c r="C51" s="62" t="n">
        <f aca="false">(filings!C51+filings!D51)*filings!K51/daily!$A51/1000000</f>
        <v>1.40131612903226</v>
      </c>
      <c r="D51" s="51" t="n">
        <f aca="false">filings!$D51/daily!$A51</f>
        <v>49.6774193548387</v>
      </c>
      <c r="E51" s="51" t="n">
        <f aca="false">filings!E53/daily!$A51</f>
        <v>53.5381612903226</v>
      </c>
      <c r="F51" s="51" t="n">
        <f aca="false">filings!F53/daily!$A51</f>
        <v>65.8271612903226</v>
      </c>
      <c r="G51" s="51" t="n">
        <f aca="false">filings!G53/daily!$A51</f>
        <v>4.12603225806452</v>
      </c>
      <c r="H51" s="51" t="n">
        <f aca="false">filings!H53/daily!$A51</f>
        <v>-16.4150322580645</v>
      </c>
      <c r="I51" s="51" t="n">
        <f aca="false">filings!I51/daily!$A51</f>
        <v>59.3063548387097</v>
      </c>
      <c r="J51" s="58" t="n">
        <f aca="false">$D51/$C51/1000000</f>
        <v>3.54505441888731E-005</v>
      </c>
      <c r="K51" s="59" t="n">
        <f aca="false">$I51/$C51/1000000</f>
        <v>4.23218955452018E-005</v>
      </c>
      <c r="L51" s="64" t="n">
        <v>4.3E-005</v>
      </c>
      <c r="M51" s="56" t="n">
        <f aca="false">filings!N51</f>
        <v>4E-006</v>
      </c>
      <c r="N51" s="51" t="n">
        <f aca="false">filings!O51/daily!$A51</f>
        <v>51.9802580645161</v>
      </c>
      <c r="O51" s="51" t="n">
        <f aca="false">filings!P51/daily!$A51</f>
        <v>13.8469032258065</v>
      </c>
      <c r="P51" s="51" t="n">
        <f aca="false">filings!Q51/daily!$A51</f>
        <v>65.8271612903226</v>
      </c>
      <c r="Q51" s="51" t="n">
        <f aca="false">filings!R51/daily!$A51</f>
        <v>53.5381612903226</v>
      </c>
      <c r="R51" s="51" t="n">
        <f aca="false">filings!S51/daily!$A51</f>
        <v>4.98029032258065</v>
      </c>
      <c r="S51" s="51" t="n">
        <f aca="false">Q51-R51</f>
        <v>48.5578709677419</v>
      </c>
      <c r="T51" s="26" t="n">
        <f aca="false">Q51/L51/1000000</f>
        <v>1.24507351837959</v>
      </c>
      <c r="U51" s="50" t="n">
        <f aca="false">N51/$T51/1000000</f>
        <v>4.17487459954702E-005</v>
      </c>
      <c r="V51" s="57" t="n">
        <f aca="false">P51/$T51/1000000</f>
        <v>5.28700998925699E-005</v>
      </c>
      <c r="W51" s="50" t="n">
        <f aca="false">M51+0.000041</f>
        <v>4.5E-005</v>
      </c>
      <c r="X51" s="51" t="n">
        <f aca="false">D51-filings!N51*C51*1000000</f>
        <v>44.0721548387097</v>
      </c>
      <c r="Y51" s="51" t="n">
        <f aca="false">0.000041*C51*1000000</f>
        <v>57.4539612903226</v>
      </c>
      <c r="Z51" s="0" t="n">
        <f aca="false">MONTH(B51)</f>
        <v>8</v>
      </c>
    </row>
    <row r="52" customFormat="false" ht="12.75" hidden="false" customHeight="false" outlineLevel="0" collapsed="false">
      <c r="A52" s="0" t="n">
        <f aca="false">DAY((B53-1))</f>
        <v>30</v>
      </c>
      <c r="B52" s="7" t="n">
        <v>35309</v>
      </c>
      <c r="C52" s="62" t="n">
        <f aca="false">(filings!C52+filings!D52)*filings!K52/daily!$A52/1000000</f>
        <v>1.48806666666667</v>
      </c>
      <c r="D52" s="51" t="n">
        <f aca="false">filings!$D52/daily!$A52</f>
        <v>43.3333333333333</v>
      </c>
      <c r="E52" s="51" t="n">
        <f aca="false">filings!E54/daily!$A52</f>
        <v>55.0918666666667</v>
      </c>
      <c r="F52" s="51" t="n">
        <f aca="false">filings!F54/daily!$A52</f>
        <v>69.7858333333333</v>
      </c>
      <c r="G52" s="51" t="n">
        <f aca="false">filings!G54/daily!$A52</f>
        <v>3.92423333333333</v>
      </c>
      <c r="H52" s="51" t="n">
        <f aca="false">filings!H54/daily!$A52</f>
        <v>-18.6182</v>
      </c>
      <c r="I52" s="51" t="n">
        <f aca="false">filings!I52/daily!$A52</f>
        <v>64.5170666666667</v>
      </c>
      <c r="J52" s="58" t="n">
        <f aca="false">$D52/$C52/1000000</f>
        <v>2.9120559114735E-005</v>
      </c>
      <c r="K52" s="59" t="n">
        <f aca="false">$I52/$C52/1000000</f>
        <v>4.33563012409838E-005</v>
      </c>
      <c r="L52" s="64" t="n">
        <v>4.4E-005</v>
      </c>
      <c r="M52" s="56" t="n">
        <f aca="false">filings!N52</f>
        <v>4E-006</v>
      </c>
      <c r="N52" s="51" t="n">
        <f aca="false">filings!O52/daily!$A52</f>
        <v>56.3888333333333</v>
      </c>
      <c r="O52" s="51" t="n">
        <f aca="false">filings!P52/daily!$A52</f>
        <v>13.397</v>
      </c>
      <c r="P52" s="51" t="n">
        <f aca="false">filings!Q52/daily!$A52</f>
        <v>69.7858333333333</v>
      </c>
      <c r="Q52" s="51" t="n">
        <f aca="false">filings!R52/daily!$A52</f>
        <v>55.0918666666667</v>
      </c>
      <c r="R52" s="51" t="n">
        <f aca="false">filings!S52/daily!$A52</f>
        <v>5.00836666666667</v>
      </c>
      <c r="S52" s="51" t="n">
        <f aca="false">Q52-R52</f>
        <v>50.0835</v>
      </c>
      <c r="T52" s="26" t="n">
        <f aca="false">Q52/L52/1000000</f>
        <v>1.25208787878788</v>
      </c>
      <c r="U52" s="50" t="n">
        <f aca="false">N52/$T52/1000000</f>
        <v>4.5035843161362E-005</v>
      </c>
      <c r="V52" s="57" t="n">
        <f aca="false">P52/$T52/1000000</f>
        <v>5.57355713729068E-005</v>
      </c>
      <c r="W52" s="50" t="n">
        <f aca="false">M52+0.000041</f>
        <v>4.5E-005</v>
      </c>
      <c r="X52" s="51" t="n">
        <f aca="false">D52-filings!N52*C52*1000000</f>
        <v>37.3810666666667</v>
      </c>
      <c r="Y52" s="51" t="n">
        <f aca="false">0.000041*C52*1000000</f>
        <v>61.0107333333333</v>
      </c>
      <c r="Z52" s="0" t="n">
        <f aca="false">MONTH(B52)</f>
        <v>9</v>
      </c>
    </row>
    <row r="53" customFormat="false" ht="12.75" hidden="false" customHeight="false" outlineLevel="0" collapsed="false">
      <c r="A53" s="0" t="n">
        <f aca="false">DAY((B54-1))</f>
        <v>31</v>
      </c>
      <c r="B53" s="7" t="n">
        <v>35339</v>
      </c>
      <c r="C53" s="26" t="n">
        <f aca="false">(filings!C53+filings!D53)*filings!K53/daily!$A53/1000000</f>
        <v>1.37296774193548</v>
      </c>
      <c r="D53" s="51" t="n">
        <f aca="false">filings!$D53/daily!$A53</f>
        <v>44.3548387096774</v>
      </c>
      <c r="E53" s="51" t="n">
        <f aca="false">filings!E55/daily!$A53</f>
        <v>56.8785806451613</v>
      </c>
      <c r="F53" s="51" t="n">
        <f aca="false">filings!F55/daily!$A53</f>
        <v>67.4857419354839</v>
      </c>
      <c r="G53" s="51" t="n">
        <f aca="false">filings!G55/daily!$A53</f>
        <v>4.01432258064516</v>
      </c>
      <c r="H53" s="51" t="n">
        <f aca="false">filings!H55/daily!$A53</f>
        <v>-14.6214838709677</v>
      </c>
      <c r="I53" s="51" t="n">
        <f aca="false">filings!I53/daily!$A53</f>
        <v>60.7698709677419</v>
      </c>
      <c r="J53" s="58" t="n">
        <f aca="false">$D53/$C53/1000000</f>
        <v>3.23058126967718E-005</v>
      </c>
      <c r="K53" s="63" t="n">
        <f aca="false">$I53/$C53/1000000</f>
        <v>4.42616888304121E-005</v>
      </c>
      <c r="L53" s="64" t="n">
        <v>4.5E-005</v>
      </c>
      <c r="M53" s="56" t="n">
        <f aca="false">filings!N53</f>
        <v>4E-006</v>
      </c>
      <c r="N53" s="51" t="n">
        <f aca="false">filings!O53/daily!$A53</f>
        <v>55.4519677419355</v>
      </c>
      <c r="O53" s="51" t="n">
        <f aca="false">filings!P53/daily!$A53</f>
        <v>12.0337741935484</v>
      </c>
      <c r="P53" s="51" t="n">
        <f aca="false">filings!Q53/daily!$A53</f>
        <v>67.4857419354839</v>
      </c>
      <c r="Q53" s="51" t="n">
        <f aca="false">filings!R53/daily!$A53</f>
        <v>56.8785806451613</v>
      </c>
      <c r="R53" s="51" t="n">
        <f aca="false">filings!S53/daily!$A53</f>
        <v>5.05587096774194</v>
      </c>
      <c r="S53" s="51" t="n">
        <f aca="false">Q53-R53</f>
        <v>51.8227096774194</v>
      </c>
      <c r="T53" s="26" t="n">
        <f aca="false">Q53/L53/1000000</f>
        <v>1.26396845878136</v>
      </c>
      <c r="U53" s="50" t="n">
        <f aca="false">N53/$T53/1000000</f>
        <v>4.38713223867934E-005</v>
      </c>
      <c r="V53" s="57" t="n">
        <f aca="false">P53/$T53/1000000</f>
        <v>5.3391950935666E-005</v>
      </c>
      <c r="W53" s="50" t="n">
        <f aca="false">M53+0.000041</f>
        <v>4.5E-005</v>
      </c>
      <c r="X53" s="51" t="n">
        <f aca="false">D53-filings!N53*C53*1000000</f>
        <v>38.8629677419355</v>
      </c>
      <c r="Y53" s="51" t="n">
        <f aca="false">0.000041*C53*1000000</f>
        <v>56.2916774193548</v>
      </c>
      <c r="Z53" s="0" t="n">
        <f aca="false">MONTH(B53)</f>
        <v>10</v>
      </c>
    </row>
    <row r="54" customFormat="false" ht="12.75" hidden="false" customHeight="false" outlineLevel="0" collapsed="false">
      <c r="A54" s="0" t="n">
        <f aca="false">DAY((B55-1))</f>
        <v>30</v>
      </c>
      <c r="B54" s="7" t="n">
        <v>35370</v>
      </c>
      <c r="C54" s="62" t="n">
        <f aca="false">(filings!C54+filings!D54)*filings!K54/daily!$A54/1000000</f>
        <v>1.38484666666667</v>
      </c>
      <c r="D54" s="51" t="n">
        <f aca="false">filings!$D54/daily!$A54</f>
        <v>43.1666666666667</v>
      </c>
      <c r="E54" s="51" t="n">
        <f aca="false">filings!E56/daily!$A54</f>
        <v>57.7943</v>
      </c>
      <c r="F54" s="51" t="n">
        <f aca="false">filings!F56/daily!$A54</f>
        <v>74.3606666666667</v>
      </c>
      <c r="G54" s="51" t="n">
        <f aca="false">filings!G56/daily!$A54</f>
        <v>3.85963333333333</v>
      </c>
      <c r="H54" s="51" t="n">
        <f aca="false">filings!H56/daily!$A54</f>
        <v>-20.426</v>
      </c>
      <c r="I54" s="51" t="n">
        <f aca="false">filings!I54/daily!$A54</f>
        <v>61.7848666666667</v>
      </c>
      <c r="J54" s="58" t="n">
        <f aca="false">$D54/$C54/1000000</f>
        <v>3.11707192613382E-005</v>
      </c>
      <c r="K54" s="63" t="n">
        <f aca="false">$I54/$C54/1000000</f>
        <v>4.46149513544219E-005</v>
      </c>
      <c r="L54" s="64" t="n">
        <v>4.5E-005</v>
      </c>
      <c r="M54" s="56" t="n">
        <f aca="false">filings!N54</f>
        <v>4E-006</v>
      </c>
      <c r="N54" s="51" t="n">
        <f aca="false">filings!O54/daily!$A54</f>
        <v>65.1917666666667</v>
      </c>
      <c r="O54" s="51" t="n">
        <f aca="false">filings!P54/daily!$A54</f>
        <v>9.1689</v>
      </c>
      <c r="P54" s="51" t="n">
        <f aca="false">filings!Q54/daily!$A54</f>
        <v>74.3606666666667</v>
      </c>
      <c r="Q54" s="51" t="n">
        <f aca="false">filings!R54/daily!$A54</f>
        <v>57.7943</v>
      </c>
      <c r="R54" s="51" t="n">
        <f aca="false">filings!S54/daily!$A54</f>
        <v>5.13726666666667</v>
      </c>
      <c r="S54" s="51" t="n">
        <f aca="false">Q54-R54</f>
        <v>52.6570333333333</v>
      </c>
      <c r="T54" s="26" t="n">
        <f aca="false">Q54/L54/1000000</f>
        <v>1.28431777777778</v>
      </c>
      <c r="U54" s="50" t="n">
        <f aca="false">N54/$T54/1000000</f>
        <v>5.07598413684395E-005</v>
      </c>
      <c r="V54" s="57" t="n">
        <f aca="false">P54/$T54/1000000</f>
        <v>5.7898962354419E-005</v>
      </c>
      <c r="W54" s="50" t="n">
        <f aca="false">M54+0.000041</f>
        <v>4.5E-005</v>
      </c>
      <c r="X54" s="51" t="n">
        <f aca="false">D54-filings!N54*C54*1000000</f>
        <v>37.62728</v>
      </c>
      <c r="Y54" s="51" t="n">
        <f aca="false">0.000041*C54*1000000</f>
        <v>56.7787133333333</v>
      </c>
      <c r="Z54" s="0" t="n">
        <f aca="false">MONTH(B54)</f>
        <v>11</v>
      </c>
    </row>
    <row r="55" customFormat="false" ht="12.75" hidden="false" customHeight="false" outlineLevel="0" collapsed="false">
      <c r="A55" s="0" t="n">
        <f aca="false">DAY((B56-1))</f>
        <v>31</v>
      </c>
      <c r="B55" s="7" t="n">
        <v>35400</v>
      </c>
      <c r="C55" s="26" t="n">
        <f aca="false">(filings!C55+filings!D55)*filings!K55/daily!$A55/1000000</f>
        <v>1.34025806451613</v>
      </c>
      <c r="D55" s="51" t="n">
        <f aca="false">filings!$D55/daily!$A55</f>
        <v>45.1612903225807</v>
      </c>
      <c r="E55" s="51" t="n">
        <f aca="false">filings!E57/daily!$A55</f>
        <v>56.9523870967742</v>
      </c>
      <c r="F55" s="51" t="n">
        <f aca="false">filings!F57/daily!$A55</f>
        <v>64.6757096774194</v>
      </c>
      <c r="G55" s="51" t="n">
        <f aca="false">filings!G57/daily!$A55</f>
        <v>4.87454838709677</v>
      </c>
      <c r="H55" s="51" t="n">
        <f aca="false">filings!H57/daily!$A55</f>
        <v>-12.5978709677419</v>
      </c>
      <c r="I55" s="51" t="n">
        <f aca="false">filings!I55/daily!$A55</f>
        <v>59.7827741935484</v>
      </c>
      <c r="J55" s="58" t="n">
        <f aca="false">$D55/$C55/1000000</f>
        <v>3.36959661114855E-005</v>
      </c>
      <c r="K55" s="63" t="n">
        <f aca="false">$I55/$C55/1000000</f>
        <v>4.46054202368345E-005</v>
      </c>
      <c r="L55" s="64" t="n">
        <v>4.5E-005</v>
      </c>
      <c r="M55" s="56" t="n">
        <f aca="false">filings!N55</f>
        <v>4E-006</v>
      </c>
      <c r="N55" s="51" t="n">
        <f aca="false">filings!O55/daily!$A55</f>
        <v>59.907064516129</v>
      </c>
      <c r="O55" s="51" t="n">
        <f aca="false">filings!P55/daily!$A55</f>
        <v>4.76864516129032</v>
      </c>
      <c r="P55" s="51" t="n">
        <f aca="false">filings!Q55/daily!$A55</f>
        <v>64.6757096774194</v>
      </c>
      <c r="Q55" s="51" t="n">
        <f aca="false">filings!R55/daily!$A55</f>
        <v>56.9523870967742</v>
      </c>
      <c r="R55" s="51" t="n">
        <f aca="false">filings!S55/daily!$A55</f>
        <v>5.06241935483871</v>
      </c>
      <c r="S55" s="51" t="n">
        <f aca="false">Q55-R55</f>
        <v>51.8899677419355</v>
      </c>
      <c r="T55" s="26" t="n">
        <f aca="false">Q55/L55/1000000</f>
        <v>1.26560860215054</v>
      </c>
      <c r="U55" s="50" t="n">
        <f aca="false">N55/$T55/1000000</f>
        <v>4.73345901839907E-005</v>
      </c>
      <c r="V55" s="57" t="n">
        <f aca="false">P55/$T55/1000000</f>
        <v>5.1102457400749E-005</v>
      </c>
      <c r="W55" s="50" t="n">
        <f aca="false">M55+0.000041</f>
        <v>4.5E-005</v>
      </c>
      <c r="X55" s="51" t="n">
        <f aca="false">D55-filings!N55*C55*1000000</f>
        <v>39.8002580645161</v>
      </c>
      <c r="Y55" s="51" t="n">
        <f aca="false">0.000041*C55*1000000</f>
        <v>54.9505806451613</v>
      </c>
      <c r="Z55" s="0" t="n">
        <f aca="false">MONTH(B55)</f>
        <v>12</v>
      </c>
    </row>
    <row r="56" customFormat="false" ht="12.75" hidden="false" customHeight="false" outlineLevel="0" collapsed="false">
      <c r="A56" s="0" t="n">
        <f aca="false">DAY((B57-1))</f>
        <v>31</v>
      </c>
      <c r="B56" s="7" t="n">
        <v>35431</v>
      </c>
      <c r="C56" s="26" t="n">
        <f aca="false">(filings!C56+filings!D56)*filings!K56/daily!$A56/1000000</f>
        <v>1.31929032258065</v>
      </c>
      <c r="D56" s="51" t="n">
        <f aca="false">filings!$D56/daily!$A56</f>
        <v>53.2258064516129</v>
      </c>
      <c r="E56" s="51" t="n">
        <f aca="false">filings!E58/daily!$A56</f>
        <v>68.2758709677419</v>
      </c>
      <c r="F56" s="51" t="n">
        <f aca="false">filings!F58/daily!$A56</f>
        <v>52.4691935483871</v>
      </c>
      <c r="G56" s="51" t="n">
        <f aca="false">filings!G58/daily!$A56</f>
        <v>16.7515483870968</v>
      </c>
      <c r="H56" s="51" t="n">
        <f aca="false">filings!H58/daily!$A56</f>
        <v>-0.944870967741934</v>
      </c>
      <c r="I56" s="51" t="n">
        <f aca="false">filings!I56/daily!$A56</f>
        <v>72.9929032258065</v>
      </c>
      <c r="J56" s="58" t="n">
        <f aca="false">$D56/$C56/1000000</f>
        <v>4.03442711135019E-005</v>
      </c>
      <c r="K56" s="59" t="n">
        <f aca="false">$I56/$C56/1000000</f>
        <v>5.53273998728544E-005</v>
      </c>
      <c r="L56" s="64" t="n">
        <v>5.7E-005</v>
      </c>
      <c r="M56" s="56" t="n">
        <f aca="false">filings!N56</f>
        <v>1.6E-005</v>
      </c>
      <c r="N56" s="51" t="n">
        <f aca="false">filings!O56/daily!$A56</f>
        <v>50.6221612903226</v>
      </c>
      <c r="O56" s="51" t="n">
        <f aca="false">filings!P56/daily!$A56</f>
        <v>1.84703225806452</v>
      </c>
      <c r="P56" s="51" t="n">
        <f aca="false">filings!Q56/daily!$A56</f>
        <v>52.4691935483871</v>
      </c>
      <c r="Q56" s="51" t="n">
        <f aca="false">filings!R56/daily!$A56</f>
        <v>68.2758709677419</v>
      </c>
      <c r="R56" s="51" t="n">
        <f aca="false">filings!S56/daily!$A56</f>
        <v>19.1651612903226</v>
      </c>
      <c r="S56" s="51" t="n">
        <f aca="false">Q56-R56</f>
        <v>49.1107096774194</v>
      </c>
      <c r="T56" s="26" t="n">
        <f aca="false">Q56/L56/1000000</f>
        <v>1.19782229767968</v>
      </c>
      <c r="U56" s="50" t="n">
        <f aca="false">N56/$T56/1000000</f>
        <v>4.226182914476E-005</v>
      </c>
      <c r="V56" s="57" t="n">
        <f aca="false">P56/$T56/1000000</f>
        <v>4.3803821025895E-005</v>
      </c>
      <c r="W56" s="50" t="n">
        <f aca="false">M56+0.000041</f>
        <v>5.7E-005</v>
      </c>
      <c r="X56" s="51" t="n">
        <f aca="false">D56-filings!N56*C56*1000000</f>
        <v>32.1171612903226</v>
      </c>
      <c r="Y56" s="51" t="n">
        <f aca="false">0.000041*C56*1000000</f>
        <v>54.0909032258065</v>
      </c>
      <c r="Z56" s="0" t="n">
        <f aca="false">MONTH(B56)</f>
        <v>1</v>
      </c>
    </row>
    <row r="57" customFormat="false" ht="12.75" hidden="false" customHeight="false" outlineLevel="0" collapsed="false">
      <c r="A57" s="0" t="n">
        <f aca="false">DAY((B58-1))</f>
        <v>28</v>
      </c>
      <c r="B57" s="7" t="n">
        <v>35462</v>
      </c>
      <c r="C57" s="26" t="n">
        <f aca="false">(filings!C57+filings!D57)*filings!K57/daily!$A57/1000000</f>
        <v>1.35014285714286</v>
      </c>
      <c r="D57" s="51" t="n">
        <f aca="false">filings!$D57/daily!$A57</f>
        <v>60.7142857142857</v>
      </c>
      <c r="E57" s="51" t="n">
        <f aca="false">filings!E59/daily!$A57</f>
        <v>69.7037857142857</v>
      </c>
      <c r="F57" s="51" t="n">
        <f aca="false">filings!F59/daily!$A57</f>
        <v>49.15275</v>
      </c>
      <c r="G57" s="51" t="n">
        <f aca="false">filings!G59/daily!$A57</f>
        <v>18.29575</v>
      </c>
      <c r="H57" s="51" t="n">
        <f aca="false">filings!H59/daily!$A57</f>
        <v>2.25528571428571</v>
      </c>
      <c r="I57" s="51" t="n">
        <f aca="false">filings!I57/daily!$A57</f>
        <v>74.6619285714286</v>
      </c>
      <c r="J57" s="58" t="n">
        <f aca="false">$D57/$C57/1000000</f>
        <v>4.49687863718125E-005</v>
      </c>
      <c r="K57" s="59" t="n">
        <f aca="false">$I57/$C57/1000000</f>
        <v>5.52992804994181E-005</v>
      </c>
      <c r="L57" s="64" t="n">
        <v>5.7E-005</v>
      </c>
      <c r="M57" s="56" t="n">
        <f aca="false">filings!N57</f>
        <v>1.6E-005</v>
      </c>
      <c r="N57" s="51" t="n">
        <f aca="false">filings!O57/daily!$A57</f>
        <v>46.5868571428571</v>
      </c>
      <c r="O57" s="51" t="n">
        <f aca="false">filings!P57/daily!$A57</f>
        <v>2.56589285714286</v>
      </c>
      <c r="P57" s="51" t="n">
        <f aca="false">filings!Q57/daily!$A57</f>
        <v>49.15275</v>
      </c>
      <c r="Q57" s="51" t="n">
        <f aca="false">filings!R57/daily!$A57</f>
        <v>69.7037857142857</v>
      </c>
      <c r="R57" s="51" t="n">
        <f aca="false">filings!S57/daily!$A57</f>
        <v>19.5659642857143</v>
      </c>
      <c r="S57" s="51" t="n">
        <f aca="false">Q57-R57</f>
        <v>50.1378214285714</v>
      </c>
      <c r="T57" s="26" t="n">
        <f aca="false">Q57/L57/1000000</f>
        <v>1.22287343358396</v>
      </c>
      <c r="U57" s="50" t="n">
        <f aca="false">N57/$T57/1000000</f>
        <v>3.80962214595846E-005</v>
      </c>
      <c r="V57" s="57" t="n">
        <f aca="false">P57/$T57/1000000</f>
        <v>4.01944703761735E-005</v>
      </c>
      <c r="W57" s="50" t="n">
        <f aca="false">M57+0.000041</f>
        <v>5.7E-005</v>
      </c>
      <c r="X57" s="51" t="n">
        <f aca="false">D57-filings!N57*C57*1000000</f>
        <v>39.112</v>
      </c>
      <c r="Y57" s="51" t="n">
        <f aca="false">0.000041*C57*1000000</f>
        <v>55.3558571428571</v>
      </c>
      <c r="Z57" s="0" t="n">
        <f aca="false">MONTH(B57)</f>
        <v>2</v>
      </c>
    </row>
    <row r="58" customFormat="false" ht="12.75" hidden="false" customHeight="false" outlineLevel="0" collapsed="false">
      <c r="A58" s="0" t="n">
        <f aca="false">DAY((B59-1))</f>
        <v>31</v>
      </c>
      <c r="B58" s="7" t="n">
        <v>35490</v>
      </c>
      <c r="C58" s="26" t="n">
        <f aca="false">(filings!C58+filings!D58)*filings!K58/daily!$A58/1000000</f>
        <v>1.20522580645161</v>
      </c>
      <c r="D58" s="51" t="n">
        <f aca="false">filings!$D58/daily!$A58</f>
        <v>59.6774193548387</v>
      </c>
      <c r="E58" s="51" t="n">
        <f aca="false">filings!E60/daily!$A58</f>
        <v>66.7760322580645</v>
      </c>
      <c r="F58" s="51" t="n">
        <f aca="false">filings!F60/daily!$A58</f>
        <v>48.6694516129032</v>
      </c>
      <c r="G58" s="51" t="n">
        <f aca="false">filings!G60/daily!$A58</f>
        <v>18.4331935483871</v>
      </c>
      <c r="H58" s="51" t="n">
        <f aca="false">filings!H60/daily!$A58</f>
        <v>-0.32661290322581</v>
      </c>
      <c r="I58" s="51" t="n">
        <f aca="false">filings!I58/daily!$A58</f>
        <v>60.6222903225806</v>
      </c>
      <c r="J58" s="58" t="n">
        <f aca="false">$D58/$C58/1000000</f>
        <v>4.95155505593919E-005</v>
      </c>
      <c r="K58" s="59" t="n">
        <f aca="false">$I58/$C58/1000000</f>
        <v>5.02995289331406E-005</v>
      </c>
      <c r="L58" s="64" t="n">
        <v>5.2E-005</v>
      </c>
      <c r="M58" s="56" t="n">
        <f aca="false">filings!N58</f>
        <v>1.6E-005</v>
      </c>
      <c r="N58" s="51" t="n">
        <f aca="false">filings!O58/daily!$A58</f>
        <v>48.7270322580645</v>
      </c>
      <c r="O58" s="51" t="n">
        <f aca="false">filings!P58/daily!$A58</f>
        <v>-0.0575806451612903</v>
      </c>
      <c r="P58" s="51" t="n">
        <f aca="false">filings!Q58/daily!$A58</f>
        <v>48.6694516129032</v>
      </c>
      <c r="Q58" s="51" t="n">
        <f aca="false">filings!R58/daily!$A58</f>
        <v>66.7760322580645</v>
      </c>
      <c r="R58" s="51" t="n">
        <f aca="false">filings!S58/daily!$A58</f>
        <v>20.5464838709677</v>
      </c>
      <c r="S58" s="51" t="n">
        <f aca="false">Q58-R58</f>
        <v>46.2295483870968</v>
      </c>
      <c r="T58" s="26" t="n">
        <f aca="false">Q58/L58/1000000</f>
        <v>1.28415446650124</v>
      </c>
      <c r="U58" s="50" t="n">
        <f aca="false">N58/$T58/1000000</f>
        <v>3.79448372677661E-005</v>
      </c>
      <c r="V58" s="57" t="n">
        <f aca="false">P58/$T58/1000000</f>
        <v>3.78999979227625E-005</v>
      </c>
      <c r="W58" s="50" t="n">
        <f aca="false">M58+0.000041</f>
        <v>5.7E-005</v>
      </c>
      <c r="X58" s="51" t="n">
        <f aca="false">D58-filings!N58*C58*1000000</f>
        <v>40.3938064516129</v>
      </c>
      <c r="Y58" s="51" t="n">
        <f aca="false">0.000041*C58*1000000</f>
        <v>49.4142580645161</v>
      </c>
      <c r="Z58" s="0" t="n">
        <f aca="false">MONTH(B58)</f>
        <v>3</v>
      </c>
    </row>
    <row r="59" customFormat="false" ht="12.75" hidden="false" customHeight="false" outlineLevel="0" collapsed="false">
      <c r="A59" s="0" t="n">
        <f aca="false">DAY((B60-1))</f>
        <v>30</v>
      </c>
      <c r="B59" s="7" t="n">
        <v>35521</v>
      </c>
      <c r="C59" s="26" t="n">
        <f aca="false">(filings!C59+filings!D59)*filings!K59/daily!$A59/1000000</f>
        <v>1.2363</v>
      </c>
      <c r="D59" s="51" t="n">
        <f aca="false">filings!$D59/daily!$A59</f>
        <v>60.8333333333333</v>
      </c>
      <c r="E59" s="51" t="n">
        <f aca="false">filings!E61/daily!$A59</f>
        <v>61.4248</v>
      </c>
      <c r="F59" s="51" t="n">
        <f aca="false">filings!F61/daily!$A59</f>
        <v>52.7867</v>
      </c>
      <c r="G59" s="51" t="n">
        <f aca="false">filings!G61/daily!$A59</f>
        <v>15.8911666666667</v>
      </c>
      <c r="H59" s="51" t="n">
        <f aca="false">filings!H61/daily!$A59</f>
        <v>-7.25306666666667</v>
      </c>
      <c r="I59" s="51" t="n">
        <f aca="false">filings!I59/daily!$A59</f>
        <v>58.7284</v>
      </c>
      <c r="J59" s="58" t="n">
        <f aca="false">$D59/$C59/1000000</f>
        <v>4.92059640324625E-005</v>
      </c>
      <c r="K59" s="59" t="n">
        <f aca="false">$I59/$C59/1000000</f>
        <v>4.7503356790423E-005</v>
      </c>
      <c r="L59" s="64" t="n">
        <v>4.9E-005</v>
      </c>
      <c r="M59" s="56" t="n">
        <f aca="false">filings!N59</f>
        <v>1.6E-005</v>
      </c>
      <c r="N59" s="51" t="n">
        <f aca="false">filings!O59/daily!$A59</f>
        <v>48.6817</v>
      </c>
      <c r="O59" s="51" t="n">
        <f aca="false">filings!P59/daily!$A59</f>
        <v>4.105</v>
      </c>
      <c r="P59" s="51" t="n">
        <f aca="false">filings!Q59/daily!$A59</f>
        <v>52.7867</v>
      </c>
      <c r="Q59" s="51" t="n">
        <f aca="false">filings!R59/daily!$A59</f>
        <v>61.4248</v>
      </c>
      <c r="R59" s="51" t="n">
        <f aca="false">filings!S59/daily!$A59</f>
        <v>20.0570666666667</v>
      </c>
      <c r="S59" s="51" t="n">
        <f aca="false">Q59-R59</f>
        <v>41.3677333333333</v>
      </c>
      <c r="T59" s="26" t="n">
        <f aca="false">Q59/L59/1000000</f>
        <v>1.25356734693878</v>
      </c>
      <c r="U59" s="50" t="n">
        <f aca="false">N59/$T59/1000000</f>
        <v>3.8834531003764E-005</v>
      </c>
      <c r="V59" s="57" t="n">
        <f aca="false">P59/$T59/1000000</f>
        <v>4.21091855406937E-005</v>
      </c>
      <c r="W59" s="50" t="n">
        <f aca="false">M59+0.000041</f>
        <v>5.7E-005</v>
      </c>
      <c r="X59" s="51" t="n">
        <f aca="false">D59-filings!N59*C59*1000000</f>
        <v>41.0525333333333</v>
      </c>
      <c r="Y59" s="51" t="n">
        <f aca="false">0.000041*C59*1000000</f>
        <v>50.6883</v>
      </c>
      <c r="Z59" s="0" t="n">
        <f aca="false">MONTH(B59)</f>
        <v>4</v>
      </c>
    </row>
    <row r="60" customFormat="false" ht="12.75" hidden="false" customHeight="false" outlineLevel="0" collapsed="false">
      <c r="A60" s="0" t="n">
        <f aca="false">DAY((B61-1))</f>
        <v>31</v>
      </c>
      <c r="B60" s="7" t="n">
        <v>35551</v>
      </c>
      <c r="C60" s="26" t="n">
        <f aca="false">(filings!C60+filings!D60)*filings!K60/daily!$A60/1000000</f>
        <v>1.18845161290323</v>
      </c>
      <c r="D60" s="51" t="n">
        <f aca="false">filings!$D60/daily!$A60</f>
        <v>56.4516129032258</v>
      </c>
      <c r="E60" s="51" t="n">
        <f aca="false">filings!E62/daily!$A60</f>
        <v>59.3788064516129</v>
      </c>
      <c r="F60" s="51" t="n">
        <f aca="false">filings!F62/daily!$A60</f>
        <v>44.8858387096774</v>
      </c>
      <c r="G60" s="51" t="n">
        <f aca="false">filings!G62/daily!$A60</f>
        <v>17.2745161290323</v>
      </c>
      <c r="H60" s="51" t="n">
        <f aca="false">filings!H62/daily!$A60</f>
        <v>-2.78154838709678</v>
      </c>
      <c r="I60" s="51" t="n">
        <f aca="false">filings!I60/daily!$A60</f>
        <v>56.7782258064516</v>
      </c>
      <c r="J60" s="58" t="n">
        <f aca="false">$D60/$C60/1000000</f>
        <v>4.75001357146735E-005</v>
      </c>
      <c r="K60" s="59" t="n">
        <f aca="false">$I60/$C60/1000000</f>
        <v>4.77749579284512E-005</v>
      </c>
      <c r="L60" s="64" t="n">
        <v>4.9E-005</v>
      </c>
      <c r="M60" s="56" t="n">
        <f aca="false">filings!N60</f>
        <v>1.6E-005</v>
      </c>
      <c r="N60" s="51" t="n">
        <f aca="false">filings!O60/daily!$A60</f>
        <v>46.932064516129</v>
      </c>
      <c r="O60" s="51" t="n">
        <f aca="false">filings!P60/daily!$A60</f>
        <v>-2.04622580645161</v>
      </c>
      <c r="P60" s="51" t="n">
        <f aca="false">filings!Q60/daily!$A60</f>
        <v>44.8858387096774</v>
      </c>
      <c r="Q60" s="51" t="n">
        <f aca="false">filings!R60/daily!$A60</f>
        <v>59.3788064516129</v>
      </c>
      <c r="R60" s="51" t="n">
        <f aca="false">filings!S60/daily!$A60</f>
        <v>19.389</v>
      </c>
      <c r="S60" s="51" t="n">
        <f aca="false">Q60-R60</f>
        <v>39.9898064516129</v>
      </c>
      <c r="T60" s="26" t="n">
        <f aca="false">Q60/L60/1000000</f>
        <v>1.21181237656353</v>
      </c>
      <c r="U60" s="50" t="n">
        <f aca="false">N60/$T60/1000000</f>
        <v>3.87288209163365E-005</v>
      </c>
      <c r="V60" s="57" t="n">
        <f aca="false">P60/$T60/1000000</f>
        <v>3.70402543972733E-005</v>
      </c>
      <c r="W60" s="50" t="n">
        <f aca="false">M60+0.000041</f>
        <v>5.7E-005</v>
      </c>
      <c r="X60" s="51" t="n">
        <f aca="false">D60-filings!N60*C60*1000000</f>
        <v>37.4363870967742</v>
      </c>
      <c r="Y60" s="51" t="n">
        <f aca="false">0.000041*C60*1000000</f>
        <v>48.7265161290323</v>
      </c>
      <c r="Z60" s="0" t="n">
        <f aca="false">MONTH(B60)</f>
        <v>5</v>
      </c>
    </row>
    <row r="61" customFormat="false" ht="12.75" hidden="false" customHeight="false" outlineLevel="0" collapsed="false">
      <c r="A61" s="0" t="n">
        <f aca="false">DAY((B62-1))</f>
        <v>30</v>
      </c>
      <c r="B61" s="7" t="n">
        <v>35582</v>
      </c>
      <c r="C61" s="26" t="n">
        <f aca="false">(filings!C61+filings!D61)*filings!K61/daily!$A61/1000000</f>
        <v>1.28544</v>
      </c>
      <c r="D61" s="51" t="n">
        <f aca="false">filings!$D61/daily!$A61</f>
        <v>48.6666666666667</v>
      </c>
      <c r="E61" s="51" t="n">
        <f aca="false">filings!E63/daily!$A61</f>
        <v>55.7363</v>
      </c>
      <c r="F61" s="51" t="n">
        <f aca="false">filings!F63/daily!$A61</f>
        <v>48.7984</v>
      </c>
      <c r="G61" s="51" t="n">
        <f aca="false">filings!G63/daily!$A61</f>
        <v>18.6666666666667</v>
      </c>
      <c r="H61" s="51" t="n">
        <f aca="false">filings!H63/daily!$A61</f>
        <v>-11.7287666666667</v>
      </c>
      <c r="I61" s="51" t="n">
        <f aca="false">filings!I61/daily!$A61</f>
        <v>55.9197333333333</v>
      </c>
      <c r="J61" s="58" t="n">
        <f aca="false">$D61/$C61/1000000</f>
        <v>3.78599286366277E-005</v>
      </c>
      <c r="K61" s="59" t="n">
        <f aca="false">$I61/$C61/1000000</f>
        <v>4.35024064392997E-005</v>
      </c>
      <c r="L61" s="64" t="n">
        <v>4.4E-005</v>
      </c>
      <c r="M61" s="56" t="n">
        <f aca="false">filings!N61</f>
        <v>1.6E-005</v>
      </c>
      <c r="N61" s="51" t="n">
        <f aca="false">filings!O61/daily!$A61</f>
        <v>54.1994666666667</v>
      </c>
      <c r="O61" s="51" t="n">
        <f aca="false">filings!P61/daily!$A61</f>
        <v>-5.40106666666667</v>
      </c>
      <c r="P61" s="51" t="n">
        <f aca="false">filings!Q61/daily!$A61</f>
        <v>48.7984</v>
      </c>
      <c r="Q61" s="51" t="n">
        <f aca="false">filings!R61/daily!$A61</f>
        <v>55.7363</v>
      </c>
      <c r="R61" s="51" t="n">
        <f aca="false">filings!S61/daily!$A61</f>
        <v>20.2677333333333</v>
      </c>
      <c r="S61" s="51" t="n">
        <f aca="false">Q61-R61</f>
        <v>35.4685666666667</v>
      </c>
      <c r="T61" s="26" t="n">
        <f aca="false">Q61/L61/1000000</f>
        <v>1.26673409090909</v>
      </c>
      <c r="U61" s="50" t="n">
        <f aca="false">N61/$T61/1000000</f>
        <v>4.27867751058706E-005</v>
      </c>
      <c r="V61" s="57" t="n">
        <f aca="false">P61/$T61/1000000</f>
        <v>3.85230020650815E-005</v>
      </c>
      <c r="W61" s="50" t="n">
        <f aca="false">M61+0.000041</f>
        <v>5.7E-005</v>
      </c>
      <c r="X61" s="51" t="n">
        <f aca="false">D61-filings!N61*C61*1000000</f>
        <v>28.0996266666667</v>
      </c>
      <c r="Y61" s="51" t="n">
        <f aca="false">0.000041*C61*1000000</f>
        <v>52.70304</v>
      </c>
      <c r="Z61" s="0" t="n">
        <f aca="false">MONTH(B61)</f>
        <v>6</v>
      </c>
    </row>
    <row r="62" customFormat="false" ht="12.75" hidden="false" customHeight="false" outlineLevel="0" collapsed="false">
      <c r="A62" s="0" t="n">
        <f aca="false">DAY((B63-1))</f>
        <v>31</v>
      </c>
      <c r="B62" s="7" t="n">
        <v>35612</v>
      </c>
      <c r="C62" s="26" t="n">
        <f aca="false">(filings!C62+filings!D62)*filings!K62/daily!$A62/1000000</f>
        <v>1.28557419354839</v>
      </c>
      <c r="D62" s="51" t="n">
        <f aca="false">filings!$D62/daily!$A62</f>
        <v>52.9032258064516</v>
      </c>
      <c r="E62" s="51" t="n">
        <f aca="false">filings!E64/daily!$A62</f>
        <v>55.9837419354839</v>
      </c>
      <c r="F62" s="51" t="n">
        <f aca="false">filings!F64/daily!$A62</f>
        <v>58.3881935483871</v>
      </c>
      <c r="G62" s="51" t="n">
        <f aca="false">filings!G64/daily!$A62</f>
        <v>7.95454838709677</v>
      </c>
      <c r="H62" s="51" t="n">
        <f aca="false">filings!H64/daily!$A62</f>
        <v>-10.359</v>
      </c>
      <c r="I62" s="51" t="n">
        <f aca="false">filings!I62/daily!$A62</f>
        <v>55.6847741935484</v>
      </c>
      <c r="J62" s="58" t="n">
        <f aca="false">$D62/$C62/1000000</f>
        <v>4.11514372892244E-005</v>
      </c>
      <c r="K62" s="59" t="n">
        <f aca="false">$I62/$C62/1000000</f>
        <v>4.33150995664044E-005</v>
      </c>
      <c r="L62" s="64" t="n">
        <v>4.4E-005</v>
      </c>
      <c r="M62" s="56" t="n">
        <f aca="false">filings!N62</f>
        <v>7E-006</v>
      </c>
      <c r="N62" s="51" t="n">
        <f aca="false">filings!O62/daily!$A62</f>
        <v>59.0307741935484</v>
      </c>
      <c r="O62" s="51" t="n">
        <f aca="false">filings!P62/daily!$A62</f>
        <v>0.579935483870968</v>
      </c>
      <c r="P62" s="51" t="n">
        <f aca="false">filings!Q62/daily!$A62</f>
        <v>59.6107096774194</v>
      </c>
      <c r="Q62" s="51" t="n">
        <f aca="false">filings!R62/daily!$A62</f>
        <v>55.9837419354839</v>
      </c>
      <c r="R62" s="51" t="n">
        <f aca="false">filings!S62/daily!$A62</f>
        <v>8.907</v>
      </c>
      <c r="S62" s="51" t="n">
        <f aca="false">Q62-R62</f>
        <v>47.0767419354839</v>
      </c>
      <c r="T62" s="26" t="n">
        <f aca="false">Q62/L62/1000000</f>
        <v>1.272357771261</v>
      </c>
      <c r="U62" s="50" t="n">
        <f aca="false">N62/$T62/1000000</f>
        <v>4.63947920363977E-005</v>
      </c>
      <c r="V62" s="57" t="n">
        <f aca="false">P62/$T62/1000000</f>
        <v>4.68505879587161E-005</v>
      </c>
      <c r="W62" s="50" t="n">
        <f aca="false">M62+0.000041</f>
        <v>4.8E-005</v>
      </c>
      <c r="X62" s="51" t="n">
        <f aca="false">D62-filings!N62*C62*1000000</f>
        <v>43.9042064516129</v>
      </c>
      <c r="Y62" s="51" t="n">
        <f aca="false">0.000041*C62*1000000</f>
        <v>52.7085419354839</v>
      </c>
      <c r="Z62" s="0" t="n">
        <f aca="false">MONTH(B62)</f>
        <v>7</v>
      </c>
    </row>
    <row r="63" customFormat="false" ht="12.75" hidden="false" customHeight="false" outlineLevel="0" collapsed="false">
      <c r="A63" s="0" t="n">
        <f aca="false">DAY((B64-1))</f>
        <v>31</v>
      </c>
      <c r="B63" s="7" t="n">
        <v>35643</v>
      </c>
      <c r="C63" s="26" t="n">
        <f aca="false">(filings!C63+filings!D63)*filings!K63/daily!$A63/1000000</f>
        <v>1.3509935483871</v>
      </c>
      <c r="D63" s="51" t="n">
        <f aca="false">filings!$D63/daily!$A63</f>
        <v>49.6774193548387</v>
      </c>
      <c r="E63" s="51" t="n">
        <f aca="false">filings!E65/daily!$A63</f>
        <v>60.7269677419355</v>
      </c>
      <c r="F63" s="51" t="n">
        <f aca="false">filings!F65/daily!$A63</f>
        <v>59.3111612903226</v>
      </c>
      <c r="G63" s="51" t="n">
        <f aca="false">filings!G65/daily!$A63</f>
        <v>8.4431935483871</v>
      </c>
      <c r="H63" s="51" t="n">
        <f aca="false">filings!H65/daily!$A63</f>
        <v>-7.02738709677419</v>
      </c>
      <c r="I63" s="51" t="n">
        <f aca="false">filings!I63/daily!$A63</f>
        <v>61.0278387096774</v>
      </c>
      <c r="J63" s="58" t="n">
        <f aca="false">$D63/$C63/1000000</f>
        <v>3.67710263414261E-005</v>
      </c>
      <c r="K63" s="59" t="n">
        <f aca="false">$I63/$C63/1000000</f>
        <v>4.51725611736166E-005</v>
      </c>
      <c r="L63" s="64" t="n">
        <v>4.6E-005</v>
      </c>
      <c r="M63" s="56" t="n">
        <f aca="false">filings!N63</f>
        <v>7E-006</v>
      </c>
      <c r="N63" s="51" t="n">
        <f aca="false">filings!O63/daily!$A63</f>
        <v>61.1037419354839</v>
      </c>
      <c r="O63" s="51" t="n">
        <f aca="false">filings!P63/daily!$A63</f>
        <v>3.9891935483871</v>
      </c>
      <c r="P63" s="51" t="n">
        <f aca="false">filings!Q63/daily!$A63</f>
        <v>65.092935483871</v>
      </c>
      <c r="Q63" s="51" t="n">
        <f aca="false">filings!R63/daily!$A63</f>
        <v>60.7269677419355</v>
      </c>
      <c r="R63" s="51" t="n">
        <f aca="false">filings!S63/daily!$A63</f>
        <v>9.24264516129032</v>
      </c>
      <c r="S63" s="51" t="n">
        <f aca="false">Q63-R63</f>
        <v>51.4843225806452</v>
      </c>
      <c r="T63" s="26" t="n">
        <f aca="false">Q63/L63/1000000</f>
        <v>1.32015147265077</v>
      </c>
      <c r="U63" s="50" t="n">
        <f aca="false">N63/$T63/1000000</f>
        <v>4.62854022446317E-005</v>
      </c>
      <c r="V63" s="57" t="n">
        <f aca="false">P63/$T63/1000000</f>
        <v>4.9307171815041E-005</v>
      </c>
      <c r="W63" s="50" t="n">
        <f aca="false">M63+0.000041</f>
        <v>4.8E-005</v>
      </c>
      <c r="X63" s="51" t="n">
        <f aca="false">D63-filings!N63*C63*1000000</f>
        <v>40.220464516129</v>
      </c>
      <c r="Y63" s="51" t="n">
        <f aca="false">0.000041*C63*1000000</f>
        <v>55.390735483871</v>
      </c>
      <c r="Z63" s="0" t="n">
        <f aca="false">MONTH(B63)</f>
        <v>8</v>
      </c>
    </row>
    <row r="64" customFormat="false" ht="12.75" hidden="false" customHeight="false" outlineLevel="0" collapsed="false">
      <c r="A64" s="0" t="n">
        <f aca="false">DAY((B65-1))</f>
        <v>30</v>
      </c>
      <c r="B64" s="7" t="n">
        <v>35674</v>
      </c>
      <c r="C64" s="26" t="n">
        <f aca="false">(filings!C64+filings!D64)*filings!K64/daily!$A64/1000000</f>
        <v>1.37886666666667</v>
      </c>
      <c r="D64" s="51" t="n">
        <f aca="false">filings!$D64/daily!$A64</f>
        <v>51.6666666666667</v>
      </c>
      <c r="E64" s="51" t="n">
        <f aca="false">filings!E66/daily!$A64</f>
        <v>60.1358333333333</v>
      </c>
      <c r="F64" s="51" t="n">
        <f aca="false">filings!F66/daily!$A64</f>
        <v>69.2392333333333</v>
      </c>
      <c r="G64" s="51" t="n">
        <f aca="false">filings!G66/daily!$A64</f>
        <v>7.47426666666667</v>
      </c>
      <c r="H64" s="51" t="n">
        <f aca="false">filings!H66/daily!$A64</f>
        <v>-16.5776666666667</v>
      </c>
      <c r="I64" s="51" t="n">
        <f aca="false">filings!I64/daily!$A64</f>
        <v>62.3709666666667</v>
      </c>
      <c r="J64" s="58" t="n">
        <f aca="false">$D64/$C64/1000000</f>
        <v>3.74703863075956E-005</v>
      </c>
      <c r="K64" s="59" t="n">
        <f aca="false">$I64/$C64/1000000</f>
        <v>4.52335009428033E-005</v>
      </c>
      <c r="L64" s="64" t="n">
        <v>4.6E-005</v>
      </c>
      <c r="M64" s="56" t="n">
        <f aca="false">filings!N64</f>
        <v>7E-006</v>
      </c>
      <c r="N64" s="51" t="n">
        <f aca="false">filings!O64/daily!$A64</f>
        <v>66.3942</v>
      </c>
      <c r="O64" s="51" t="n">
        <f aca="false">filings!P64/daily!$A64</f>
        <v>-2.84503333333333</v>
      </c>
      <c r="P64" s="51" t="n">
        <f aca="false">filings!Q64/daily!$A64</f>
        <v>63.5491666666667</v>
      </c>
      <c r="Q64" s="51" t="n">
        <f aca="false">filings!R64/daily!$A64</f>
        <v>60.1358333333333</v>
      </c>
      <c r="R64" s="51" t="n">
        <f aca="false">filings!S64/daily!$A64</f>
        <v>9.15266666666667</v>
      </c>
      <c r="S64" s="51" t="n">
        <f aca="false">Q64-R64</f>
        <v>50.9831666666667</v>
      </c>
      <c r="T64" s="26" t="n">
        <f aca="false">Q64/L64/1000000</f>
        <v>1.30730072463768</v>
      </c>
      <c r="U64" s="50" t="n">
        <f aca="false">N64/$T64/1000000</f>
        <v>5.07872433241412E-005</v>
      </c>
      <c r="V64" s="57" t="n">
        <f aca="false">P64/$T64/1000000</f>
        <v>4.86109779249754E-005</v>
      </c>
      <c r="W64" s="50" t="n">
        <f aca="false">M64+0.000041</f>
        <v>4.8E-005</v>
      </c>
      <c r="X64" s="51" t="n">
        <f aca="false">D64-filings!N64*C64*1000000</f>
        <v>42.0146</v>
      </c>
      <c r="Y64" s="51" t="n">
        <f aca="false">0.000041*C64*1000000</f>
        <v>56.5335333333333</v>
      </c>
      <c r="Z64" s="0" t="n">
        <f aca="false">MONTH(B64)</f>
        <v>9</v>
      </c>
    </row>
    <row r="65" customFormat="false" ht="12.75" hidden="false" customHeight="false" outlineLevel="0" collapsed="false">
      <c r="A65" s="0" t="n">
        <f aca="false">DAY((B66-1))</f>
        <v>31</v>
      </c>
      <c r="B65" s="7" t="n">
        <v>35704</v>
      </c>
      <c r="C65" s="26" t="n">
        <f aca="false">(filings!C65+filings!D65)*filings!K65/daily!$A65/1000000</f>
        <v>1.30369032258065</v>
      </c>
      <c r="D65" s="51" t="n">
        <f aca="false">filings!$D65/daily!$A65</f>
        <v>55.4838709677419</v>
      </c>
      <c r="E65" s="51" t="n">
        <f aca="false">filings!E67/daily!$A65</f>
        <v>64.6340967741936</v>
      </c>
      <c r="F65" s="51" t="n">
        <f aca="false">filings!F67/daily!$A65</f>
        <v>62.5518387096774</v>
      </c>
      <c r="G65" s="51" t="n">
        <f aca="false">filings!G67/daily!$A65</f>
        <v>8.41012903225806</v>
      </c>
      <c r="H65" s="51" t="n">
        <f aca="false">filings!H67/daily!$A65</f>
        <v>-6.32787096774194</v>
      </c>
      <c r="I65" s="51" t="n">
        <f aca="false">filings!I65/daily!$A65</f>
        <v>62.5112580645161</v>
      </c>
      <c r="J65" s="58" t="n">
        <f aca="false">$D65/$C65/1000000</f>
        <v>4.25590878498753E-005</v>
      </c>
      <c r="K65" s="63" t="n">
        <f aca="false">$I65/$C65/1000000</f>
        <v>4.7949468506275E-005</v>
      </c>
      <c r="L65" s="65" t="n">
        <v>4.9E-005</v>
      </c>
      <c r="M65" s="56" t="n">
        <f aca="false">filings!N65</f>
        <v>7E-006</v>
      </c>
      <c r="N65" s="51" t="n">
        <f aca="false">filings!O65/daily!$A65</f>
        <v>66.8804516129032</v>
      </c>
      <c r="O65" s="51" t="n">
        <f aca="false">filings!P65/daily!$A65</f>
        <v>4.32861290322581</v>
      </c>
      <c r="P65" s="51" t="n">
        <f aca="false">filings!Q65/daily!$A65</f>
        <v>71.209064516129</v>
      </c>
      <c r="Q65" s="51" t="n">
        <f aca="false">filings!R65/daily!$A65</f>
        <v>64.6340967741936</v>
      </c>
      <c r="R65" s="51" t="n">
        <f aca="false">filings!S65/daily!$A65</f>
        <v>9.23622580645161</v>
      </c>
      <c r="S65" s="51" t="n">
        <f aca="false">Q65-R65</f>
        <v>55.3978709677419</v>
      </c>
      <c r="T65" s="26" t="n">
        <f aca="false">Q65/L65/1000000</f>
        <v>1.31906319947334</v>
      </c>
      <c r="U65" s="50" t="n">
        <f aca="false">N65/$T65/1000000</f>
        <v>5.0702992578071E-005</v>
      </c>
      <c r="V65" s="57" t="n">
        <f aca="false">P65/$T65/1000000</f>
        <v>5.39845737069768E-005</v>
      </c>
      <c r="W65" s="50" t="n">
        <f aca="false">M65+0.000041</f>
        <v>4.8E-005</v>
      </c>
      <c r="X65" s="51" t="n">
        <f aca="false">D65-filings!N65*C65*1000000</f>
        <v>46.3580387096774</v>
      </c>
      <c r="Y65" s="51" t="n">
        <f aca="false">0.000041*C65*1000000</f>
        <v>53.4513032258065</v>
      </c>
      <c r="Z65" s="0" t="n">
        <f aca="false">MONTH(B65)</f>
        <v>10</v>
      </c>
    </row>
    <row r="66" customFormat="false" ht="12.75" hidden="false" customHeight="false" outlineLevel="0" collapsed="false">
      <c r="A66" s="0" t="n">
        <f aca="false">DAY((B67-1))</f>
        <v>30</v>
      </c>
      <c r="B66" s="7" t="n">
        <v>35735</v>
      </c>
      <c r="C66" s="62" t="n">
        <f aca="false">(filings!C66+filings!D66)*filings!K66/daily!$A66/1000000</f>
        <v>1.39314066666667</v>
      </c>
      <c r="D66" s="51" t="n">
        <f aca="false">filings!$D66/daily!$A66</f>
        <v>49.1166666666667</v>
      </c>
      <c r="E66" s="51" t="n">
        <f aca="false">filings!E68/daily!$A66</f>
        <v>64.8061666666667</v>
      </c>
      <c r="F66" s="51" t="n">
        <f aca="false">filings!F68/daily!$A66</f>
        <v>70.5575666666667</v>
      </c>
      <c r="G66" s="51" t="n">
        <f aca="false">filings!G68/daily!$A66</f>
        <v>7.58333333333333</v>
      </c>
      <c r="H66" s="51" t="n">
        <f aca="false">filings!H68/daily!$A66</f>
        <v>-13.3347333333333</v>
      </c>
      <c r="I66" s="51" t="n">
        <f aca="false">filings!I66/daily!$A66</f>
        <v>65.6943333333333</v>
      </c>
      <c r="J66" s="58" t="n">
        <f aca="false">$D66/$C66/1000000</f>
        <v>3.52560712940689E-005</v>
      </c>
      <c r="K66" s="63" t="n">
        <f aca="false">$I66/$C66/1000000</f>
        <v>4.7155563616213E-005</v>
      </c>
      <c r="L66" s="64" t="n">
        <v>4.8E-005</v>
      </c>
      <c r="M66" s="56" t="n">
        <f aca="false">filings!N66</f>
        <v>7E-006</v>
      </c>
      <c r="N66" s="51" t="n">
        <f aca="false">filings!O66/daily!$A66</f>
        <v>68.5863333333333</v>
      </c>
      <c r="O66" s="51" t="n">
        <f aca="false">filings!P66/daily!$A66</f>
        <v>-1.97123333333333</v>
      </c>
      <c r="P66" s="51" t="n">
        <f aca="false">filings!Q66/daily!$A66</f>
        <v>66.6151</v>
      </c>
      <c r="Q66" s="51" t="n">
        <f aca="false">filings!R66/daily!$A66</f>
        <v>66.4728333333333</v>
      </c>
      <c r="R66" s="51" t="n">
        <f aca="false">filings!S66/daily!$A66</f>
        <v>9.44873333333333</v>
      </c>
      <c r="S66" s="51" t="n">
        <f aca="false">Q66-R66</f>
        <v>57.0241</v>
      </c>
      <c r="T66" s="26" t="n">
        <f aca="false">Q66/L66/1000000</f>
        <v>1.38485069444444</v>
      </c>
      <c r="U66" s="50" t="n">
        <f aca="false">N66/$T66/1000000</f>
        <v>4.95261573023566E-005</v>
      </c>
      <c r="V66" s="57" t="n">
        <f aca="false">P66/$T66/1000000</f>
        <v>4.81027306894797E-005</v>
      </c>
      <c r="W66" s="50" t="n">
        <f aca="false">M66+0.000041</f>
        <v>4.8E-005</v>
      </c>
      <c r="X66" s="51" t="n">
        <f aca="false">D66-filings!N66*C66*1000000</f>
        <v>39.364682</v>
      </c>
      <c r="Y66" s="51" t="n">
        <f aca="false">0.000041*C66*1000000</f>
        <v>57.1187673333333</v>
      </c>
      <c r="Z66" s="0" t="n">
        <f aca="false">MONTH(B66)</f>
        <v>11</v>
      </c>
    </row>
    <row r="67" customFormat="false" ht="12.75" hidden="false" customHeight="false" outlineLevel="0" collapsed="false">
      <c r="A67" s="0" t="n">
        <f aca="false">DAY((B68-1))</f>
        <v>31</v>
      </c>
      <c r="B67" s="7" t="n">
        <v>35765</v>
      </c>
      <c r="C67" s="62" t="n">
        <f aca="false">(filings!C67+filings!D67)*filings!K67/daily!$A67/1000000</f>
        <v>1.38932258064516</v>
      </c>
      <c r="D67" s="51" t="n">
        <f aca="false">filings!$D67/daily!$A67</f>
        <v>58.8709677419355</v>
      </c>
      <c r="E67" s="51" t="n">
        <f aca="false">filings!E69/daily!$A67</f>
        <v>62.3623225806452</v>
      </c>
      <c r="F67" s="51" t="n">
        <f aca="false">filings!F69/daily!$A67</f>
        <v>59.4968064516129</v>
      </c>
      <c r="G67" s="51" t="n">
        <f aca="false">filings!G69/daily!$A67</f>
        <v>8.51477419354839</v>
      </c>
      <c r="H67" s="51" t="n">
        <f aca="false">filings!H69/daily!$A67</f>
        <v>-5.64925806451613</v>
      </c>
      <c r="I67" s="51" t="n">
        <f aca="false">filings!I67/daily!$A67</f>
        <v>65.1988387096774</v>
      </c>
      <c r="J67" s="58" t="n">
        <f aca="false">$D67/$C67/1000000</f>
        <v>4.23738651930623E-005</v>
      </c>
      <c r="K67" s="59" t="n">
        <f aca="false">$I67/$C67/1000000</f>
        <v>4.69285100652441E-005</v>
      </c>
      <c r="L67" s="64" t="n">
        <v>4.8E-005</v>
      </c>
      <c r="M67" s="56" t="n">
        <f aca="false">filings!N67</f>
        <v>7E-006</v>
      </c>
      <c r="N67" s="51" t="n">
        <f aca="false">filings!O67/daily!$A67</f>
        <v>62.2303225806452</v>
      </c>
      <c r="O67" s="51" t="n">
        <f aca="false">filings!P67/daily!$A67</f>
        <v>2.73351612903226</v>
      </c>
      <c r="P67" s="51" t="n">
        <f aca="false">filings!Q67/daily!$A67</f>
        <v>64.9638387096774</v>
      </c>
      <c r="Q67" s="51" t="n">
        <f aca="false">filings!R67/daily!$A67</f>
        <v>64.2978064516129</v>
      </c>
      <c r="R67" s="51" t="n">
        <f aca="false">filings!S67/daily!$A67</f>
        <v>9.09241935483871</v>
      </c>
      <c r="S67" s="51" t="n">
        <f aca="false">Q67-R67</f>
        <v>55.2053870967742</v>
      </c>
      <c r="T67" s="26" t="n">
        <f aca="false">Q67/L67/1000000</f>
        <v>1.3395376344086</v>
      </c>
      <c r="U67" s="50" t="n">
        <f aca="false">N67/$T67/1000000</f>
        <v>4.64565690295962E-005</v>
      </c>
      <c r="V67" s="57" t="n">
        <f aca="false">P67/$T67/1000000</f>
        <v>4.84972105605369E-005</v>
      </c>
      <c r="W67" s="50" t="n">
        <f aca="false">M67+0.000041</f>
        <v>4.8E-005</v>
      </c>
      <c r="X67" s="51" t="n">
        <f aca="false">D67-filings!N67*C67*1000000</f>
        <v>49.1457096774194</v>
      </c>
      <c r="Y67" s="51" t="n">
        <f aca="false">0.000041*C67*1000000</f>
        <v>56.9622258064516</v>
      </c>
      <c r="Z67" s="0" t="n">
        <f aca="false">MONTH(B67)</f>
        <v>12</v>
      </c>
    </row>
    <row r="68" customFormat="false" ht="12.75" hidden="false" customHeight="false" outlineLevel="0" collapsed="false">
      <c r="A68" s="0" t="n">
        <f aca="false">DAY((B69-1))</f>
        <v>31</v>
      </c>
      <c r="B68" s="7" t="n">
        <v>35796</v>
      </c>
      <c r="C68" s="26" t="n">
        <f aca="false">(filings!C68+filings!D68)*filings!K68/daily!$A68/1000000</f>
        <v>1.34294193548387</v>
      </c>
      <c r="D68" s="51" t="n">
        <f aca="false">filings!$D68/daily!$A68</f>
        <v>50.3225806451613</v>
      </c>
      <c r="E68" s="51" t="n">
        <f aca="false">filings!E70/daily!$A68</f>
        <v>61.9102258064516</v>
      </c>
      <c r="F68" s="51" t="n">
        <f aca="false">filings!F70/daily!$A68</f>
        <v>60.6578709677419</v>
      </c>
      <c r="G68" s="51" t="n">
        <f aca="false">filings!G70/daily!$A68</f>
        <v>7.99732258064516</v>
      </c>
      <c r="H68" s="51" t="n">
        <f aca="false">filings!H70/daily!$A68</f>
        <v>-6.74496774193548</v>
      </c>
      <c r="I68" s="51" t="n">
        <f aca="false">filings!I68/daily!$A68</f>
        <v>63.2271612903226</v>
      </c>
      <c r="J68" s="58" t="n">
        <f aca="false">$D68/$C68/1000000</f>
        <v>3.74718960779415E-005</v>
      </c>
      <c r="K68" s="63" t="n">
        <f aca="false">$I68/$C68/1000000</f>
        <v>4.70810834182056E-005</v>
      </c>
      <c r="L68" s="64" t="n">
        <v>4.8E-005</v>
      </c>
      <c r="M68" s="56" t="n">
        <f aca="false">filings!N68</f>
        <v>7E-006</v>
      </c>
      <c r="N68" s="51" t="n">
        <f aca="false">filings!O68/daily!$A68</f>
        <v>57.434935483871</v>
      </c>
      <c r="O68" s="51" t="n">
        <f aca="false">filings!P68/daily!$A68</f>
        <v>-3.22293548387097</v>
      </c>
      <c r="P68" s="51" t="n">
        <f aca="false">filings!Q68/daily!$A68</f>
        <v>54.212</v>
      </c>
      <c r="Q68" s="51" t="n">
        <f aca="false">filings!R68/daily!$A68</f>
        <v>61.9102258064516</v>
      </c>
      <c r="R68" s="51" t="n">
        <f aca="false">filings!S68/daily!$A68</f>
        <v>9.02857459677419</v>
      </c>
      <c r="S68" s="51" t="n">
        <f aca="false">Q68-R68</f>
        <v>52.8816512096774</v>
      </c>
      <c r="T68" s="26" t="n">
        <f aca="false">Q68/L68/1000000</f>
        <v>1.28979637096774</v>
      </c>
      <c r="U68" s="50" t="n">
        <f aca="false">N68/$T68/1000000</f>
        <v>4.45302349864554E-005</v>
      </c>
      <c r="V68" s="57" t="n">
        <f aca="false">P68/$T68/1000000</f>
        <v>4.20314409470112E-005</v>
      </c>
      <c r="W68" s="50" t="n">
        <f aca="false">M68+0.000041</f>
        <v>4.8E-005</v>
      </c>
      <c r="X68" s="51" t="n">
        <f aca="false">D68-filings!N68*C68*1000000</f>
        <v>40.9219870967742</v>
      </c>
      <c r="Y68" s="51" t="n">
        <f aca="false">0.000041*C68*1000000</f>
        <v>55.0606193548387</v>
      </c>
      <c r="Z68" s="0" t="n">
        <f aca="false">MONTH(B68)</f>
        <v>1</v>
      </c>
    </row>
    <row r="69" customFormat="false" ht="12.75" hidden="false" customHeight="false" outlineLevel="0" collapsed="false">
      <c r="A69" s="0" t="n">
        <f aca="false">DAY((B70-1))</f>
        <v>28</v>
      </c>
      <c r="B69" s="7" t="n">
        <v>35827</v>
      </c>
      <c r="C69" s="62" t="n">
        <f aca="false">(filings!C69+filings!D69)*filings!K69/daily!$A69/1000000</f>
        <v>1.51004285714286</v>
      </c>
      <c r="D69" s="51" t="n">
        <f aca="false">filings!$D69/daily!$A69</f>
        <v>64.6428571428571</v>
      </c>
      <c r="E69" s="51" t="n">
        <f aca="false">filings!E71/daily!$A69</f>
        <v>64.4906071428571</v>
      </c>
      <c r="F69" s="51" t="n">
        <f aca="false">filings!F71/daily!$A69</f>
        <v>60.4587857142857</v>
      </c>
      <c r="G69" s="51" t="n">
        <f aca="false">filings!G71/daily!$A69</f>
        <v>8.55978571428572</v>
      </c>
      <c r="H69" s="51" t="n">
        <f aca="false">filings!H71/daily!$A69</f>
        <v>-4.52796428571428</v>
      </c>
      <c r="I69" s="51" t="n">
        <f aca="false">filings!I69/daily!$A69</f>
        <v>70.8973928571429</v>
      </c>
      <c r="J69" s="58" t="n">
        <f aca="false">$D69/$C69/1000000</f>
        <v>4.2808624163931E-005</v>
      </c>
      <c r="K69" s="63" t="n">
        <f aca="false">$I69/$C69/1000000</f>
        <v>4.69505832379403E-005</v>
      </c>
      <c r="L69" s="64" t="n">
        <v>4.8E-005</v>
      </c>
      <c r="M69" s="56" t="n">
        <f aca="false">filings!N69</f>
        <v>7E-006</v>
      </c>
      <c r="N69" s="51" t="n">
        <f aca="false">filings!O69/daily!$A69</f>
        <v>60.0907142857143</v>
      </c>
      <c r="O69" s="51" t="n">
        <f aca="false">filings!P69/daily!$A69</f>
        <v>-0.368071428571429</v>
      </c>
      <c r="P69" s="51" t="n">
        <f aca="false">filings!Q69/daily!$A69</f>
        <v>59.7226428571429</v>
      </c>
      <c r="Q69" s="51" t="n">
        <f aca="false">filings!R69/daily!$A69</f>
        <v>64.4906071428571</v>
      </c>
      <c r="R69" s="51" t="n">
        <f aca="false">filings!S69/daily!$A69</f>
        <v>9.40488020833333</v>
      </c>
      <c r="S69" s="51" t="n">
        <f aca="false">Q69-R69</f>
        <v>55.0857269345238</v>
      </c>
      <c r="T69" s="26" t="n">
        <f aca="false">Q69/L69/1000000</f>
        <v>1.34355431547619</v>
      </c>
      <c r="U69" s="50" t="n">
        <f aca="false">N69/$T69/1000000</f>
        <v>4.47251842322553E-005</v>
      </c>
      <c r="V69" s="57" t="n">
        <f aca="false">P69/$T69/1000000</f>
        <v>4.44512307163225E-005</v>
      </c>
      <c r="W69" s="50" t="n">
        <f aca="false">M69+0.000041</f>
        <v>4.8E-005</v>
      </c>
      <c r="X69" s="51" t="n">
        <f aca="false">D69-filings!N69*C69*1000000</f>
        <v>54.0725571428571</v>
      </c>
      <c r="Y69" s="51" t="n">
        <f aca="false">0.000041*C69*1000000</f>
        <v>61.9117571428571</v>
      </c>
      <c r="Z69" s="0" t="n">
        <f aca="false">MONTH(B69)</f>
        <v>2</v>
      </c>
    </row>
    <row r="70" customFormat="false" ht="12.75" hidden="false" customHeight="false" outlineLevel="0" collapsed="false">
      <c r="A70" s="0" t="n">
        <f aca="false">DAY((B71-1))</f>
        <v>31</v>
      </c>
      <c r="B70" s="7" t="n">
        <v>35855</v>
      </c>
      <c r="C70" s="62" t="n">
        <f aca="false">(filings!C70+filings!D70)*filings!K70/daily!$A70/1000000</f>
        <v>1.39141935483871</v>
      </c>
      <c r="D70" s="51" t="n">
        <f aca="false">filings!$D70/daily!$A70</f>
        <v>54.8387096774194</v>
      </c>
      <c r="E70" s="51" t="n">
        <f aca="false">filings!E72/daily!$A70</f>
        <v>62.0923225806452</v>
      </c>
      <c r="F70" s="51" t="n">
        <f aca="false">filings!F72/daily!$A70</f>
        <v>62.6591935483871</v>
      </c>
      <c r="G70" s="51" t="n">
        <f aca="false">filings!G72/daily!$A70</f>
        <v>8.02867741935484</v>
      </c>
      <c r="H70" s="51" t="n">
        <f aca="false">filings!H72/daily!$A70</f>
        <v>-8.59554838709677</v>
      </c>
      <c r="I70" s="51" t="n">
        <f aca="false">filings!I70/daily!$A70</f>
        <v>61.5836774193548</v>
      </c>
      <c r="J70" s="58" t="n">
        <f aca="false">$D70/$C70/1000000</f>
        <v>3.94120647285204E-005</v>
      </c>
      <c r="K70" s="59" t="n">
        <f aca="false">$I70/$C70/1000000</f>
        <v>4.42596095887235E-005</v>
      </c>
      <c r="L70" s="64" t="n">
        <v>4.5E-005</v>
      </c>
      <c r="M70" s="56" t="n">
        <f aca="false">filings!N70</f>
        <v>7E-006</v>
      </c>
      <c r="N70" s="51" t="n">
        <f aca="false">filings!O70/daily!$A70</f>
        <v>64.0927419354839</v>
      </c>
      <c r="O70" s="51" t="n">
        <f aca="false">filings!P70/daily!$A70</f>
        <v>-1.43354838709677</v>
      </c>
      <c r="P70" s="51" t="n">
        <f aca="false">filings!Q70/daily!$A70</f>
        <v>62.6591935483871</v>
      </c>
      <c r="Q70" s="51" t="n">
        <f aca="false">filings!R70/daily!$A70</f>
        <v>62.0923225806452</v>
      </c>
      <c r="R70" s="51" t="n">
        <f aca="false">filings!S70/daily!$A70</f>
        <v>9.65880573476703</v>
      </c>
      <c r="S70" s="51" t="n">
        <f aca="false">Q70-R70</f>
        <v>52.4335168458781</v>
      </c>
      <c r="T70" s="26" t="n">
        <f aca="false">Q70/L70/1000000</f>
        <v>1.379829390681</v>
      </c>
      <c r="U70" s="50" t="n">
        <f aca="false">N70/$T70/1000000</f>
        <v>4.64497584761921E-005</v>
      </c>
      <c r="V70" s="57" t="n">
        <f aca="false">P70/$T70/1000000</f>
        <v>4.5410826854081E-005</v>
      </c>
      <c r="W70" s="50" t="n">
        <f aca="false">M70+0.000041</f>
        <v>4.8E-005</v>
      </c>
      <c r="X70" s="51" t="n">
        <f aca="false">D70-filings!N70*C70*1000000</f>
        <v>45.0987741935484</v>
      </c>
      <c r="Y70" s="51" t="n">
        <f aca="false">0.000041*C70*1000000</f>
        <v>57.0481935483871</v>
      </c>
      <c r="Z70" s="0" t="n">
        <f aca="false">MONTH(B70)</f>
        <v>3</v>
      </c>
    </row>
    <row r="71" customFormat="false" ht="12.75" hidden="false" customHeight="false" outlineLevel="0" collapsed="false">
      <c r="A71" s="0" t="n">
        <f aca="false">DAY((B72-1))</f>
        <v>30</v>
      </c>
      <c r="B71" s="7" t="n">
        <v>35886</v>
      </c>
      <c r="C71" s="26" t="n">
        <f aca="false">(filings!C71+filings!D71)*filings!K71/daily!$A71/1000000</f>
        <v>1.34463333333333</v>
      </c>
      <c r="D71" s="51" t="n">
        <f aca="false">filings!$D71/daily!$A71</f>
        <v>52.5</v>
      </c>
      <c r="E71" s="51" t="n">
        <f aca="false">filings!E73/daily!$A71</f>
        <v>58.3919333333333</v>
      </c>
      <c r="F71" s="51" t="n">
        <f aca="false">filings!F73/daily!$A71</f>
        <v>65.2796</v>
      </c>
      <c r="G71" s="51" t="n">
        <f aca="false">filings!G73/daily!$A71</f>
        <v>8.30233333333333</v>
      </c>
      <c r="H71" s="51" t="n">
        <f aca="false">filings!H73/daily!$A71</f>
        <v>-15.19</v>
      </c>
      <c r="I71" s="51" t="n">
        <f aca="false">filings!I71/daily!$A71</f>
        <v>56.7261</v>
      </c>
      <c r="J71" s="58" t="n">
        <f aca="false">$D71/$C71/1000000</f>
        <v>3.90441012419743E-005</v>
      </c>
      <c r="K71" s="59" t="n">
        <f aca="false">$I71/$C71/1000000</f>
        <v>4.21870398373782E-005</v>
      </c>
      <c r="L71" s="64" t="n">
        <v>4.3E-005</v>
      </c>
      <c r="M71" s="56" t="n">
        <f aca="false">filings!N71</f>
        <v>7E-006</v>
      </c>
      <c r="N71" s="51" t="n">
        <f aca="false">filings!O71/daily!$A71</f>
        <v>64.7378333333333</v>
      </c>
      <c r="O71" s="51" t="n">
        <f aca="false">filings!P71/daily!$A71</f>
        <v>0.541766666666667</v>
      </c>
      <c r="P71" s="51" t="n">
        <f aca="false">filings!Q71/daily!$A71</f>
        <v>65.2796</v>
      </c>
      <c r="Q71" s="51" t="n">
        <f aca="false">filings!R71/daily!$A71</f>
        <v>58.3919333333333</v>
      </c>
      <c r="R71" s="51" t="n">
        <f aca="false">filings!S71/daily!$A71</f>
        <v>9.50566356589147</v>
      </c>
      <c r="S71" s="51" t="n">
        <f aca="false">Q71-R71</f>
        <v>48.8862697674419</v>
      </c>
      <c r="T71" s="26" t="n">
        <f aca="false">Q71/L71/1000000</f>
        <v>1.3579519379845</v>
      </c>
      <c r="U71" s="50" t="n">
        <f aca="false">N71/$T71/1000000</f>
        <v>4.76731403538617E-005</v>
      </c>
      <c r="V71" s="57" t="n">
        <f aca="false">P71/$T71/1000000</f>
        <v>4.8072098999976E-005</v>
      </c>
      <c r="W71" s="50" t="n">
        <f aca="false">M71+0.000041</f>
        <v>4.8E-005</v>
      </c>
      <c r="X71" s="51" t="n">
        <f aca="false">D71-filings!N71*C71*1000000</f>
        <v>43.0875666666667</v>
      </c>
      <c r="Y71" s="51" t="n">
        <f aca="false">0.000041*C71*1000000</f>
        <v>55.1299666666667</v>
      </c>
      <c r="Z71" s="0" t="n">
        <f aca="false">MONTH(B71)</f>
        <v>4</v>
      </c>
    </row>
    <row r="72" customFormat="false" ht="12.75" hidden="false" customHeight="false" outlineLevel="0" collapsed="false">
      <c r="A72" s="0" t="n">
        <f aca="false">DAY((B73-1))</f>
        <v>31</v>
      </c>
      <c r="B72" s="7" t="n">
        <v>35916</v>
      </c>
      <c r="C72" s="62" t="n">
        <f aca="false">(filings!C72+filings!D72)*filings!K72/daily!$A72/1000000</f>
        <v>1.39536129032258</v>
      </c>
      <c r="D72" s="51" t="n">
        <f aca="false">filings!$D72/daily!$A72</f>
        <v>51.6129032258065</v>
      </c>
      <c r="E72" s="51" t="n">
        <f aca="false">filings!E74/daily!$A72</f>
        <v>56.8934516129032</v>
      </c>
      <c r="F72" s="51" t="n">
        <f aca="false">filings!F74/daily!$A72</f>
        <v>64.3853870967742</v>
      </c>
      <c r="G72" s="51" t="n">
        <f aca="false">filings!G74/daily!$A72</f>
        <v>7.69793548387097</v>
      </c>
      <c r="H72" s="51" t="n">
        <f aca="false">filings!H74/daily!$A72</f>
        <v>-15.1898709677419</v>
      </c>
      <c r="I72" s="51" t="n">
        <f aca="false">filings!I72/daily!$A72</f>
        <v>60.2084516129032</v>
      </c>
      <c r="J72" s="58" t="n">
        <f aca="false">$D72/$C72/1000000</f>
        <v>3.69889171956852E-005</v>
      </c>
      <c r="K72" s="59" t="n">
        <f aca="false">$I72/$C72/1000000</f>
        <v>4.31490052293082E-005</v>
      </c>
      <c r="L72" s="64" t="n">
        <v>4.4E-005</v>
      </c>
      <c r="M72" s="56" t="n">
        <f aca="false">filings!N72</f>
        <v>7E-006</v>
      </c>
      <c r="N72" s="51" t="n">
        <f aca="false">filings!O72/daily!$A72</f>
        <v>57.6197741935484</v>
      </c>
      <c r="O72" s="51" t="n">
        <f aca="false">filings!P72/daily!$A72</f>
        <v>6.76561290322581</v>
      </c>
      <c r="P72" s="51" t="n">
        <f aca="false">filings!Q72/daily!$A72</f>
        <v>64.3853870967742</v>
      </c>
      <c r="Q72" s="51" t="n">
        <f aca="false">filings!R72/daily!$A72</f>
        <v>56.8934516129032</v>
      </c>
      <c r="R72" s="51" t="n">
        <f aca="false">filings!S72/daily!$A72</f>
        <v>9.05123093841642</v>
      </c>
      <c r="S72" s="51" t="n">
        <f aca="false">Q72-R72</f>
        <v>47.8422206744868</v>
      </c>
      <c r="T72" s="26" t="n">
        <f aca="false">Q72/L72/1000000</f>
        <v>1.29303299120235</v>
      </c>
      <c r="U72" s="50" t="n">
        <f aca="false">N72/$T72/1000000</f>
        <v>4.45617200686966E-005</v>
      </c>
      <c r="V72" s="57" t="n">
        <f aca="false">P72/$T72/1000000</f>
        <v>4.9794079141712E-005</v>
      </c>
      <c r="W72" s="50" t="n">
        <f aca="false">M72+0.000041</f>
        <v>4.8E-005</v>
      </c>
      <c r="X72" s="51" t="n">
        <f aca="false">D72-filings!N72*C72*1000000</f>
        <v>41.8453741935484</v>
      </c>
      <c r="Y72" s="51" t="n">
        <f aca="false">0.000041*C72*1000000</f>
        <v>57.2098129032258</v>
      </c>
      <c r="Z72" s="0" t="n">
        <f aca="false">MONTH(B72)</f>
        <v>5</v>
      </c>
    </row>
    <row r="73" customFormat="false" ht="12.75" hidden="false" customHeight="false" outlineLevel="0" collapsed="false">
      <c r="A73" s="0" t="n">
        <f aca="false">DAY((B74-1))</f>
        <v>30</v>
      </c>
      <c r="B73" s="7" t="n">
        <v>35947</v>
      </c>
      <c r="C73" s="62" t="n">
        <f aca="false">(filings!C73+filings!D73)*filings!K73/daily!$A73/1000000</f>
        <v>1.52585333333333</v>
      </c>
      <c r="D73" s="51" t="n">
        <f aca="false">filings!$D73/daily!$A73</f>
        <v>51</v>
      </c>
      <c r="E73" s="51" t="n">
        <f aca="false">filings!E75/daily!$A73</f>
        <v>58.0861666666667</v>
      </c>
      <c r="F73" s="51" t="n">
        <f aca="false">filings!F75/daily!$A73</f>
        <v>53.0462666666667</v>
      </c>
      <c r="G73" s="51" t="n">
        <f aca="false">filings!G75/daily!$A73</f>
        <v>8.75</v>
      </c>
      <c r="H73" s="51" t="n">
        <f aca="false">filings!H75/daily!$A73</f>
        <v>-3.7101</v>
      </c>
      <c r="I73" s="51" t="n">
        <f aca="false">filings!I73/daily!$A73</f>
        <v>66.19</v>
      </c>
      <c r="J73" s="58" t="n">
        <f aca="false">$D73/$C73/1000000</f>
        <v>3.34239201670759E-005</v>
      </c>
      <c r="K73" s="59" t="n">
        <f aca="false">$I73/$C73/1000000</f>
        <v>4.33790054089952E-005</v>
      </c>
      <c r="L73" s="64" t="n">
        <v>4.4E-005</v>
      </c>
      <c r="M73" s="56" t="n">
        <f aca="false">filings!N73</f>
        <v>7E-006</v>
      </c>
      <c r="N73" s="51" t="n">
        <f aca="false">filings!O73/daily!$A73</f>
        <v>54.6791333333333</v>
      </c>
      <c r="O73" s="51" t="n">
        <f aca="false">filings!P73/daily!$A73</f>
        <v>-1.63286666666667</v>
      </c>
      <c r="P73" s="51" t="n">
        <f aca="false">filings!Q73/daily!$A73</f>
        <v>53.0462666666667</v>
      </c>
      <c r="Q73" s="51" t="n">
        <f aca="false">filings!R73/daily!$A73</f>
        <v>58.0861666666667</v>
      </c>
      <c r="R73" s="51" t="n">
        <f aca="false">filings!S73/daily!$A73</f>
        <v>9.24098106060606</v>
      </c>
      <c r="S73" s="51" t="n">
        <f aca="false">Q73-R73</f>
        <v>48.8451856060606</v>
      </c>
      <c r="T73" s="26" t="n">
        <f aca="false">Q73/L73/1000000</f>
        <v>1.32014015151515</v>
      </c>
      <c r="U73" s="50" t="n">
        <f aca="false">N73/$T73/1000000</f>
        <v>4.14191881601184E-005</v>
      </c>
      <c r="V73" s="57" t="n">
        <f aca="false">P73/$T73/1000000</f>
        <v>4.01822992852572E-005</v>
      </c>
      <c r="W73" s="50" t="n">
        <f aca="false">M73+0.000041</f>
        <v>4.8E-005</v>
      </c>
      <c r="X73" s="51" t="n">
        <f aca="false">D73-filings!N73*C73*1000000</f>
        <v>40.3190266666667</v>
      </c>
      <c r="Y73" s="51" t="n">
        <f aca="false">0.000041*C73*1000000</f>
        <v>62.5599866666667</v>
      </c>
      <c r="Z73" s="0" t="n">
        <f aca="false">MONTH(B73)</f>
        <v>6</v>
      </c>
    </row>
    <row r="74" customFormat="false" ht="12.75" hidden="false" customHeight="false" outlineLevel="0" collapsed="false">
      <c r="A74" s="0" t="n">
        <f aca="false">DAY((B75-1))</f>
        <v>31</v>
      </c>
      <c r="B74" s="7" t="n">
        <v>35977</v>
      </c>
      <c r="C74" s="62" t="n">
        <f aca="false">(filings!C74+filings!D74)*filings!K74/daily!$A74/1000000</f>
        <v>1.47025806451613</v>
      </c>
      <c r="D74" s="51" t="n">
        <f aca="false">filings!$D74/daily!$A74</f>
        <v>48.3870967741936</v>
      </c>
      <c r="E74" s="51" t="n">
        <f aca="false">filings!E76/daily!$A74</f>
        <v>58.0244193548387</v>
      </c>
      <c r="F74" s="51" t="n">
        <f aca="false">filings!F76/daily!$A74</f>
        <v>65.5412903225807</v>
      </c>
      <c r="G74" s="51" t="n">
        <f aca="false">filings!G76/daily!$A74</f>
        <v>7.69793548387097</v>
      </c>
      <c r="H74" s="51" t="n">
        <f aca="false">filings!H76/daily!$A74</f>
        <v>-15.2148064516129</v>
      </c>
      <c r="I74" s="51" t="n">
        <f aca="false">filings!I74/daily!$A74</f>
        <v>63.5769677419355</v>
      </c>
      <c r="J74" s="58" t="n">
        <f aca="false">$D74/$C74/1000000</f>
        <v>3.29106147702839E-005</v>
      </c>
      <c r="K74" s="59" t="n">
        <f aca="false">$I74/$C74/1000000</f>
        <v>4.32420466014305E-005</v>
      </c>
      <c r="L74" s="64" t="n">
        <v>4.4E-005</v>
      </c>
      <c r="M74" s="56" t="n">
        <f aca="false">filings!N74</f>
        <v>7E-006</v>
      </c>
      <c r="N74" s="51" t="n">
        <f aca="false">filings!O74/daily!$A74</f>
        <v>62.1944838709677</v>
      </c>
      <c r="O74" s="51" t="n">
        <f aca="false">filings!P74/daily!$A74</f>
        <v>3.3468064516129</v>
      </c>
      <c r="P74" s="51" t="n">
        <f aca="false">filings!Q74/daily!$A74</f>
        <v>65.5412903225807</v>
      </c>
      <c r="Q74" s="51" t="n">
        <f aca="false">filings!R74/daily!$A74</f>
        <v>58.0244193548387</v>
      </c>
      <c r="R74" s="51" t="n">
        <f aca="false">filings!S74/daily!$A74</f>
        <v>9.23167741935484</v>
      </c>
      <c r="S74" s="51" t="n">
        <f aca="false">Q74-R74</f>
        <v>48.7927419354839</v>
      </c>
      <c r="T74" s="26" t="n">
        <f aca="false">Q74/L74/1000000</f>
        <v>1.31873680351906</v>
      </c>
      <c r="U74" s="50" t="n">
        <f aca="false">N74/$T74/1000000</f>
        <v>4.71621658734337E-005</v>
      </c>
      <c r="V74" s="57" t="n">
        <f aca="false">P74/$T74/1000000</f>
        <v>4.97000539817218E-005</v>
      </c>
      <c r="W74" s="50" t="n">
        <f aca="false">M74+0.000041</f>
        <v>4.8E-005</v>
      </c>
      <c r="X74" s="51" t="n">
        <f aca="false">D74-filings!N74*C74*1000000</f>
        <v>38.0952903225807</v>
      </c>
      <c r="Y74" s="51" t="n">
        <f aca="false">0.000041*C74*1000000</f>
        <v>60.2805806451613</v>
      </c>
      <c r="Z74" s="0" t="n">
        <f aca="false">MONTH(B74)</f>
        <v>7</v>
      </c>
    </row>
    <row r="75" customFormat="false" ht="12.75" hidden="false" customHeight="false" outlineLevel="0" collapsed="false">
      <c r="A75" s="0" t="n">
        <f aca="false">DAY((B76-1))</f>
        <v>31</v>
      </c>
      <c r="B75" s="7" t="n">
        <v>36008</v>
      </c>
      <c r="C75" s="26" t="n">
        <f aca="false">(filings!C75+filings!D75)*filings!K75/daily!$A75/1000000</f>
        <v>1.21109677419355</v>
      </c>
      <c r="D75" s="51" t="n">
        <f aca="false">filings!$D75/daily!$A75</f>
        <v>53.2258064516129</v>
      </c>
      <c r="E75" s="51" t="n">
        <f aca="false">filings!E77/daily!$A75</f>
        <v>62.8208064516129</v>
      </c>
      <c r="F75" s="51" t="n">
        <f aca="false">filings!F77/daily!$A75</f>
        <v>62.2203225806452</v>
      </c>
      <c r="G75" s="51" t="n">
        <f aca="false">filings!G77/daily!$A75</f>
        <v>7.9738064516129</v>
      </c>
      <c r="H75" s="51" t="n">
        <f aca="false">filings!H77/daily!$A75</f>
        <v>-7.37332258064516</v>
      </c>
      <c r="I75" s="51" t="n">
        <f aca="false">filings!I75/daily!$A75</f>
        <v>56.8162258064516</v>
      </c>
      <c r="J75" s="58" t="n">
        <f aca="false">$D75/$C75/1000000</f>
        <v>4.39484338376305E-005</v>
      </c>
      <c r="K75" s="63" t="n">
        <f aca="false">$I75/$C75/1000000</f>
        <v>4.69130353718304E-005</v>
      </c>
      <c r="L75" s="64" t="n">
        <v>4.8E-005</v>
      </c>
      <c r="M75" s="56" t="n">
        <f aca="false">filings!N75</f>
        <v>7E-006</v>
      </c>
      <c r="N75" s="51" t="n">
        <f aca="false">filings!O75/daily!$A75</f>
        <v>62.5502258064516</v>
      </c>
      <c r="O75" s="51" t="n">
        <f aca="false">filings!P75/daily!$A75</f>
        <v>-0.329903225806452</v>
      </c>
      <c r="P75" s="51" t="n">
        <f aca="false">filings!Q75/daily!$A75</f>
        <v>62.2203225806452</v>
      </c>
      <c r="Q75" s="51" t="n">
        <f aca="false">filings!R75/daily!$A75</f>
        <v>62.8208064516129</v>
      </c>
      <c r="R75" s="51" t="n">
        <f aca="false">filings!S75/daily!$A75</f>
        <v>9.15925806451613</v>
      </c>
      <c r="S75" s="51" t="n">
        <f aca="false">Q75-R75</f>
        <v>53.6615483870968</v>
      </c>
      <c r="T75" s="26" t="n">
        <f aca="false">Q75/L75/1000000</f>
        <v>1.30876680107527</v>
      </c>
      <c r="U75" s="50" t="n">
        <f aca="false">N75/$T75/1000000</f>
        <v>4.77932552652322E-005</v>
      </c>
      <c r="V75" s="57" t="n">
        <f aca="false">P75/$T75/1000000</f>
        <v>4.75411834480563E-005</v>
      </c>
      <c r="W75" s="50" t="n">
        <f aca="false">M75+0.000041</f>
        <v>4.8E-005</v>
      </c>
      <c r="X75" s="51" t="n">
        <f aca="false">D75-filings!N75*C75*1000000</f>
        <v>44.7481290322581</v>
      </c>
      <c r="Y75" s="51" t="n">
        <f aca="false">0.000041*C75*1000000</f>
        <v>49.6549677419355</v>
      </c>
      <c r="Z75" s="0" t="n">
        <f aca="false">MONTH(B75)</f>
        <v>8</v>
      </c>
    </row>
    <row r="76" customFormat="false" ht="12.75" hidden="false" customHeight="false" outlineLevel="0" collapsed="false">
      <c r="A76" s="0" t="n">
        <f aca="false">DAY((B77-1))</f>
        <v>30</v>
      </c>
      <c r="B76" s="7" t="n">
        <v>36039</v>
      </c>
      <c r="C76" s="62" t="n">
        <f aca="false">(filings!C76+filings!D76)*filings!K76/daily!$A76/1000000</f>
        <v>1.39446666666667</v>
      </c>
      <c r="D76" s="51" t="n">
        <f aca="false">filings!$D76/daily!$A76</f>
        <v>50</v>
      </c>
      <c r="E76" s="51" t="n">
        <f aca="false">filings!E78/daily!$A76</f>
        <v>64.241</v>
      </c>
      <c r="F76" s="51" t="n">
        <f aca="false">filings!F78/daily!$A76</f>
        <v>66.3349</v>
      </c>
      <c r="G76" s="51" t="n">
        <f aca="false">filings!G78/daily!$A76</f>
        <v>7.77776666666667</v>
      </c>
      <c r="H76" s="51" t="n">
        <f aca="false">filings!H78/daily!$A76</f>
        <v>-9.87166666666667</v>
      </c>
      <c r="I76" s="51" t="n">
        <f aca="false">filings!I76/daily!$A76</f>
        <v>65.7219666666667</v>
      </c>
      <c r="J76" s="58" t="n">
        <f aca="false">$D76/$C76/1000000</f>
        <v>3.58560022947841E-005</v>
      </c>
      <c r="K76" s="63" t="n">
        <f aca="false">$I76/$C76/1000000</f>
        <v>4.71305397523545E-005</v>
      </c>
      <c r="L76" s="64" t="n">
        <v>4.8E-005</v>
      </c>
      <c r="M76" s="56" t="n">
        <f aca="false">filings!N76</f>
        <v>7E-006</v>
      </c>
      <c r="N76" s="51" t="n">
        <f aca="false">filings!O76/daily!$A76</f>
        <v>64.6477333333333</v>
      </c>
      <c r="O76" s="51" t="n">
        <f aca="false">filings!P76/daily!$A76</f>
        <v>7.36676666666667</v>
      </c>
      <c r="P76" s="51" t="n">
        <f aca="false">filings!Q76/daily!$A76</f>
        <v>72.0145</v>
      </c>
      <c r="Q76" s="51" t="n">
        <f aca="false">filings!R76/daily!$A76</f>
        <v>64.241</v>
      </c>
      <c r="R76" s="51" t="n">
        <f aca="false">filings!S76/daily!$A76</f>
        <v>9.36633333333333</v>
      </c>
      <c r="S76" s="51" t="n">
        <f aca="false">Q76-R76</f>
        <v>54.8746666666667</v>
      </c>
      <c r="T76" s="26" t="n">
        <f aca="false">Q76/L76/1000000</f>
        <v>1.33835416666667</v>
      </c>
      <c r="U76" s="50" t="n">
        <f aca="false">N76/$T76/1000000</f>
        <v>4.83039056054545E-005</v>
      </c>
      <c r="V76" s="57" t="n">
        <f aca="false">P76/$T76/1000000</f>
        <v>5.38082532961816E-005</v>
      </c>
      <c r="W76" s="50" t="n">
        <f aca="false">M76+0.000041</f>
        <v>4.8E-005</v>
      </c>
      <c r="X76" s="51" t="n">
        <f aca="false">D76-filings!N76*C76*1000000</f>
        <v>40.2387333333333</v>
      </c>
      <c r="Y76" s="51" t="n">
        <f aca="false">0.000041*C76*1000000</f>
        <v>57.1731333333333</v>
      </c>
      <c r="Z76" s="0" t="n">
        <f aca="false">MONTH(B76)</f>
        <v>9</v>
      </c>
    </row>
    <row r="77" customFormat="false" ht="12.75" hidden="false" customHeight="false" outlineLevel="0" collapsed="false">
      <c r="A77" s="0" t="n">
        <f aca="false">DAY((B78-1))</f>
        <v>31</v>
      </c>
      <c r="B77" s="7" t="n">
        <v>36069</v>
      </c>
      <c r="C77" s="26" t="n">
        <f aca="false">(filings!C77+filings!D77)*filings!K77/daily!$A77/1000000</f>
        <v>1.32256464516129</v>
      </c>
      <c r="D77" s="51" t="n">
        <f aca="false">filings!$D77/daily!$A77</f>
        <v>54.6774193548387</v>
      </c>
      <c r="E77" s="51" t="n">
        <f aca="false">filings!E79/daily!$A77</f>
        <v>61.9472903225806</v>
      </c>
      <c r="F77" s="51" t="n">
        <f aca="false">filings!F79/daily!$A77</f>
        <v>48.4498387096774</v>
      </c>
      <c r="G77" s="51" t="n">
        <f aca="false">filings!G79/daily!$A77</f>
        <v>9.17338709677419</v>
      </c>
      <c r="H77" s="51" t="n">
        <f aca="false">filings!H79/daily!$A77</f>
        <v>4.32406451612903</v>
      </c>
      <c r="I77" s="51" t="n">
        <f aca="false">filings!I77/daily!$A77</f>
        <v>62.0507419354839</v>
      </c>
      <c r="J77" s="58" t="n">
        <f aca="false">$D77/$C77/1000000</f>
        <v>4.13419635515591E-005</v>
      </c>
      <c r="K77" s="59" t="n">
        <f aca="false">$I77/$C77/1000000</f>
        <v>4.69169822151995E-005</v>
      </c>
      <c r="L77" s="64" t="n">
        <v>4.8E-005</v>
      </c>
      <c r="M77" s="56" t="n">
        <f aca="false">filings!N77</f>
        <v>7E-006</v>
      </c>
      <c r="N77" s="51" t="n">
        <f aca="false">filings!O77/daily!$A77</f>
        <v>59.8452903225806</v>
      </c>
      <c r="O77" s="51" t="n">
        <f aca="false">filings!P77/daily!$A77</f>
        <v>-11.3954516129032</v>
      </c>
      <c r="P77" s="51" t="n">
        <f aca="false">filings!Q77/daily!$A77</f>
        <v>48.4498387096774</v>
      </c>
      <c r="Q77" s="51" t="n">
        <f aca="false">filings!R77/daily!$A77</f>
        <v>61.9472903225806</v>
      </c>
      <c r="R77" s="51" t="n">
        <f aca="false">filings!S77/daily!$A77</f>
        <v>9.03190322580645</v>
      </c>
      <c r="S77" s="51" t="n">
        <f aca="false">Q77-R77</f>
        <v>52.9153870967742</v>
      </c>
      <c r="T77" s="26" t="n">
        <f aca="false">Q77/L77/1000000</f>
        <v>1.2905685483871</v>
      </c>
      <c r="U77" s="50" t="n">
        <f aca="false">N77/$T77/1000000</f>
        <v>4.63712604784713E-005</v>
      </c>
      <c r="V77" s="57" t="n">
        <f aca="false">P77/$T77/1000000</f>
        <v>3.75414686575372E-005</v>
      </c>
      <c r="W77" s="50" t="n">
        <f aca="false">M77+0.000041</f>
        <v>4.8E-005</v>
      </c>
      <c r="X77" s="51" t="n">
        <f aca="false">D77-filings!N77*C77*1000000</f>
        <v>45.4194668387097</v>
      </c>
      <c r="Y77" s="51" t="n">
        <f aca="false">0.000041*C77*1000000</f>
        <v>54.2251504516129</v>
      </c>
      <c r="Z77" s="0" t="n">
        <f aca="false">MONTH(B77)</f>
        <v>10</v>
      </c>
    </row>
    <row r="78" customFormat="false" ht="12.75" hidden="false" customHeight="false" outlineLevel="0" collapsed="false">
      <c r="A78" s="0" t="n">
        <f aca="false">DAY((B79-1))</f>
        <v>30</v>
      </c>
      <c r="B78" s="7" t="n">
        <v>36100</v>
      </c>
      <c r="C78" s="26" t="n">
        <f aca="false">(filings!C78+filings!D78)*filings!K78/daily!$A78/1000000</f>
        <v>1.34506666666667</v>
      </c>
      <c r="D78" s="51" t="n">
        <f aca="false">filings!$D78/daily!$A78</f>
        <v>53.3333333333333</v>
      </c>
      <c r="E78" s="51" t="n">
        <f aca="false">filings!E80/daily!$A78</f>
        <v>63.5882333333333</v>
      </c>
      <c r="F78" s="51" t="n">
        <f aca="false">filings!F80/daily!$A78</f>
        <v>56.4468</v>
      </c>
      <c r="G78" s="51" t="n">
        <f aca="false">filings!G80/daily!$A78</f>
        <v>9.1146</v>
      </c>
      <c r="H78" s="51" t="n">
        <f aca="false">filings!H80/daily!$A78</f>
        <v>-1.97316666666667</v>
      </c>
      <c r="I78" s="51" t="n">
        <f aca="false">filings!I78/daily!$A78</f>
        <v>63.205</v>
      </c>
      <c r="J78" s="58" t="n">
        <f aca="false">$D78/$C78/1000000</f>
        <v>3.96510705789056E-005</v>
      </c>
      <c r="K78" s="59" t="n">
        <f aca="false">$I78/$C78/1000000</f>
        <v>4.69902359238699E-005</v>
      </c>
      <c r="L78" s="64" t="n">
        <v>4.8E-005</v>
      </c>
      <c r="M78" s="56" t="n">
        <f aca="false">filings!N78</f>
        <v>7E-006</v>
      </c>
      <c r="N78" s="51" t="n">
        <f aca="false">filings!O78/daily!$A78</f>
        <v>59.755</v>
      </c>
      <c r="O78" s="51" t="n">
        <f aca="false">filings!P78/daily!$A78</f>
        <v>-2.43346666666667</v>
      </c>
      <c r="P78" s="66" t="n">
        <f aca="false">filings!Q78/daily!$A78</f>
        <v>57.3215333333333</v>
      </c>
      <c r="Q78" s="51" t="n">
        <f aca="false">filings!R78/daily!$A78</f>
        <v>63.5882333333333</v>
      </c>
      <c r="R78" s="51" t="n">
        <f aca="false">filings!S78/daily!$A78</f>
        <v>9.27116666666667</v>
      </c>
      <c r="S78" s="51" t="n">
        <f aca="false">Q78-R78</f>
        <v>54.3170666666667</v>
      </c>
      <c r="T78" s="26" t="n">
        <f aca="false">Q78/L78/1000000</f>
        <v>1.32475486111111</v>
      </c>
      <c r="U78" s="50" t="n">
        <f aca="false">N78/$T78/1000000</f>
        <v>4.51064583751606E-005</v>
      </c>
      <c r="V78" s="57" t="n">
        <f aca="false">P78/$T78/1000000</f>
        <v>4.32695399096374E-005</v>
      </c>
      <c r="W78" s="50" t="n">
        <f aca="false">M78+0.000041</f>
        <v>4.8E-005</v>
      </c>
      <c r="X78" s="51" t="n">
        <f aca="false">D78-filings!N78*C78*1000000</f>
        <v>43.9178666666667</v>
      </c>
      <c r="Y78" s="51" t="n">
        <f aca="false">0.000041*C78*1000000</f>
        <v>55.1477333333333</v>
      </c>
      <c r="Z78" s="0" t="n">
        <f aca="false">MONTH(B78)</f>
        <v>11</v>
      </c>
    </row>
    <row r="79" customFormat="false" ht="12.75" hidden="false" customHeight="false" outlineLevel="0" collapsed="false">
      <c r="A79" s="0" t="n">
        <f aca="false">DAY((B80-1))</f>
        <v>31</v>
      </c>
      <c r="B79" s="7" t="n">
        <v>36130</v>
      </c>
      <c r="C79" s="26" t="n">
        <f aca="false">(filings!C79+filings!D79)*filings!K79/daily!$A79/1000000</f>
        <v>1.248</v>
      </c>
      <c r="D79" s="51" t="n">
        <f aca="false">filings!$D79/daily!$A79</f>
        <v>62.9032258064516</v>
      </c>
      <c r="E79" s="51" t="n">
        <f aca="false">filings!E81/daily!$A79</f>
        <v>63.5537419354839</v>
      </c>
      <c r="F79" s="51" t="n">
        <f aca="false">filings!F81/daily!$A79</f>
        <v>56.2344838709677</v>
      </c>
      <c r="G79" s="51" t="n">
        <f aca="false">filings!G81/daily!$A79</f>
        <v>6.84477419354839</v>
      </c>
      <c r="H79" s="51" t="n">
        <f aca="false">filings!H81/daily!$A79</f>
        <v>0.47448387096774</v>
      </c>
      <c r="I79" s="51" t="n">
        <f aca="false">filings!I79/daily!$A79</f>
        <v>58.5791612903226</v>
      </c>
      <c r="J79" s="58" t="n">
        <f aca="false">$D79/$C79/1000000</f>
        <v>5.04032258064516E-005</v>
      </c>
      <c r="K79" s="63" t="n">
        <f aca="false">$I79/$C79/1000000</f>
        <v>4.69384305210918E-005</v>
      </c>
      <c r="L79" s="64" t="n">
        <v>4.8E-005</v>
      </c>
      <c r="M79" s="56" t="n">
        <f aca="false">filings!N79</f>
        <v>7E-006</v>
      </c>
      <c r="N79" s="51" t="n">
        <f aca="false">filings!O79/daily!$A79</f>
        <v>58.43</v>
      </c>
      <c r="O79" s="51" t="n">
        <f aca="false">filings!P79/daily!$A79</f>
        <v>-2.19551612903226</v>
      </c>
      <c r="P79" s="51" t="n">
        <f aca="false">filings!Q79/daily!$A79</f>
        <v>56.2344838709677</v>
      </c>
      <c r="Q79" s="51" t="n">
        <f aca="false">filings!R79/daily!$A79</f>
        <v>63.5537419354839</v>
      </c>
      <c r="R79" s="51" t="n">
        <f aca="false">filings!S79/daily!$A79</f>
        <v>9.26612903225806</v>
      </c>
      <c r="S79" s="51" t="n">
        <f aca="false">Q79-R79</f>
        <v>54.2876129032258</v>
      </c>
      <c r="T79" s="26" t="n">
        <f aca="false">Q79/L79/1000000</f>
        <v>1.32403629032258</v>
      </c>
      <c r="U79" s="50" t="n">
        <f aca="false">N79/$T79/1000000</f>
        <v>4.41302103477575E-005</v>
      </c>
      <c r="V79" s="57" t="n">
        <f aca="false">P79/$T79/1000000</f>
        <v>4.24720109879066E-005</v>
      </c>
      <c r="W79" s="50" t="n">
        <f aca="false">M79+0.000041</f>
        <v>4.8E-005</v>
      </c>
      <c r="X79" s="51" t="n">
        <f aca="false">D79-filings!N79*C79*1000000</f>
        <v>54.1672258064516</v>
      </c>
      <c r="Y79" s="51" t="n">
        <f aca="false">0.000041*C79*1000000</f>
        <v>51.168</v>
      </c>
      <c r="Z79" s="0" t="n">
        <f aca="false">MONTH(B79)</f>
        <v>12</v>
      </c>
    </row>
    <row r="80" customFormat="false" ht="12.75" hidden="false" customHeight="false" outlineLevel="0" collapsed="false">
      <c r="A80" s="0" t="n">
        <f aca="false">DAY((B81-1))</f>
        <v>31</v>
      </c>
      <c r="B80" s="7" t="n">
        <v>36161</v>
      </c>
      <c r="C80" s="26" t="n">
        <f aca="false">(filings!C80+filings!D80)*filings!K80/daily!$A80/1000000</f>
        <v>1.33145161290323</v>
      </c>
      <c r="D80" s="51" t="n">
        <f aca="false">filings!$D80/daily!$A80</f>
        <v>60.4838709677419</v>
      </c>
      <c r="E80" s="51" t="n">
        <f aca="false">filings!E82/daily!$A80</f>
        <v>60.5275806451613</v>
      </c>
      <c r="F80" s="51" t="n">
        <f aca="false">filings!F82/daily!$A80</f>
        <v>42.8506129032258</v>
      </c>
      <c r="G80" s="51" t="n">
        <f aca="false">filings!G82/daily!$A80</f>
        <v>8.89112903225806</v>
      </c>
      <c r="H80" s="51" t="n">
        <f aca="false">filings!H82/daily!$A80</f>
        <v>8.78583870967742</v>
      </c>
      <c r="I80" s="51" t="n">
        <f aca="false">filings!I80/daily!$A80</f>
        <v>62.3933870967742</v>
      </c>
      <c r="J80" s="58" t="n">
        <f aca="false">$D80/$C80/1000000</f>
        <v>4.54270139309509E-005</v>
      </c>
      <c r="K80" s="59" t="n">
        <f aca="false">$I80/$C80/1000000</f>
        <v>4.6861175045427E-005</v>
      </c>
      <c r="L80" s="64" t="n">
        <v>4.8E-005</v>
      </c>
      <c r="M80" s="56" t="n">
        <f aca="false">filings!N80</f>
        <v>9E-006</v>
      </c>
      <c r="N80" s="51" t="n">
        <f aca="false">filings!O80/daily!$A80</f>
        <v>47.922</v>
      </c>
      <c r="O80" s="51" t="n">
        <f aca="false">filings!P80/daily!$A80</f>
        <v>-5.07138709677419</v>
      </c>
      <c r="P80" s="51" t="n">
        <f aca="false">filings!Q80/daily!$A80</f>
        <v>42.8506129032258</v>
      </c>
      <c r="Q80" s="51" t="n">
        <f aca="false">filings!R80/daily!$A80</f>
        <v>60.5275806451613</v>
      </c>
      <c r="R80" s="51" t="n">
        <f aca="false">filings!S80/daily!$A80</f>
        <v>11.348935483871</v>
      </c>
      <c r="S80" s="51" t="n">
        <f aca="false">Q80-R80</f>
        <v>49.1786451612903</v>
      </c>
      <c r="T80" s="26" t="n">
        <f aca="false">Q80/L80/1000000</f>
        <v>1.26099126344086</v>
      </c>
      <c r="U80" s="50" t="n">
        <f aca="false">N80/$T80/1000000</f>
        <v>3.80034353840291E-005</v>
      </c>
      <c r="V80" s="57" t="n">
        <f aca="false">P80/$T80/1000000</f>
        <v>3.39816889661072E-005</v>
      </c>
      <c r="W80" s="50" t="n">
        <f aca="false">M80+0.000041</f>
        <v>5E-005</v>
      </c>
      <c r="X80" s="51" t="n">
        <f aca="false">D80-filings!N80*C80*1000000</f>
        <v>48.5008064516129</v>
      </c>
      <c r="Y80" s="51" t="n">
        <f aca="false">0.000041*C80*1000000</f>
        <v>54.5895161290323</v>
      </c>
      <c r="Z80" s="0" t="n">
        <f aca="false">MONTH(B80)</f>
        <v>1</v>
      </c>
    </row>
    <row r="81" customFormat="false" ht="12.75" hidden="false" customHeight="false" outlineLevel="0" collapsed="false">
      <c r="A81" s="0" t="n">
        <f aca="false">DAY((B82-1))</f>
        <v>28</v>
      </c>
      <c r="B81" s="7" t="n">
        <v>36192</v>
      </c>
      <c r="C81" s="26" t="n">
        <f aca="false">(filings!C81+filings!D81)*filings!K81/daily!$A81/1000000</f>
        <v>1.25273571428571</v>
      </c>
      <c r="D81" s="51" t="n">
        <f aca="false">filings!$D81/daily!$A81</f>
        <v>51.9642857142857</v>
      </c>
      <c r="E81" s="51" t="n">
        <f aca="false">filings!E83/daily!$A81</f>
        <v>52.4278214285714</v>
      </c>
      <c r="F81" s="51" t="n">
        <f aca="false">filings!F83/daily!$A81</f>
        <v>33.2437142857143</v>
      </c>
      <c r="G81" s="51" t="n">
        <f aca="false">filings!G83/daily!$A81</f>
        <v>12.51275</v>
      </c>
      <c r="H81" s="51" t="n">
        <f aca="false">filings!H83/daily!$A81</f>
        <v>6.67135714285715</v>
      </c>
      <c r="I81" s="51" t="n">
        <f aca="false">filings!I81/daily!$A81</f>
        <v>51.4389642857143</v>
      </c>
      <c r="J81" s="58" t="n">
        <f aca="false">$D81/$C81/1000000</f>
        <v>4.14806452164691E-005</v>
      </c>
      <c r="K81" s="59" t="n">
        <f aca="false">$I81/$C81/1000000</f>
        <v>4.10613058278168E-005</v>
      </c>
      <c r="L81" s="64" t="n">
        <v>4.2E-005</v>
      </c>
      <c r="M81" s="56" t="n">
        <f aca="false">filings!N81</f>
        <v>9E-006</v>
      </c>
      <c r="N81" s="51" t="n">
        <f aca="false">filings!O81/daily!$A81</f>
        <v>45.4049642857143</v>
      </c>
      <c r="O81" s="51" t="n">
        <f aca="false">filings!P81/daily!$A81</f>
        <v>-12.1606428571429</v>
      </c>
      <c r="P81" s="51" t="n">
        <f aca="false">filings!Q81/daily!$A81</f>
        <v>33.2443214285714</v>
      </c>
      <c r="Q81" s="51" t="n">
        <f aca="false">filings!R81/daily!$A81</f>
        <v>52.4278214285714</v>
      </c>
      <c r="R81" s="51" t="n">
        <f aca="false">filings!S81/daily!$A81</f>
        <v>11.2352857142857</v>
      </c>
      <c r="S81" s="51" t="n">
        <f aca="false">Q81-R81</f>
        <v>41.1925357142857</v>
      </c>
      <c r="T81" s="26" t="n">
        <f aca="false">Q81/L81/1000000</f>
        <v>1.24828146258503</v>
      </c>
      <c r="U81" s="50" t="n">
        <f aca="false">N81/$T81/1000000</f>
        <v>3.63739794642839E-005</v>
      </c>
      <c r="V81" s="57" t="n">
        <f aca="false">P81/$T81/1000000</f>
        <v>2.66320717121975E-005</v>
      </c>
      <c r="W81" s="50" t="n">
        <f aca="false">M81+0.000041</f>
        <v>5E-005</v>
      </c>
      <c r="X81" s="51" t="n">
        <f aca="false">D81-filings!N81*C81*1000000</f>
        <v>40.6896642857143</v>
      </c>
      <c r="Y81" s="51" t="n">
        <f aca="false">0.000041*C81*1000000</f>
        <v>51.3621642857143</v>
      </c>
      <c r="Z81" s="0" t="n">
        <f aca="false">MONTH(B81)</f>
        <v>2</v>
      </c>
    </row>
    <row r="82" customFormat="false" ht="12.75" hidden="false" customHeight="false" outlineLevel="0" collapsed="false">
      <c r="A82" s="0" t="n">
        <f aca="false">DAY((B83-1))</f>
        <v>31</v>
      </c>
      <c r="B82" s="7" t="n">
        <v>36220</v>
      </c>
      <c r="C82" s="26" t="n">
        <f aca="false">(filings!C82+filings!D82)*filings!K82/daily!$A82/1000000</f>
        <v>1.0982064516129</v>
      </c>
      <c r="D82" s="51" t="n">
        <f aca="false">filings!$D82/daily!$A82</f>
        <v>47.4193548387097</v>
      </c>
      <c r="E82" s="51" t="n">
        <f aca="false">filings!E84/daily!$A82</f>
        <v>41.8681935483871</v>
      </c>
      <c r="F82" s="51" t="n">
        <f aca="false">filings!F84/daily!$A82</f>
        <v>28.4057419354839</v>
      </c>
      <c r="G82" s="51" t="n">
        <f aca="false">filings!G84/daily!$A82</f>
        <v>10.4838709677419</v>
      </c>
      <c r="H82" s="51" t="n">
        <f aca="false">filings!H84/daily!$A82</f>
        <v>2.97858064516129</v>
      </c>
      <c r="I82" s="51" t="n">
        <f aca="false">filings!I82/daily!$A82</f>
        <v>38.6335161290323</v>
      </c>
      <c r="J82" s="58" t="n">
        <f aca="false">$D82/$C82/1000000</f>
        <v>4.31789075442657E-005</v>
      </c>
      <c r="K82" s="59" t="n">
        <f aca="false">$I82/$C82/1000000</f>
        <v>3.51787371785081E-005</v>
      </c>
      <c r="L82" s="64" t="n">
        <v>3.6E-005</v>
      </c>
      <c r="M82" s="56" t="n">
        <f aca="false">filings!N82</f>
        <v>9E-006</v>
      </c>
      <c r="N82" s="51" t="n">
        <f aca="false">filings!O82/daily!$A82</f>
        <v>38.2479032258064</v>
      </c>
      <c r="O82" s="51" t="n">
        <f aca="false">filings!P82/daily!$A82</f>
        <v>-9.84216129032258</v>
      </c>
      <c r="P82" s="51" t="n">
        <f aca="false">filings!Q82/daily!$A82</f>
        <v>28.4057419354839</v>
      </c>
      <c r="Q82" s="51" t="n">
        <f aca="false">filings!R82/daily!$A82</f>
        <v>41.8681935483871</v>
      </c>
      <c r="R82" s="51" t="n">
        <f aca="false">filings!S82/daily!$A82</f>
        <v>10.467064516129</v>
      </c>
      <c r="S82" s="51" t="n">
        <f aca="false">Q82-R82</f>
        <v>31.4011290322581</v>
      </c>
      <c r="T82" s="26" t="n">
        <f aca="false">Q82/L82/1000000</f>
        <v>1.16300537634409</v>
      </c>
      <c r="U82" s="50" t="n">
        <f aca="false">N82/$T82/1000000</f>
        <v>3.28871250329375E-005</v>
      </c>
      <c r="V82" s="57" t="n">
        <f aca="false">P82/$T82/1000000</f>
        <v>2.44244287371891E-005</v>
      </c>
      <c r="W82" s="50" t="n">
        <f aca="false">M82+0.000041</f>
        <v>5E-005</v>
      </c>
      <c r="X82" s="51" t="n">
        <f aca="false">D82-filings!N82*C82*1000000</f>
        <v>37.5354967741936</v>
      </c>
      <c r="Y82" s="51" t="n">
        <f aca="false">0.000041*C82*1000000</f>
        <v>45.026464516129</v>
      </c>
      <c r="Z82" s="0" t="n">
        <f aca="false">MONTH(B82)</f>
        <v>3</v>
      </c>
    </row>
    <row r="83" customFormat="false" ht="12.75" hidden="false" customHeight="false" outlineLevel="0" collapsed="false">
      <c r="A83" s="0" t="n">
        <f aca="false">DAY((B84-1))</f>
        <v>30</v>
      </c>
      <c r="B83" s="7" t="n">
        <v>36251</v>
      </c>
      <c r="C83" s="26" t="n">
        <f aca="false">(filings!C83+filings!D83)*filings!K83/daily!$A83/1000000</f>
        <v>1.39767333333333</v>
      </c>
      <c r="D83" s="51" t="n">
        <f aca="false">filings!$D83/daily!$A83</f>
        <v>54.5</v>
      </c>
      <c r="E83" s="51" t="n">
        <f aca="false">filings!E85/daily!$A83</f>
        <v>43.9547666666667</v>
      </c>
      <c r="F83" s="51" t="n">
        <f aca="false">filings!F85/daily!$A83</f>
        <v>48.4721666666667</v>
      </c>
      <c r="G83" s="51" t="n">
        <f aca="false">filings!G85/daily!$A83</f>
        <v>8.57143333333333</v>
      </c>
      <c r="H83" s="51" t="n">
        <f aca="false">filings!H85/daily!$A83</f>
        <v>-13.0888333333333</v>
      </c>
      <c r="I83" s="51" t="n">
        <f aca="false">filings!I83/daily!$A83</f>
        <v>48.2734</v>
      </c>
      <c r="J83" s="58" t="n">
        <f aca="false">$D83/$C83/1000000</f>
        <v>3.89933747036742E-005</v>
      </c>
      <c r="K83" s="59" t="n">
        <f aca="false">$I83/$C83/1000000</f>
        <v>3.45383995306486E-005</v>
      </c>
      <c r="L83" s="64" t="n">
        <v>3.5E-005</v>
      </c>
      <c r="M83" s="56" t="n">
        <f aca="false">filings!N83</f>
        <v>9E-006</v>
      </c>
      <c r="N83" s="51" t="n">
        <f aca="false">filings!O83/daily!$A83</f>
        <v>50.577</v>
      </c>
      <c r="O83" s="51" t="n">
        <f aca="false">filings!P83/daily!$A83</f>
        <v>2.10483333333333</v>
      </c>
      <c r="P83" s="66" t="n">
        <f aca="false">filings!Q83/daily!$A83</f>
        <v>52.6818333333333</v>
      </c>
      <c r="Q83" s="51" t="n">
        <f aca="false">filings!R83/daily!$A83</f>
        <v>43.9547666666667</v>
      </c>
      <c r="R83" s="51" t="n">
        <f aca="false">filings!S83/daily!$A83</f>
        <v>11.3007666666667</v>
      </c>
      <c r="S83" s="51" t="n">
        <f aca="false">Q83-R83</f>
        <v>32.654</v>
      </c>
      <c r="T83" s="26" t="n">
        <f aca="false">Q83/L83/1000000</f>
        <v>1.25585047619048</v>
      </c>
      <c r="U83" s="50" t="n">
        <f aca="false">N83/$T83/1000000</f>
        <v>4.02731065193536E-005</v>
      </c>
      <c r="V83" s="57" t="n">
        <f aca="false">P83/$T83/1000000</f>
        <v>4.19491287634333E-005</v>
      </c>
      <c r="W83" s="50" t="n">
        <f aca="false">M83+0.000041</f>
        <v>5E-005</v>
      </c>
      <c r="X83" s="51" t="n">
        <f aca="false">D83-filings!N83*C83*1000000</f>
        <v>41.92094</v>
      </c>
      <c r="Y83" s="51" t="n">
        <f aca="false">0.000041*C83*1000000</f>
        <v>57.3046066666667</v>
      </c>
      <c r="Z83" s="0" t="n">
        <f aca="false">MONTH(B83)</f>
        <v>4</v>
      </c>
    </row>
    <row r="84" customFormat="false" ht="12.75" hidden="false" customHeight="false" outlineLevel="0" collapsed="false">
      <c r="A84" s="0" t="n">
        <f aca="false">DAY((B85-1))</f>
        <v>31</v>
      </c>
      <c r="B84" s="7" t="n">
        <v>36281</v>
      </c>
      <c r="C84" s="26" t="n">
        <f aca="false">(filings!C84+filings!D84)*filings!K84/daily!$A84/1000000</f>
        <v>1.14567741935484</v>
      </c>
      <c r="D84" s="51" t="n">
        <f aca="false">filings!$D84/daily!$A84</f>
        <v>41.9354838709677</v>
      </c>
      <c r="E84" s="51" t="n">
        <f aca="false">filings!E86/daily!$A84</f>
        <v>41.419064516129</v>
      </c>
      <c r="F84" s="51" t="n">
        <f aca="false">filings!F86/daily!$A84</f>
        <v>43.3352580645161</v>
      </c>
      <c r="G84" s="51" t="n">
        <f aca="false">filings!G86/daily!$A84</f>
        <v>7.6728064516129</v>
      </c>
      <c r="H84" s="51" t="n">
        <f aca="false">filings!H86/daily!$A84</f>
        <v>-9.589</v>
      </c>
      <c r="I84" s="51" t="n">
        <f aca="false">filings!I84/daily!$A84</f>
        <v>38.9569032258065</v>
      </c>
      <c r="J84" s="58" t="n">
        <f aca="false">$D84/$C84/1000000</f>
        <v>3.66032210834553E-005</v>
      </c>
      <c r="K84" s="59" t="n">
        <f aca="false">$I84/$C84/1000000</f>
        <v>3.40033787588692E-005</v>
      </c>
      <c r="L84" s="64" t="n">
        <v>3.5E-005</v>
      </c>
      <c r="M84" s="56" t="n">
        <f aca="false">filings!N84</f>
        <v>9E-006</v>
      </c>
      <c r="N84" s="51" t="n">
        <f aca="false">filings!O84/daily!$A84</f>
        <v>45.71</v>
      </c>
      <c r="O84" s="51" t="n">
        <f aca="false">filings!P84/daily!$A84</f>
        <v>-2.37474193548387</v>
      </c>
      <c r="P84" s="51" t="n">
        <f aca="false">filings!Q84/daily!$A84</f>
        <v>43.3352580645161</v>
      </c>
      <c r="Q84" s="51" t="n">
        <f aca="false">filings!R84/daily!$A84</f>
        <v>41.419064516129</v>
      </c>
      <c r="R84" s="51" t="n">
        <f aca="false">filings!S84/daily!$A84</f>
        <v>10.6488387096774</v>
      </c>
      <c r="S84" s="51" t="n">
        <f aca="false">Q84-R84</f>
        <v>30.7702258064516</v>
      </c>
      <c r="T84" s="26" t="n">
        <f aca="false">Q84/L84/1000000</f>
        <v>1.18340184331797</v>
      </c>
      <c r="U84" s="50" t="n">
        <f aca="false">N84/$T84/1000000</f>
        <v>3.86259327362887E-005</v>
      </c>
      <c r="V84" s="57" t="n">
        <f aca="false">P84/$T84/1000000</f>
        <v>3.66192247453448E-005</v>
      </c>
      <c r="W84" s="50" t="n">
        <f aca="false">M84+0.000041</f>
        <v>5E-005</v>
      </c>
      <c r="X84" s="51" t="n">
        <f aca="false">D84-filings!N84*C84*1000000</f>
        <v>31.6243870967742</v>
      </c>
      <c r="Y84" s="51" t="n">
        <f aca="false">0.000041*C84*1000000</f>
        <v>46.9727741935484</v>
      </c>
      <c r="Z84" s="0" t="n">
        <f aca="false">MONTH(B84)</f>
        <v>5</v>
      </c>
    </row>
    <row r="85" customFormat="false" ht="12.75" hidden="false" customHeight="false" outlineLevel="0" collapsed="false">
      <c r="A85" s="0" t="n">
        <f aca="false">DAY((B86-1))</f>
        <v>30</v>
      </c>
      <c r="B85" s="7" t="n">
        <v>36312</v>
      </c>
      <c r="C85" s="26" t="n">
        <f aca="false">(filings!C85+filings!D85)*filings!K85/daily!$A85/1000000</f>
        <v>1.23066666666667</v>
      </c>
      <c r="D85" s="51" t="n">
        <f aca="false">filings!$D85/daily!$A85</f>
        <v>33.3333333333333</v>
      </c>
      <c r="E85" s="51" t="n">
        <f aca="false">filings!E87/daily!$A85</f>
        <v>42.8200333333333</v>
      </c>
      <c r="F85" s="51" t="n">
        <f aca="false">filings!F87/daily!$A85</f>
        <v>32.3827</v>
      </c>
      <c r="G85" s="51" t="n">
        <f aca="false">filings!G87/daily!$A85</f>
        <v>8.6842</v>
      </c>
      <c r="H85" s="51" t="n">
        <f aca="false">filings!H87/daily!$A85</f>
        <v>1.75313333333334</v>
      </c>
      <c r="I85" s="51" t="n">
        <f aca="false">filings!I85/daily!$A85</f>
        <v>46.4221666666667</v>
      </c>
      <c r="J85" s="58" t="n">
        <f aca="false">$D85/$C85/1000000</f>
        <v>2.70855904658722E-005</v>
      </c>
      <c r="K85" s="59" t="n">
        <f aca="false">$I85/$C85/1000000</f>
        <v>3.77211538461538E-005</v>
      </c>
      <c r="L85" s="64" t="n">
        <v>3.8E-005</v>
      </c>
      <c r="M85" s="56" t="n">
        <f aca="false">filings!N85</f>
        <v>9E-006</v>
      </c>
      <c r="N85" s="51" t="n">
        <f aca="false">filings!O85/daily!$A85</f>
        <v>35.3135333333333</v>
      </c>
      <c r="O85" s="51" t="n">
        <f aca="false">filings!P85/daily!$A85</f>
        <v>-2.93083333333333</v>
      </c>
      <c r="P85" s="51" t="n">
        <f aca="false">filings!Q85/daily!$A85</f>
        <v>32.3827</v>
      </c>
      <c r="Q85" s="51" t="n">
        <f aca="false">filings!R85/daily!$A85</f>
        <v>42.8200333333333</v>
      </c>
      <c r="R85" s="51" t="n">
        <f aca="false">filings!S85/daily!$A85</f>
        <v>10.1398</v>
      </c>
      <c r="S85" s="51" t="n">
        <f aca="false">Q85-R85</f>
        <v>32.6802333333333</v>
      </c>
      <c r="T85" s="26" t="n">
        <f aca="false">Q85/L85/1000000</f>
        <v>1.12684298245614</v>
      </c>
      <c r="U85" s="50" t="n">
        <f aca="false">N85/$T85/1000000</f>
        <v>3.13384685205757E-005</v>
      </c>
      <c r="V85" s="57" t="n">
        <f aca="false">P85/$T85/1000000</f>
        <v>2.8737544186872E-005</v>
      </c>
      <c r="W85" s="50" t="n">
        <f aca="false">M85+0.000041</f>
        <v>5E-005</v>
      </c>
      <c r="X85" s="51" t="n">
        <f aca="false">D85-filings!N85*C85*1000000</f>
        <v>22.2573333333333</v>
      </c>
      <c r="Y85" s="51" t="n">
        <f aca="false">0.000041*C85*1000000</f>
        <v>50.4573333333333</v>
      </c>
      <c r="Z85" s="0" t="n">
        <f aca="false">MONTH(B85)</f>
        <v>6</v>
      </c>
    </row>
    <row r="86" customFormat="false" ht="12.75" hidden="false" customHeight="false" outlineLevel="0" collapsed="false">
      <c r="A86" s="0" t="n">
        <f aca="false">DAY((B87-1))</f>
        <v>31</v>
      </c>
      <c r="B86" s="7" t="n">
        <v>36342</v>
      </c>
      <c r="C86" s="26" t="n">
        <f aca="false">(filings!C86+filings!D86)*filings!K86/daily!$A86/1000000</f>
        <v>1.34906451612903</v>
      </c>
      <c r="D86" s="51" t="n">
        <f aca="false">filings!$D86/daily!$A86</f>
        <v>29.8387096774194</v>
      </c>
      <c r="E86" s="51" t="n">
        <f aca="false">filings!E88/daily!$A86</f>
        <v>35.378</v>
      </c>
      <c r="F86" s="51" t="n">
        <f aca="false">filings!F88/daily!$A86</f>
        <v>38.1013548387097</v>
      </c>
      <c r="G86" s="51" t="n">
        <f aca="false">filings!G88/daily!$A86</f>
        <v>-1.51612903225806</v>
      </c>
      <c r="H86" s="51" t="n">
        <f aca="false">filings!H88/daily!$A86</f>
        <v>-1.20722580645161</v>
      </c>
      <c r="I86" s="51" t="n">
        <f aca="false">filings!I86/daily!$A86</f>
        <v>39.4277096774194</v>
      </c>
      <c r="J86" s="58" t="n">
        <f aca="false">$D86/$C86/1000000</f>
        <v>2.21180746514909E-005</v>
      </c>
      <c r="K86" s="59" t="n">
        <f aca="false">$I86/$C86/1000000</f>
        <v>2.9225963032926E-005</v>
      </c>
      <c r="L86" s="64" t="n">
        <v>3E-005</v>
      </c>
      <c r="M86" s="56" t="n">
        <f aca="false">filings!N86</f>
        <v>-1E-006</v>
      </c>
      <c r="N86" s="51" t="n">
        <f aca="false">filings!O86/daily!$A86</f>
        <v>42.7728709677419</v>
      </c>
      <c r="O86" s="51" t="n">
        <f aca="false">filings!P86/daily!$A86</f>
        <v>-3.22067741935484</v>
      </c>
      <c r="P86" s="66" t="n">
        <f aca="false">filings!Q86/daily!$A86</f>
        <v>39.5521935483871</v>
      </c>
      <c r="Q86" s="51" t="n">
        <f aca="false">filings!R86/daily!$A86</f>
        <v>35.378</v>
      </c>
      <c r="R86" s="51" t="n">
        <f aca="false">filings!S86/daily!$A86</f>
        <v>-1.17809677419355</v>
      </c>
      <c r="S86" s="51" t="n">
        <f aca="false">Q86-R86</f>
        <v>36.5560967741936</v>
      </c>
      <c r="T86" s="26" t="n">
        <f aca="false">Q86/L86/1000000</f>
        <v>1.17926666666667</v>
      </c>
      <c r="U86" s="50" t="n">
        <f aca="false">N86/$T86/1000000</f>
        <v>3.62707368712832E-005</v>
      </c>
      <c r="V86" s="57" t="n">
        <f aca="false">P86/$T86/1000000</f>
        <v>3.35396519433437E-005</v>
      </c>
      <c r="W86" s="50" t="n">
        <f aca="false">M86+0.000041</f>
        <v>4E-005</v>
      </c>
      <c r="X86" s="51" t="n">
        <f aca="false">D86-filings!N86*C86*1000000</f>
        <v>31.1877741935484</v>
      </c>
      <c r="Y86" s="51" t="n">
        <f aca="false">0.000041*C86*1000000</f>
        <v>55.3116451612903</v>
      </c>
      <c r="Z86" s="0" t="n">
        <f aca="false">MONTH(B86)</f>
        <v>7</v>
      </c>
    </row>
    <row r="87" customFormat="false" ht="12.75" hidden="false" customHeight="false" outlineLevel="0" collapsed="false">
      <c r="A87" s="0" t="n">
        <f aca="false">DAY((B88-1))</f>
        <v>31</v>
      </c>
      <c r="B87" s="7" t="n">
        <v>36373</v>
      </c>
      <c r="C87" s="26" t="n">
        <f aca="false">(filings!C87+filings!D87)*filings!K87/daily!$A87/1000000</f>
        <v>1.15909677419355</v>
      </c>
      <c r="D87" s="51" t="n">
        <f aca="false">filings!$D87/daily!$A87</f>
        <v>35.4838709677419</v>
      </c>
      <c r="E87" s="51" t="n">
        <f aca="false">filings!E89/daily!$A87</f>
        <v>36.607064516129</v>
      </c>
      <c r="F87" s="51" t="n">
        <f aca="false">filings!F89/daily!$A87</f>
        <v>46.3158064516129</v>
      </c>
      <c r="G87" s="51" t="n">
        <f aca="false">filings!G89/daily!$A87</f>
        <v>-1.30106451612903</v>
      </c>
      <c r="H87" s="51" t="n">
        <f aca="false">filings!H89/daily!$A87</f>
        <v>-8.40767741935484</v>
      </c>
      <c r="I87" s="51" t="n">
        <f aca="false">filings!I87/daily!$A87</f>
        <v>33.7872903225806</v>
      </c>
      <c r="J87" s="58" t="n">
        <f aca="false">$D87/$C87/1000000</f>
        <v>3.06133808304575E-005</v>
      </c>
      <c r="K87" s="59" t="n">
        <f aca="false">$I87/$C87/1000000</f>
        <v>2.91496716019147E-005</v>
      </c>
      <c r="L87" s="64" t="n">
        <v>3E-005</v>
      </c>
      <c r="M87" s="56" t="n">
        <f aca="false">filings!N87</f>
        <v>-1E-006</v>
      </c>
      <c r="N87" s="51" t="n">
        <f aca="false">filings!O87/daily!$A87</f>
        <v>48.5982580645161</v>
      </c>
      <c r="O87" s="51" t="n">
        <f aca="false">filings!P87/daily!$A87</f>
        <v>-2.28245161290323</v>
      </c>
      <c r="P87" s="51" t="n">
        <f aca="false">filings!Q87/daily!$A87</f>
        <v>46.3158064516129</v>
      </c>
      <c r="Q87" s="51" t="n">
        <f aca="false">filings!R87/daily!$A87</f>
        <v>36.607064516129</v>
      </c>
      <c r="R87" s="51" t="n">
        <f aca="false">filings!S87/daily!$A87</f>
        <v>-1.219</v>
      </c>
      <c r="S87" s="51" t="n">
        <f aca="false">Q87-R87</f>
        <v>37.826064516129</v>
      </c>
      <c r="T87" s="26" t="n">
        <f aca="false">Q87/L87/1000000</f>
        <v>1.22023548387097</v>
      </c>
      <c r="U87" s="50" t="n">
        <f aca="false">N87/$T87/1000000</f>
        <v>3.98269503771086E-005</v>
      </c>
      <c r="V87" s="57" t="n">
        <f aca="false">P87/$T87/1000000</f>
        <v>3.79564494425983E-005</v>
      </c>
      <c r="W87" s="50" t="n">
        <f aca="false">M87+0.000041</f>
        <v>4E-005</v>
      </c>
      <c r="X87" s="51" t="n">
        <f aca="false">D87-filings!N87*C87*1000000</f>
        <v>36.6429677419355</v>
      </c>
      <c r="Y87" s="51" t="n">
        <f aca="false">0.000041*C87*1000000</f>
        <v>47.5229677419355</v>
      </c>
      <c r="Z87" s="0" t="n">
        <f aca="false">MONTH(B87)</f>
        <v>8</v>
      </c>
    </row>
    <row r="88" customFormat="false" ht="12.75" hidden="false" customHeight="false" outlineLevel="0" collapsed="false">
      <c r="A88" s="0" t="n">
        <f aca="false">DAY((B89-1))</f>
        <v>30</v>
      </c>
      <c r="B88" s="7" t="n">
        <v>36404</v>
      </c>
      <c r="C88" s="26" t="n">
        <f aca="false">(filings!C88+filings!D88)*filings!K88/daily!$A88/1000000</f>
        <v>1.23777333333333</v>
      </c>
      <c r="D88" s="51" t="n">
        <f aca="false">filings!$D88/daily!$A88</f>
        <v>47</v>
      </c>
      <c r="E88" s="51" t="n">
        <f aca="false">filings!E90/daily!$A88</f>
        <v>51.4668</v>
      </c>
      <c r="F88" s="51" t="n">
        <f aca="false">filings!F90/daily!$A88</f>
        <v>59.8609333333333</v>
      </c>
      <c r="G88" s="51" t="n">
        <f aca="false">filings!G90/daily!$A88</f>
        <v>-1.08333333333333</v>
      </c>
      <c r="H88" s="51" t="n">
        <f aca="false">filings!H90/daily!$A88</f>
        <v>-7.3108</v>
      </c>
      <c r="I88" s="51" t="n">
        <f aca="false">filings!I88/daily!$A88</f>
        <v>48.2474666666667</v>
      </c>
      <c r="J88" s="58" t="n">
        <f aca="false">$D88/$C88/1000000</f>
        <v>3.79714110284059E-005</v>
      </c>
      <c r="K88" s="59" t="n">
        <f aca="false">$I88/$C88/1000000</f>
        <v>3.89792422953045E-005</v>
      </c>
      <c r="L88" s="64" t="n">
        <v>4E-005</v>
      </c>
      <c r="M88" s="56" t="n">
        <f aca="false">filings!N88</f>
        <v>-1E-006</v>
      </c>
      <c r="N88" s="51" t="n">
        <f aca="false">filings!O88/daily!$A88</f>
        <v>60.2988</v>
      </c>
      <c r="O88" s="51" t="n">
        <f aca="false">filings!P88/daily!$A88</f>
        <v>2.72153333333333</v>
      </c>
      <c r="P88" s="66" t="n">
        <f aca="false">filings!Q88/daily!$A88</f>
        <v>63.0203333333333</v>
      </c>
      <c r="Q88" s="51" t="n">
        <f aca="false">filings!R88/daily!$A88</f>
        <v>51.4668</v>
      </c>
      <c r="R88" s="51" t="n">
        <f aca="false">filings!S88/daily!$A88</f>
        <v>-1.28666666666667</v>
      </c>
      <c r="S88" s="51" t="n">
        <f aca="false">Q88-R88</f>
        <v>52.7534666666667</v>
      </c>
      <c r="T88" s="26" t="n">
        <f aca="false">Q88/L88/1000000</f>
        <v>1.28667</v>
      </c>
      <c r="U88" s="50" t="n">
        <f aca="false">N88/$T88/1000000</f>
        <v>4.68642309216816E-005</v>
      </c>
      <c r="V88" s="57" t="n">
        <f aca="false">P88/$T88/1000000</f>
        <v>4.89794067891016E-005</v>
      </c>
      <c r="W88" s="50" t="n">
        <f aca="false">M88+0.000041</f>
        <v>4E-005</v>
      </c>
      <c r="X88" s="51" t="n">
        <f aca="false">D88-filings!N88*C88*1000000</f>
        <v>48.2377733333333</v>
      </c>
      <c r="Y88" s="51" t="n">
        <f aca="false">0.000041*C88*1000000</f>
        <v>50.7487066666667</v>
      </c>
      <c r="Z88" s="0" t="n">
        <f aca="false">MONTH(B88)</f>
        <v>9</v>
      </c>
    </row>
    <row r="89" customFormat="false" ht="12.75" hidden="false" customHeight="false" outlineLevel="0" collapsed="false">
      <c r="A89" s="0" t="n">
        <f aca="false">DAY((B90-1))</f>
        <v>31</v>
      </c>
      <c r="B89" s="7" t="n">
        <v>36434</v>
      </c>
      <c r="C89" s="26" t="n">
        <f aca="false">(filings!C89+filings!D89)*filings!K89/daily!$A89/1000000</f>
        <v>1.21336129032258</v>
      </c>
      <c r="D89" s="51" t="n">
        <f aca="false">filings!$D89/daily!$A89</f>
        <v>39.0322580645161</v>
      </c>
      <c r="E89" s="51" t="n">
        <f aca="false">filings!E91/daily!$A89</f>
        <v>51.4475806451613</v>
      </c>
      <c r="F89" s="51" t="n">
        <f aca="false">filings!F91/daily!$A89</f>
        <v>69.1413870967742</v>
      </c>
      <c r="G89" s="51" t="n">
        <f aca="false">filings!G91/daily!$A89</f>
        <v>-0.987903225806452</v>
      </c>
      <c r="H89" s="51" t="n">
        <f aca="false">filings!H91/daily!$A89</f>
        <v>-16.7059032258064</v>
      </c>
      <c r="I89" s="51" t="n">
        <f aca="false">filings!I89/daily!$A89</f>
        <v>47.439935483871</v>
      </c>
      <c r="J89" s="58" t="n">
        <f aca="false">$D89/$C89/1000000</f>
        <v>3.21687022454286E-005</v>
      </c>
      <c r="K89" s="59" t="n">
        <f aca="false">$I89/$C89/1000000</f>
        <v>3.90979470519113E-005</v>
      </c>
      <c r="L89" s="64" t="n">
        <v>4E-005</v>
      </c>
      <c r="M89" s="56" t="n">
        <f aca="false">filings!N89</f>
        <v>-1E-006</v>
      </c>
      <c r="N89" s="51" t="n">
        <f aca="false">filings!O89/daily!$A89</f>
        <v>61.9134838709677</v>
      </c>
      <c r="O89" s="51" t="n">
        <f aca="false">filings!P89/daily!$A89</f>
        <v>7.22854838709677</v>
      </c>
      <c r="P89" s="51" t="n">
        <f aca="false">filings!Q89/daily!$A89</f>
        <v>69.1420322580645</v>
      </c>
      <c r="Q89" s="51" t="n">
        <f aca="false">filings!R89/daily!$A89</f>
        <v>51.4475806451613</v>
      </c>
      <c r="R89" s="51" t="n">
        <f aca="false">filings!S89/daily!$A89</f>
        <v>-1.2861935483871</v>
      </c>
      <c r="S89" s="51" t="n">
        <f aca="false">Q89-R89</f>
        <v>52.7337741935484</v>
      </c>
      <c r="T89" s="26" t="n">
        <f aca="false">Q89/L89/1000000</f>
        <v>1.28618951612903</v>
      </c>
      <c r="U89" s="50" t="n">
        <f aca="false">N89/$T89/1000000</f>
        <v>4.81371392742378E-005</v>
      </c>
      <c r="V89" s="57" t="n">
        <f aca="false">P89/$T89/1000000</f>
        <v>5.3757266243436E-005</v>
      </c>
      <c r="W89" s="50" t="n">
        <f aca="false">M89+0.000041</f>
        <v>4E-005</v>
      </c>
      <c r="X89" s="51" t="n">
        <f aca="false">D89-filings!N89*C89*1000000</f>
        <v>40.2456193548387</v>
      </c>
      <c r="Y89" s="51" t="n">
        <f aca="false">0.000041*C89*1000000</f>
        <v>49.7478129032258</v>
      </c>
      <c r="Z89" s="0" t="n">
        <f aca="false">MONTH(B89)</f>
        <v>10</v>
      </c>
    </row>
    <row r="90" customFormat="false" ht="12.75" hidden="false" customHeight="false" outlineLevel="0" collapsed="false">
      <c r="A90" s="0" t="n">
        <f aca="false">DAY((B91-1))</f>
        <v>30</v>
      </c>
      <c r="B90" s="7" t="n">
        <v>36465</v>
      </c>
      <c r="C90" s="26" t="n">
        <f aca="false">(filings!C90+filings!D90)*filings!K90/daily!$A90/1000000</f>
        <v>1.2792</v>
      </c>
      <c r="D90" s="51" t="n">
        <f aca="false">filings!$D90/daily!$A90</f>
        <v>43.3333333333333</v>
      </c>
      <c r="E90" s="51" t="n">
        <f aca="false">filings!E92/daily!$A90</f>
        <v>51.4156333333333</v>
      </c>
      <c r="F90" s="51" t="n">
        <f aca="false">filings!F92/daily!$A90</f>
        <v>55.3478666666667</v>
      </c>
      <c r="G90" s="51" t="n">
        <f aca="false">filings!G92/daily!$A90</f>
        <v>-1.5</v>
      </c>
      <c r="H90" s="51" t="n">
        <f aca="false">filings!H92/daily!$A90</f>
        <v>-2.43223333333333</v>
      </c>
      <c r="I90" s="51" t="n">
        <f aca="false">filings!I90/daily!$A90</f>
        <v>50.6441333333333</v>
      </c>
      <c r="J90" s="58" t="n">
        <f aca="false">$D90/$C90/1000000</f>
        <v>3.38753387533875E-005</v>
      </c>
      <c r="K90" s="63" t="n">
        <f aca="false">$I90/$C90/1000000</f>
        <v>3.95904732124244E-005</v>
      </c>
      <c r="L90" s="64" t="n">
        <v>4E-005</v>
      </c>
      <c r="M90" s="56" t="n">
        <f aca="false">filings!N90</f>
        <v>-1E-006</v>
      </c>
      <c r="N90" s="51" t="n">
        <f aca="false">filings!O90/daily!$A90</f>
        <v>55.3167333333333</v>
      </c>
      <c r="O90" s="51" t="n">
        <f aca="false">filings!P90/daily!$A90</f>
        <v>0.0311333333333333</v>
      </c>
      <c r="P90" s="66" t="n">
        <f aca="false">filings!Q90/daily!$A90</f>
        <v>55.3478666666667</v>
      </c>
      <c r="Q90" s="51" t="n">
        <f aca="false">filings!R90/daily!$A90</f>
        <v>51.4156333333333</v>
      </c>
      <c r="R90" s="66" t="n">
        <f aca="false">filings!S90/daily!$A90</f>
        <v>-1.2854</v>
      </c>
      <c r="S90" s="51" t="n">
        <f aca="false">Q90-R90</f>
        <v>52.7010333333333</v>
      </c>
      <c r="T90" s="26" t="n">
        <f aca="false">Q90/L90/1000000</f>
        <v>1.28539083333333</v>
      </c>
      <c r="U90" s="50" t="n">
        <f aca="false">N90/$T90/1000000</f>
        <v>4.30349524042298E-005</v>
      </c>
      <c r="V90" s="57" t="n">
        <f aca="false">P90/$T90/1000000</f>
        <v>4.30591733123972E-005</v>
      </c>
      <c r="W90" s="50" t="n">
        <f aca="false">M90+0.000041</f>
        <v>4E-005</v>
      </c>
      <c r="X90" s="51" t="n">
        <f aca="false">D90-filings!N90*C90*1000000</f>
        <v>44.6125333333333</v>
      </c>
      <c r="Y90" s="51" t="n">
        <f aca="false">0.000041*C90*1000000</f>
        <v>52.4472</v>
      </c>
      <c r="Z90" s="0" t="n">
        <f aca="false">MONTH(B90)</f>
        <v>11</v>
      </c>
    </row>
    <row r="91" customFormat="false" ht="12.75" hidden="false" customHeight="false" outlineLevel="0" collapsed="false">
      <c r="A91" s="0" t="n">
        <f aca="false">DAY((B92-1))</f>
        <v>31</v>
      </c>
      <c r="B91" s="7" t="n">
        <v>36495</v>
      </c>
      <c r="C91" s="62" t="n">
        <f aca="false">(filings!C91+filings!D91)*filings!K91/daily!$A91/1000000</f>
        <v>1.4128064516129</v>
      </c>
      <c r="D91" s="51" t="n">
        <f aca="false">filings!$D91/daily!$A91</f>
        <v>39.5161290322581</v>
      </c>
      <c r="E91" s="51" t="n">
        <f aca="false">filings!E93/daily!$A91</f>
        <v>53.1341935483871</v>
      </c>
      <c r="F91" s="51" t="n">
        <f aca="false">filings!F93/daily!$A91</f>
        <v>59.3383548387097</v>
      </c>
      <c r="G91" s="51" t="n">
        <f aca="false">filings!G93/daily!$A91</f>
        <v>-1.31854838709677</v>
      </c>
      <c r="H91" s="51" t="n">
        <f aca="false">filings!H93/daily!$A91</f>
        <v>-4.8856129032258</v>
      </c>
      <c r="I91" s="51" t="n">
        <f aca="false">filings!I91/daily!$A91</f>
        <v>56.2220322580645</v>
      </c>
      <c r="J91" s="58" t="n">
        <f aca="false">$D91/$C91/1000000</f>
        <v>2.79699522798365E-005</v>
      </c>
      <c r="K91" s="63" t="n">
        <f aca="false">$I91/$C91/1000000</f>
        <v>3.97945749708884E-005</v>
      </c>
      <c r="L91" s="64" t="n">
        <v>4E-005</v>
      </c>
      <c r="M91" s="56" t="n">
        <f aca="false">filings!N91</f>
        <v>-1E-006</v>
      </c>
      <c r="N91" s="51" t="n">
        <f aca="false">filings!O91/daily!$A91</f>
        <v>62.3829677419355</v>
      </c>
      <c r="O91" s="51" t="n">
        <f aca="false">filings!P91/daily!$A91</f>
        <v>-3.04461290322581</v>
      </c>
      <c r="P91" s="51" t="n">
        <f aca="false">filings!Q91/daily!$A91</f>
        <v>59.3383548387097</v>
      </c>
      <c r="Q91" s="51" t="n">
        <f aca="false">filings!R91/daily!$A91</f>
        <v>53.1341935483871</v>
      </c>
      <c r="R91" s="66" t="n">
        <f aca="false">filings!S91/daily!$A91</f>
        <v>-1.32835483870968</v>
      </c>
      <c r="S91" s="51" t="n">
        <f aca="false">Q91-R91</f>
        <v>54.4625483870968</v>
      </c>
      <c r="T91" s="26" t="n">
        <f aca="false">Q91/L91/1000000</f>
        <v>1.32835483870968</v>
      </c>
      <c r="U91" s="50" t="n">
        <f aca="false">N91/$T91/1000000</f>
        <v>4.69625780130649E-005</v>
      </c>
      <c r="V91" s="57" t="n">
        <f aca="false">P91/$T91/1000000</f>
        <v>4.4670560237014E-005</v>
      </c>
      <c r="W91" s="50" t="n">
        <f aca="false">M91+0.000041</f>
        <v>4E-005</v>
      </c>
      <c r="X91" s="51" t="n">
        <f aca="false">D91-filings!N91*C91*1000000</f>
        <v>40.928935483871</v>
      </c>
      <c r="Y91" s="51" t="n">
        <f aca="false">0.000041*C91*1000000</f>
        <v>57.925064516129</v>
      </c>
      <c r="Z91" s="0" t="n">
        <f aca="false">MONTH(B91)</f>
        <v>12</v>
      </c>
    </row>
    <row r="92" customFormat="false" ht="12.75" hidden="false" customHeight="false" outlineLevel="0" collapsed="false">
      <c r="A92" s="0" t="n">
        <f aca="false">DAY((B93-1))</f>
        <v>31</v>
      </c>
      <c r="B92" s="7" t="n">
        <v>36526</v>
      </c>
      <c r="C92" s="26" t="n">
        <f aca="false">(filings!C92+filings!D92)*filings!K92/daily!$A92/1000000</f>
        <v>1.33858064516129</v>
      </c>
      <c r="D92" s="51" t="n">
        <f aca="false">filings!$D92/daily!$A92</f>
        <v>58.0645161290323</v>
      </c>
      <c r="E92" s="51" t="n">
        <f aca="false">filings!E94/daily!$A92</f>
        <v>60.39</v>
      </c>
      <c r="F92" s="51" t="n">
        <f aca="false">filings!F94/daily!$A92</f>
        <v>51.7672258064516</v>
      </c>
      <c r="G92" s="51" t="n">
        <f aca="false">filings!G94/daily!$A92</f>
        <v>4.73351612903226</v>
      </c>
      <c r="H92" s="51" t="n">
        <f aca="false">filings!H94/daily!$A92</f>
        <v>3.88925806451612</v>
      </c>
      <c r="I92" s="51" t="n">
        <f aca="false">filings!I92/daily!$A92</f>
        <v>60.4182903225806</v>
      </c>
      <c r="J92" s="58" t="n">
        <f aca="false">$D92/$C92/1000000</f>
        <v>4.33776749566223E-005</v>
      </c>
      <c r="K92" s="63" t="n">
        <f aca="false">$I92/$C92/1000000</f>
        <v>4.51360854058222E-005</v>
      </c>
      <c r="L92" s="64" t="n">
        <v>4.6E-005</v>
      </c>
      <c r="M92" s="56" t="n">
        <f aca="false">filings!N92</f>
        <v>5E-006</v>
      </c>
      <c r="N92" s="51" t="n">
        <f aca="false">filings!O92/daily!$A92</f>
        <v>57.5182258064516</v>
      </c>
      <c r="O92" s="51" t="n">
        <f aca="false">filings!P92/daily!$A92</f>
        <v>-5.751</v>
      </c>
      <c r="P92" s="51" t="n">
        <f aca="false">filings!Q92/daily!$A92</f>
        <v>51.7672258064516</v>
      </c>
      <c r="Q92" s="51" t="n">
        <f aca="false">filings!R92/daily!$A92</f>
        <v>60.39</v>
      </c>
      <c r="R92" s="51" t="n">
        <f aca="false">filings!S92/daily!$A92</f>
        <v>6.56438709677419</v>
      </c>
      <c r="S92" s="51" t="n">
        <f aca="false">Q92-R92</f>
        <v>53.8256129032258</v>
      </c>
      <c r="T92" s="26" t="n">
        <f aca="false">Q92/L92/1000000</f>
        <v>1.31282608695652</v>
      </c>
      <c r="U92" s="50" t="n">
        <f aca="false">N92/$T92/1000000</f>
        <v>4.38125250388603E-005</v>
      </c>
      <c r="V92" s="57" t="n">
        <f aca="false">P92/$T92/1000000</f>
        <v>3.94318991074147E-005</v>
      </c>
      <c r="W92" s="50" t="n">
        <f aca="false">M92+0.000041</f>
        <v>4.6E-005</v>
      </c>
      <c r="X92" s="51" t="n">
        <f aca="false">D92-filings!N92*C92*1000000</f>
        <v>51.3716129032258</v>
      </c>
      <c r="Y92" s="51" t="n">
        <f aca="false">0.000041*C92*1000000</f>
        <v>54.8818064516129</v>
      </c>
      <c r="Z92" s="0" t="n">
        <f aca="false">MONTH(B92)</f>
        <v>1</v>
      </c>
    </row>
    <row r="93" customFormat="false" ht="12.75" hidden="false" customHeight="false" outlineLevel="0" collapsed="false">
      <c r="A93" s="0" t="n">
        <f aca="false">DAY((B94-1))</f>
        <v>29</v>
      </c>
      <c r="B93" s="7" t="n">
        <v>36557</v>
      </c>
      <c r="C93" s="26" t="n">
        <f aca="false">(filings!C93+filings!D93)*filings!K93/daily!$A93/1000000</f>
        <v>1.36517931034483</v>
      </c>
      <c r="D93" s="51" t="n">
        <f aca="false">filings!$D93/daily!$A93</f>
        <v>56.3793103448276</v>
      </c>
      <c r="E93" s="51" t="n">
        <f aca="false">filings!E95/daily!$A93</f>
        <v>60.8774137931034</v>
      </c>
      <c r="F93" s="51" t="n">
        <f aca="false">filings!F95/daily!$A93</f>
        <v>47.6705517241379</v>
      </c>
      <c r="G93" s="51" t="n">
        <f aca="false">filings!G95/daily!$A93</f>
        <v>5.43479310344828</v>
      </c>
      <c r="H93" s="51" t="n">
        <f aca="false">filings!H95/daily!$A93</f>
        <v>7.77206896551724</v>
      </c>
      <c r="I93" s="51" t="n">
        <f aca="false">filings!I93/daily!$A93</f>
        <v>61.6018620689655</v>
      </c>
      <c r="J93" s="58" t="n">
        <f aca="false">$D93/$C93/1000000</f>
        <v>4.12980990245061E-005</v>
      </c>
      <c r="K93" s="63" t="n">
        <f aca="false">$I93/$C93/1000000</f>
        <v>4.51236417093119E-005</v>
      </c>
      <c r="L93" s="64" t="n">
        <v>4.6E-005</v>
      </c>
      <c r="M93" s="56" t="n">
        <f aca="false">filings!N93</f>
        <v>5E-006</v>
      </c>
      <c r="N93" s="51" t="n">
        <f aca="false">filings!O93/daily!$A93</f>
        <v>51.1666896551724</v>
      </c>
      <c r="O93" s="51" t="n">
        <f aca="false">filings!P93/daily!$A93</f>
        <v>-3.49613793103448</v>
      </c>
      <c r="P93" s="51" t="n">
        <f aca="false">filings!Q93/daily!$A93</f>
        <v>47.6705517241379</v>
      </c>
      <c r="Q93" s="51" t="n">
        <f aca="false">filings!R93/daily!$A93</f>
        <v>60.8774137931034</v>
      </c>
      <c r="R93" s="51" t="n">
        <f aca="false">filings!S93/daily!$A93</f>
        <v>6.61737931034483</v>
      </c>
      <c r="S93" s="51" t="n">
        <f aca="false">Q93-R93</f>
        <v>54.2600344827586</v>
      </c>
      <c r="T93" s="26" t="n">
        <f aca="false">Q93/L93/1000000</f>
        <v>1.32342203898051</v>
      </c>
      <c r="U93" s="50" t="n">
        <f aca="false">N93/$T93/1000000</f>
        <v>3.86624131592885E-005</v>
      </c>
      <c r="V93" s="57" t="n">
        <f aca="false">P93/$T93/1000000</f>
        <v>3.6020672408373E-005</v>
      </c>
      <c r="W93" s="50" t="n">
        <f aca="false">M93+0.000041</f>
        <v>4.6E-005</v>
      </c>
      <c r="X93" s="51" t="n">
        <f aca="false">D93-filings!N93*C93*1000000</f>
        <v>49.5534137931035</v>
      </c>
      <c r="Y93" s="51" t="n">
        <f aca="false">0.000041*C93*1000000</f>
        <v>55.9723517241379</v>
      </c>
      <c r="Z93" s="0" t="n">
        <f aca="false">MONTH(B93)</f>
        <v>2</v>
      </c>
    </row>
    <row r="94" customFormat="false" ht="12.75" hidden="false" customHeight="false" outlineLevel="0" collapsed="false">
      <c r="A94" s="0" t="n">
        <f aca="false">DAY((B95-1))</f>
        <v>31</v>
      </c>
      <c r="B94" s="7" t="n">
        <v>36586</v>
      </c>
      <c r="C94" s="26" t="n">
        <f aca="false">(filings!C94+filings!D94)*filings!K94/daily!$A94/1000000</f>
        <v>1.19683870967742</v>
      </c>
      <c r="D94" s="51" t="n">
        <f aca="false">filings!$D94/daily!$A94</f>
        <v>43.5483870967742</v>
      </c>
      <c r="E94" s="51" t="n">
        <f aca="false">filings!E96/daily!$A94</f>
        <v>43.5067096774194</v>
      </c>
      <c r="F94" s="51" t="n">
        <f aca="false">filings!F96/daily!$A94</f>
        <v>51.6573548387097</v>
      </c>
      <c r="G94" s="51" t="n">
        <f aca="false">filings!G96/daily!$A94</f>
        <v>4.03225806451613</v>
      </c>
      <c r="H94" s="51" t="n">
        <f aca="false">filings!H96/daily!$A94</f>
        <v>-12.1829032258064</v>
      </c>
      <c r="I94" s="51" t="n">
        <f aca="false">filings!I94/daily!$A94</f>
        <v>39.6591290322581</v>
      </c>
      <c r="J94" s="58" t="n">
        <f aca="false">$D94/$C94/1000000</f>
        <v>3.63861786426608E-005</v>
      </c>
      <c r="K94" s="59" t="n">
        <f aca="false">$I94/$C94/1000000</f>
        <v>3.31365694571721E-005</v>
      </c>
      <c r="L94" s="64" t="n">
        <v>3.4E-005</v>
      </c>
      <c r="M94" s="56" t="n">
        <f aca="false">filings!N94</f>
        <v>5E-006</v>
      </c>
      <c r="N94" s="51" t="n">
        <f aca="false">filings!O94/daily!$A94</f>
        <v>47.3859677419355</v>
      </c>
      <c r="O94" s="51" t="n">
        <f aca="false">filings!P94/daily!$A94</f>
        <v>4.27138709677419</v>
      </c>
      <c r="P94" s="51" t="n">
        <f aca="false">filings!Q94/daily!$A94</f>
        <v>51.6573548387097</v>
      </c>
      <c r="Q94" s="51" t="n">
        <f aca="false">filings!R94/daily!$A94</f>
        <v>43.5067096774194</v>
      </c>
      <c r="R94" s="51" t="n">
        <f aca="false">filings!S94/daily!$A94</f>
        <v>6.39983870967742</v>
      </c>
      <c r="S94" s="51" t="n">
        <f aca="false">Q94-R94</f>
        <v>37.1068709677419</v>
      </c>
      <c r="T94" s="26" t="n">
        <f aca="false">Q94/L94/1000000</f>
        <v>1.27960910815939</v>
      </c>
      <c r="U94" s="50" t="n">
        <f aca="false">N94/$T94/1000000</f>
        <v>3.70315961646257E-005</v>
      </c>
      <c r="V94" s="57" t="n">
        <f aca="false">P94/$T94/1000000</f>
        <v>4.03696367189933E-005</v>
      </c>
      <c r="W94" s="50" t="n">
        <f aca="false">M94+0.000041</f>
        <v>4.6E-005</v>
      </c>
      <c r="X94" s="51" t="n">
        <f aca="false">D94-filings!N94*C94*1000000</f>
        <v>37.5641935483871</v>
      </c>
      <c r="Y94" s="51" t="n">
        <f aca="false">0.000041*C94*1000000</f>
        <v>49.0703870967742</v>
      </c>
      <c r="Z94" s="0" t="n">
        <f aca="false">MONTH(B94)</f>
        <v>3</v>
      </c>
    </row>
    <row r="95" customFormat="false" ht="12.75" hidden="false" customHeight="false" outlineLevel="0" collapsed="false">
      <c r="A95" s="0" t="n">
        <f aca="false">DAY((B96-1))</f>
        <v>30</v>
      </c>
      <c r="B95" s="7" t="n">
        <v>36617</v>
      </c>
      <c r="C95" s="26" t="n">
        <f aca="false">(filings!C95+filings!D95)*filings!K95/daily!$A95/1000000</f>
        <v>1.29512933333333</v>
      </c>
      <c r="D95" s="51" t="n">
        <f aca="false">filings!$D95/daily!$A95</f>
        <v>48.3333333333333</v>
      </c>
      <c r="E95" s="51" t="n">
        <f aca="false">filings!E97/daily!$A95</f>
        <v>37.7875333333333</v>
      </c>
      <c r="F95" s="51" t="n">
        <f aca="false">filings!F97/daily!$A95</f>
        <v>41.6411</v>
      </c>
      <c r="G95" s="51" t="n">
        <f aca="false">filings!G97/daily!$A95</f>
        <v>5.33853333333333</v>
      </c>
      <c r="H95" s="51" t="n">
        <f aca="false">filings!H97/daily!$A95</f>
        <v>-9.1921</v>
      </c>
      <c r="I95" s="51" t="n">
        <f aca="false">filings!I95/daily!$A95</f>
        <v>40.8203333333333</v>
      </c>
      <c r="J95" s="58" t="n">
        <f aca="false">$D95/$C95/1000000</f>
        <v>3.73193101950179E-005</v>
      </c>
      <c r="K95" s="59" t="n">
        <f aca="false">$I95/$C95/1000000</f>
        <v>3.15183451433937E-005</v>
      </c>
      <c r="L95" s="64" t="n">
        <v>3.2E-005</v>
      </c>
      <c r="M95" s="56" t="n">
        <f aca="false">filings!N95</f>
        <v>5E-006</v>
      </c>
      <c r="N95" s="51" t="n">
        <f aca="false">filings!O95/daily!$A95</f>
        <v>41.1849</v>
      </c>
      <c r="O95" s="51" t="n">
        <f aca="false">filings!P95/daily!$A95</f>
        <v>0.4562</v>
      </c>
      <c r="P95" s="51" t="n">
        <f aca="false">filings!Q95/daily!$A95</f>
        <v>41.6411</v>
      </c>
      <c r="Q95" s="51" t="n">
        <f aca="false">filings!R95/daily!$A95</f>
        <v>37.7875333333333</v>
      </c>
      <c r="R95" s="51" t="n">
        <f aca="false">filings!S95/daily!$A95</f>
        <v>5.9062</v>
      </c>
      <c r="S95" s="51" t="n">
        <f aca="false">Q95-R95</f>
        <v>31.8813333333333</v>
      </c>
      <c r="T95" s="26" t="n">
        <f aca="false">Q95/L95/1000000</f>
        <v>1.18086041666667</v>
      </c>
      <c r="U95" s="50" t="n">
        <f aca="false">N95/$T95/1000000</f>
        <v>3.48770264619901E-005</v>
      </c>
      <c r="V95" s="57" t="n">
        <f aca="false">P95/$T95/1000000</f>
        <v>3.52633549336377E-005</v>
      </c>
      <c r="W95" s="50" t="n">
        <f aca="false">M95+0.000041</f>
        <v>4.6E-005</v>
      </c>
      <c r="X95" s="51" t="n">
        <f aca="false">D95-filings!N95*C95*1000000</f>
        <v>41.8576866666667</v>
      </c>
      <c r="Y95" s="51" t="n">
        <f aca="false">0.000041*C95*1000000</f>
        <v>53.1003026666667</v>
      </c>
      <c r="Z95" s="0" t="n">
        <f aca="false">MONTH(B95)</f>
        <v>4</v>
      </c>
    </row>
    <row r="96" customFormat="false" ht="12.75" hidden="false" customHeight="false" outlineLevel="0" collapsed="false">
      <c r="A96" s="0" t="n">
        <f aca="false">DAY((B97-1))</f>
        <v>31</v>
      </c>
      <c r="B96" s="7" t="n">
        <v>36647</v>
      </c>
      <c r="C96" s="26" t="n">
        <f aca="false">(filings!C96+filings!D96)*filings!K96/daily!$A96/1000000</f>
        <v>1.18761290322581</v>
      </c>
      <c r="D96" s="51" t="n">
        <f aca="false">filings!$D96/daily!$A96</f>
        <v>25.8064516129032</v>
      </c>
      <c r="E96" s="51" t="n">
        <f aca="false">filings!E98/daily!$A96</f>
        <v>40.0402258064516</v>
      </c>
      <c r="F96" s="51" t="n">
        <f aca="false">filings!F98/daily!$A96</f>
        <v>49.5541612903226</v>
      </c>
      <c r="G96" s="51" t="n">
        <f aca="false">filings!G98/daily!$A96</f>
        <v>5.94003225806452</v>
      </c>
      <c r="H96" s="51" t="n">
        <f aca="false">filings!H98/daily!$A96</f>
        <v>-15.4539677419355</v>
      </c>
      <c r="I96" s="51" t="n">
        <f aca="false">filings!I96/daily!$A96</f>
        <v>37.9893548387097</v>
      </c>
      <c r="J96" s="58" t="n">
        <f aca="false">$D96/$C96/1000000</f>
        <v>2.17296827466319E-005</v>
      </c>
      <c r="K96" s="59" t="n">
        <f aca="false">$I96/$C96/1000000</f>
        <v>3.19879943502825E-005</v>
      </c>
      <c r="L96" s="64" t="n">
        <f aca="false">filings!M96</f>
        <v>3.2E-005</v>
      </c>
      <c r="M96" s="56" t="n">
        <f aca="false">filings!N96</f>
        <v>5E-006</v>
      </c>
      <c r="N96" s="51" t="n">
        <f aca="false">filings!O96/daily!$A96</f>
        <v>49.6490967741936</v>
      </c>
      <c r="O96" s="51" t="n">
        <f aca="false">filings!P96/daily!$A96</f>
        <v>-0.0949354838709677</v>
      </c>
      <c r="P96" s="51" t="n">
        <f aca="false">filings!Q96/daily!$A96</f>
        <v>49.5541612903226</v>
      </c>
      <c r="Q96" s="51" t="n">
        <f aca="false">filings!R96/daily!$A96</f>
        <v>40.0402258064516</v>
      </c>
      <c r="R96" s="51" t="n">
        <f aca="false">filings!S96/daily!$A96</f>
        <v>6.25829032258065</v>
      </c>
      <c r="S96" s="51" t="n">
        <f aca="false">Q96-R96</f>
        <v>33.781935483871</v>
      </c>
      <c r="T96" s="26" t="n">
        <f aca="false">Q96/L96/1000000</f>
        <v>1.25125705645161</v>
      </c>
      <c r="U96" s="50" t="n">
        <f aca="false">N96/$T96/1000000</f>
        <v>3.96793740488396E-005</v>
      </c>
      <c r="V96" s="57" t="n">
        <f aca="false">P96/$T96/1000000</f>
        <v>3.96035019621397E-005</v>
      </c>
      <c r="W96" s="50" t="n">
        <f aca="false">M96+0.000041</f>
        <v>4.6E-005</v>
      </c>
      <c r="X96" s="51" t="n">
        <f aca="false">D96-filings!N96*C96*1000000</f>
        <v>19.8683870967742</v>
      </c>
      <c r="Y96" s="51" t="n">
        <f aca="false">0.000041*C96*1000000</f>
        <v>48.6921290322581</v>
      </c>
      <c r="Z96" s="0" t="n">
        <f aca="false">MONTH(B96)</f>
        <v>5</v>
      </c>
    </row>
    <row r="97" customFormat="false" ht="12.75" hidden="false" customHeight="false" outlineLevel="0" collapsed="false">
      <c r="A97" s="0" t="n">
        <f aca="false">DAY((B98-1))</f>
        <v>30</v>
      </c>
      <c r="B97" s="7" t="n">
        <v>36678</v>
      </c>
      <c r="C97" s="26" t="n">
        <f aca="false">(filings!C97+filings!D97)*filings!K97/daily!$A97/1000000</f>
        <v>1.2831</v>
      </c>
      <c r="D97" s="51" t="n">
        <f aca="false">filings!$D97/daily!$A97</f>
        <v>34.1666666666667</v>
      </c>
      <c r="E97" s="51" t="n">
        <f aca="false">filings!E99/daily!$A97</f>
        <v>43.7492666666667</v>
      </c>
      <c r="F97" s="51" t="n">
        <f aca="false">filings!F99/daily!$A97</f>
        <v>57.4666333333333</v>
      </c>
      <c r="G97" s="51" t="n">
        <f aca="false">filings!G99/daily!$A97</f>
        <v>5.7108</v>
      </c>
      <c r="H97" s="51" t="n">
        <f aca="false">filings!H99/daily!$A97</f>
        <v>-19.4281666666667</v>
      </c>
      <c r="I97" s="51" t="n">
        <f aca="false">filings!I97/daily!$A97</f>
        <v>43.3587666666667</v>
      </c>
      <c r="J97" s="58" t="n">
        <f aca="false">$D97/$C97/1000000</f>
        <v>2.66282181175798E-005</v>
      </c>
      <c r="K97" s="59" t="n">
        <f aca="false">$I97/$C97/1000000</f>
        <v>3.37921959836853E-005</v>
      </c>
      <c r="L97" s="64" t="n">
        <f aca="false">filings!M97</f>
        <v>3.4E-005</v>
      </c>
      <c r="M97" s="56" t="n">
        <f aca="false">filings!N97</f>
        <v>5E-006</v>
      </c>
      <c r="N97" s="51" t="n">
        <f aca="false">filings!O97/daily!$A97</f>
        <v>56.1821666666667</v>
      </c>
      <c r="O97" s="51" t="n">
        <f aca="false">filings!P97/daily!$A97</f>
        <v>1.28446666666667</v>
      </c>
      <c r="P97" s="51" t="n">
        <f aca="false">filings!Q97/daily!$A97</f>
        <v>57.4666333333333</v>
      </c>
      <c r="Q97" s="51" t="n">
        <f aca="false">filings!R97/daily!$A97</f>
        <v>43.7492666666667</v>
      </c>
      <c r="R97" s="51" t="n">
        <f aca="false">filings!S97/daily!$A97</f>
        <v>6.43553333333333</v>
      </c>
      <c r="S97" s="51" t="n">
        <f aca="false">Q97-R97</f>
        <v>37.3137333333333</v>
      </c>
      <c r="T97" s="26" t="n">
        <f aca="false">Q97/L97/1000000</f>
        <v>1.2867431372549</v>
      </c>
      <c r="U97" s="50" t="n">
        <f aca="false">N97/$T97/1000000</f>
        <v>4.36623013871471E-005</v>
      </c>
      <c r="V97" s="57" t="n">
        <f aca="false">P97/$T97/1000000</f>
        <v>4.46605322146352E-005</v>
      </c>
      <c r="W97" s="50" t="n">
        <f aca="false">M97+0.000041</f>
        <v>4.6E-005</v>
      </c>
      <c r="X97" s="51" t="n">
        <f aca="false">D97-filings!N97*C97*1000000</f>
        <v>27.7511666666667</v>
      </c>
      <c r="Y97" s="51" t="n">
        <f aca="false">0.000041*C97*1000000</f>
        <v>52.6071</v>
      </c>
      <c r="Z97" s="0" t="n">
        <f aca="false">MONTH(B97)</f>
        <v>6</v>
      </c>
    </row>
    <row r="98" customFormat="false" ht="12.75" hidden="false" customHeight="false" outlineLevel="0" collapsed="false">
      <c r="A98" s="0" t="n">
        <f aca="false">DAY((B99-1))</f>
        <v>31</v>
      </c>
      <c r="B98" s="7" t="n">
        <v>36708</v>
      </c>
      <c r="C98" s="26" t="n">
        <f aca="false">(filings!C98+filings!D98)*filings!K98/daily!$A98/1000000</f>
        <v>1.27783290322581</v>
      </c>
      <c r="D98" s="51" t="n">
        <f aca="false">filings!$D98/daily!$A98</f>
        <v>38.0161290322581</v>
      </c>
      <c r="E98" s="51" t="n">
        <f aca="false">filings!E100/daily!$A98</f>
        <v>56.4814193548387</v>
      </c>
      <c r="F98" s="51" t="n">
        <f aca="false">filings!F100/daily!$A98</f>
        <v>67.0439677419355</v>
      </c>
      <c r="G98" s="51" t="n">
        <f aca="false">filings!G100/daily!$A98</f>
        <v>5.62641935483871</v>
      </c>
      <c r="H98" s="51" t="n">
        <f aca="false">filings!H100/daily!$A98</f>
        <v>-16.1889677419355</v>
      </c>
      <c r="I98" s="51" t="n">
        <f aca="false">filings!I98/daily!$A98</f>
        <v>53.4700967741935</v>
      </c>
      <c r="J98" s="58" t="n">
        <f aca="false">$D98/$C98/1000000</f>
        <v>2.97504696711822E-005</v>
      </c>
      <c r="K98" s="59" t="n">
        <f aca="false">$I98/$C98/1000000</f>
        <v>4.18443574580149E-005</v>
      </c>
      <c r="L98" s="64" t="n">
        <f aca="false">filings!M98</f>
        <v>4.3E-005</v>
      </c>
      <c r="M98" s="56" t="n">
        <f aca="false">filings!N98</f>
        <v>6E-006</v>
      </c>
      <c r="N98" s="51" t="n">
        <f aca="false">filings!O98/daily!$A98</f>
        <v>62.4288709677419</v>
      </c>
      <c r="O98" s="51" t="n">
        <f aca="false">filings!P98/daily!$A98</f>
        <v>4.61509677419355</v>
      </c>
      <c r="P98" s="51" t="n">
        <f aca="false">filings!Q98/daily!$A98</f>
        <v>67.0439677419355</v>
      </c>
      <c r="Q98" s="51" t="n">
        <f aca="false">filings!R98/daily!$A98</f>
        <v>56.4610967741936</v>
      </c>
      <c r="R98" s="51" t="n">
        <f aca="false">filings!S98/daily!$A98</f>
        <v>7.87632258064516</v>
      </c>
      <c r="S98" s="51" t="n">
        <f aca="false">Q98-R98</f>
        <v>48.5847741935484</v>
      </c>
      <c r="T98" s="26" t="n">
        <f aca="false">Q98/L98/1000000</f>
        <v>1.31304876219055</v>
      </c>
      <c r="U98" s="50" t="n">
        <f aca="false">N98/$T98/1000000</f>
        <v>4.75449753012922E-005</v>
      </c>
      <c r="V98" s="57" t="n">
        <f aca="false">P98/$T98/1000000</f>
        <v>5.1059769958647E-005</v>
      </c>
      <c r="W98" s="50" t="n">
        <f aca="false">M98+0.000041</f>
        <v>4.7E-005</v>
      </c>
      <c r="X98" s="51" t="n">
        <f aca="false">D98-filings!N98*C98*1000000</f>
        <v>30.3491316129032</v>
      </c>
      <c r="Y98" s="51" t="n">
        <f aca="false">0.000041*C98*1000000</f>
        <v>52.3911490322581</v>
      </c>
      <c r="Z98" s="0" t="n">
        <f aca="false">MONTH(B98)</f>
        <v>7</v>
      </c>
    </row>
    <row r="99" customFormat="false" ht="12.75" hidden="false" customHeight="false" outlineLevel="0" collapsed="false">
      <c r="A99" s="0" t="n">
        <f aca="false">DAY((B100-1))</f>
        <v>31</v>
      </c>
      <c r="B99" s="7" t="n">
        <v>36739</v>
      </c>
      <c r="C99" s="26" t="n">
        <f aca="false">(filings!C99+filings!D99)*filings!K99/daily!$A99/1000000</f>
        <v>1.21050967741936</v>
      </c>
      <c r="D99" s="51" t="n">
        <f aca="false">filings!$D99/daily!$A99</f>
        <v>37.5806451612903</v>
      </c>
      <c r="E99" s="51" t="n">
        <f aca="false">filings!E101/daily!$A99</f>
        <v>58.3535161290323</v>
      </c>
      <c r="F99" s="51" t="n">
        <f aca="false">filings!F101/daily!$A99</f>
        <v>64.2513870967742</v>
      </c>
      <c r="G99" s="51" t="n">
        <f aca="false">filings!G101/daily!$A99</f>
        <v>5.45641935483871</v>
      </c>
      <c r="H99" s="51" t="n">
        <f aca="false">filings!H101/daily!$A99</f>
        <v>-11.3542903225806</v>
      </c>
      <c r="I99" s="51" t="n">
        <f aca="false">filings!I99/daily!$A99</f>
        <v>56.3820967741936</v>
      </c>
      <c r="J99" s="58" t="n">
        <f aca="false">$D99/$C99/1000000</f>
        <v>3.104530749511E-005</v>
      </c>
      <c r="K99" s="59" t="n">
        <f aca="false">$I99/$C99/1000000</f>
        <v>4.65771549174168E-005</v>
      </c>
      <c r="L99" s="64" t="n">
        <f aca="false">filings!M99</f>
        <v>4.7E-005</v>
      </c>
      <c r="M99" s="56" t="n">
        <f aca="false">filings!N99</f>
        <v>6E-006</v>
      </c>
      <c r="N99" s="51" t="n">
        <f aca="false">filings!O99/daily!$A99</f>
        <v>57.1818709677419</v>
      </c>
      <c r="O99" s="51" t="n">
        <f aca="false">filings!P99/daily!$A99</f>
        <v>7.06951612903226</v>
      </c>
      <c r="P99" s="51" t="n">
        <f aca="false">filings!Q99/daily!$A99</f>
        <v>64.2513870967742</v>
      </c>
      <c r="Q99" s="51" t="n">
        <f aca="false">filings!R99/daily!$A99</f>
        <v>58.3535161290323</v>
      </c>
      <c r="R99" s="51" t="n">
        <f aca="false">filings!S99/daily!$A99</f>
        <v>7.45174193548387</v>
      </c>
      <c r="S99" s="51" t="n">
        <f aca="false">Q99-R99</f>
        <v>50.9017741935484</v>
      </c>
      <c r="T99" s="26" t="n">
        <f aca="false">Q99/L99/1000000</f>
        <v>1.24156417295813</v>
      </c>
      <c r="U99" s="50" t="n">
        <f aca="false">N99/$T99/1000000</f>
        <v>4.60563152619822E-005</v>
      </c>
      <c r="V99" s="57" t="n">
        <f aca="false">P99/$T99/1000000</f>
        <v>5.17503553148524E-005</v>
      </c>
      <c r="W99" s="50" t="n">
        <f aca="false">M99+0.000041</f>
        <v>4.7E-005</v>
      </c>
      <c r="X99" s="51" t="n">
        <f aca="false">D99-filings!N99*C99*1000000</f>
        <v>30.3175870967742</v>
      </c>
      <c r="Y99" s="51" t="n">
        <f aca="false">0.000041*C99*1000000</f>
        <v>49.6308967741936</v>
      </c>
      <c r="Z99" s="0" t="n">
        <f aca="false">MONTH(B99)</f>
        <v>8</v>
      </c>
    </row>
    <row r="100" customFormat="false" ht="12.75" hidden="false" customHeight="false" outlineLevel="0" collapsed="false">
      <c r="A100" s="0" t="n">
        <f aca="false">DAY((B101-1))</f>
        <v>30</v>
      </c>
      <c r="B100" s="7" t="n">
        <v>36770</v>
      </c>
      <c r="C100" s="26" t="n">
        <f aca="false">(filings!C100+filings!D100)*filings!K100/daily!$A100/1000000</f>
        <v>1.26966666666667</v>
      </c>
      <c r="D100" s="51" t="n">
        <f aca="false">filings!$D100/daily!$A100</f>
        <v>41.6666666666667</v>
      </c>
      <c r="I100" s="51" t="n">
        <f aca="false">filings!I100/daily!$A100</f>
        <v>58.3952666666667</v>
      </c>
      <c r="J100" s="58" t="n">
        <f aca="false">$D100/$C100/1000000</f>
        <v>3.28170123391966E-005</v>
      </c>
      <c r="K100" s="59" t="n">
        <f aca="false">$I100/$C100/1000000</f>
        <v>4.59925964820163E-005</v>
      </c>
      <c r="L100" s="64" t="n">
        <f aca="false">filings!M100</f>
        <v>4.7E-005</v>
      </c>
      <c r="M100" s="56" t="n">
        <f aca="false">filings!N100</f>
        <v>6E-006</v>
      </c>
      <c r="N100" s="51" t="n">
        <f aca="false">filings!O100/daily!$A100</f>
        <v>57.0217666666667</v>
      </c>
      <c r="O100" s="51" t="n">
        <f aca="false">filings!P100/daily!$A100</f>
        <v>4.21983333333333</v>
      </c>
      <c r="P100" s="51" t="n">
        <f aca="false">filings!Q100/daily!$A100</f>
        <v>61.2416</v>
      </c>
      <c r="Q100" s="51" t="n">
        <f aca="false">filings!R100/daily!$A100</f>
        <v>59.8572666666667</v>
      </c>
      <c r="R100" s="51" t="n">
        <f aca="false">filings!S100/daily!$A100</f>
        <v>7.64376666666667</v>
      </c>
      <c r="S100" s="51" t="n">
        <f aca="false">Q100-R100</f>
        <v>52.2135</v>
      </c>
      <c r="T100" s="26" t="n">
        <f aca="false">Q100/L100/1000000</f>
        <v>1.27355886524823</v>
      </c>
      <c r="U100" s="50" t="n">
        <f aca="false">N100/$T100/1000000</f>
        <v>4.47735618844384E-005</v>
      </c>
      <c r="V100" s="57" t="n">
        <f aca="false">P100/$T100/1000000</f>
        <v>4.80869802496829E-005</v>
      </c>
      <c r="W100" s="50" t="n">
        <f aca="false">M100+0.000041</f>
        <v>4.7E-005</v>
      </c>
      <c r="X100" s="51" t="n">
        <f aca="false">D100-filings!N100*C100*1000000</f>
        <v>34.0486666666667</v>
      </c>
      <c r="Y100" s="51" t="n">
        <f aca="false">0.000041*C100*1000000</f>
        <v>52.0563333333333</v>
      </c>
      <c r="Z100" s="0" t="n">
        <f aca="false">MONTH(B100)</f>
        <v>9</v>
      </c>
    </row>
    <row r="101" customFormat="false" ht="12.75" hidden="false" customHeight="false" outlineLevel="0" collapsed="false">
      <c r="A101" s="0" t="n">
        <f aca="false">DAY((B102-1))</f>
        <v>31</v>
      </c>
      <c r="B101" s="7" t="n">
        <v>36800</v>
      </c>
      <c r="C101" s="26" t="n">
        <f aca="false">(filings!C101+filings!D101)*filings!K101/daily!$A101/1000000</f>
        <v>1.16287096774194</v>
      </c>
      <c r="D101" s="51" t="n">
        <f aca="false">filings!$D101/daily!$A101</f>
        <v>42.741935483871</v>
      </c>
      <c r="I101" s="51" t="n">
        <f aca="false">filings!I101/daily!$A101</f>
        <v>54.0962258064516</v>
      </c>
      <c r="J101" s="58" t="n">
        <f aca="false">$D101/$C101/1000000</f>
        <v>3.67555271990901E-005</v>
      </c>
      <c r="K101" s="59" t="n">
        <f aca="false">$I101/$C101/1000000</f>
        <v>4.65195428444617E-005</v>
      </c>
      <c r="L101" s="64" t="n">
        <f aca="false">filings!M101</f>
        <v>4.7E-005</v>
      </c>
      <c r="M101" s="56" t="n">
        <f aca="false">filings!N101</f>
        <v>6E-006</v>
      </c>
      <c r="N101" s="51" t="n">
        <f aca="false">filings!O101/daily!$A101</f>
        <v>56.3612580645161</v>
      </c>
      <c r="O101" s="51" t="n">
        <f aca="false">filings!P101/daily!$A101</f>
        <v>-2.35996774193548</v>
      </c>
      <c r="P101" s="51" t="n">
        <f aca="false">filings!Q101/daily!$A101</f>
        <v>54.0012903225806</v>
      </c>
      <c r="Q101" s="51" t="n">
        <f aca="false">filings!R101/daily!$A101</f>
        <v>60.622064516129</v>
      </c>
      <c r="R101" s="51" t="n">
        <f aca="false">filings!S101/daily!$A101</f>
        <v>7.74145161290323</v>
      </c>
      <c r="S101" s="51" t="n">
        <f aca="false">Q101-R101</f>
        <v>52.8806129032258</v>
      </c>
      <c r="T101" s="26" t="n">
        <f aca="false">Q101/L101/1000000</f>
        <v>1.28983115991764</v>
      </c>
      <c r="U101" s="50" t="n">
        <f aca="false">N101/$T101/1000000</f>
        <v>4.36966169030333E-005</v>
      </c>
      <c r="V101" s="57" t="n">
        <f aca="false">P101/$T101/1000000</f>
        <v>4.18669450705694E-005</v>
      </c>
      <c r="W101" s="50" t="n">
        <f aca="false">M101+0.000041</f>
        <v>4.7E-005</v>
      </c>
      <c r="X101" s="51" t="n">
        <f aca="false">D101-filings!N101*C101*1000000</f>
        <v>35.7647096774194</v>
      </c>
      <c r="Y101" s="51" t="n">
        <f aca="false">0.000041*C101*1000000</f>
        <v>47.6777096774194</v>
      </c>
      <c r="Z101" s="0" t="n">
        <f aca="false">MONTH(B101)</f>
        <v>10</v>
      </c>
    </row>
    <row r="102" customFormat="false" ht="12.75" hidden="false" customHeight="false" outlineLevel="0" collapsed="false">
      <c r="A102" s="0" t="n">
        <f aca="false">DAY((B103-1))</f>
        <v>30</v>
      </c>
      <c r="B102" s="7" t="n">
        <v>36831</v>
      </c>
      <c r="L102" s="64" t="n">
        <f aca="false">filings!M102</f>
        <v>4.7E-005</v>
      </c>
      <c r="M102" s="56" t="n">
        <f aca="false">filings!N102</f>
        <v>6E-006</v>
      </c>
      <c r="W102" s="50" t="n">
        <f aca="false">M102+0.000041</f>
        <v>4.7E-005</v>
      </c>
      <c r="Z102" s="0" t="n">
        <f aca="false">MONTH(B102)</f>
        <v>11</v>
      </c>
    </row>
    <row r="103" customFormat="false" ht="12.75" hidden="false" customHeight="false" outlineLevel="0" collapsed="false">
      <c r="A103" s="0" t="n">
        <f aca="false">DAY((B104-1))</f>
        <v>31</v>
      </c>
      <c r="B103" s="7" t="n">
        <v>36861</v>
      </c>
      <c r="L103" s="64" t="n">
        <f aca="false">filings!M103</f>
        <v>4.7E-005</v>
      </c>
      <c r="M103" s="56" t="n">
        <f aca="false">filings!N103</f>
        <v>6E-006</v>
      </c>
      <c r="W103" s="50" t="n">
        <f aca="false">M103+0.000041</f>
        <v>4.7E-005</v>
      </c>
      <c r="Z103" s="0" t="n">
        <f aca="false">MONTH(B103)</f>
        <v>12</v>
      </c>
    </row>
    <row r="104" customFormat="false" ht="12.75" hidden="false" customHeight="false" outlineLevel="0" collapsed="false">
      <c r="A104" s="0" t="n">
        <f aca="false">DAY((B105-1))</f>
        <v>31</v>
      </c>
      <c r="B104" s="7" t="n">
        <v>36892</v>
      </c>
      <c r="L104" s="64" t="n">
        <f aca="false">filings!M104</f>
        <v>5.1E-005</v>
      </c>
      <c r="M104" s="56" t="n">
        <f aca="false">filings!N104</f>
        <v>1.2E-005</v>
      </c>
      <c r="W104" s="50" t="n">
        <f aca="false">M104+0.00005</f>
        <v>6.2E-005</v>
      </c>
      <c r="Z104" s="0" t="n">
        <f aca="false">MONTH(B104)</f>
        <v>1</v>
      </c>
    </row>
    <row r="105" customFormat="false" ht="12.75" hidden="false" customHeight="false" outlineLevel="0" collapsed="false">
      <c r="A105" s="0" t="n">
        <f aca="false">DAY((B106-1))</f>
        <v>28</v>
      </c>
      <c r="B105" s="7" t="n">
        <v>36923</v>
      </c>
      <c r="L105" s="64" t="n">
        <f aca="false">filings!M105</f>
        <v>5.8E-005</v>
      </c>
      <c r="M105" s="56" t="n">
        <f aca="false">filings!N105</f>
        <v>1.2E-005</v>
      </c>
      <c r="W105" s="50" t="n">
        <f aca="false">M105+0.00005</f>
        <v>6.2E-005</v>
      </c>
      <c r="Z105" s="0" t="n">
        <f aca="false">MONTH(B105)</f>
        <v>2</v>
      </c>
    </row>
    <row r="106" customFormat="false" ht="12.75" hidden="false" customHeight="false" outlineLevel="0" collapsed="false">
      <c r="A106" s="0" t="n">
        <f aca="false">DAY((B107-1))</f>
        <v>31</v>
      </c>
      <c r="B106" s="7" t="n">
        <v>36951</v>
      </c>
      <c r="L106" s="64" t="n">
        <f aca="false">filings!M106</f>
        <v>5.6E-005</v>
      </c>
      <c r="M106" s="56" t="n">
        <f aca="false">filings!N106</f>
        <v>1.2E-005</v>
      </c>
      <c r="W106" s="50" t="n">
        <f aca="false">M106+0.00005</f>
        <v>6.2E-005</v>
      </c>
      <c r="Z106" s="0" t="n">
        <f aca="false">MONTH(B106)</f>
        <v>3</v>
      </c>
    </row>
    <row r="107" customFormat="false" ht="12.75" hidden="false" customHeight="false" outlineLevel="0" collapsed="false">
      <c r="A107" s="0" t="n">
        <f aca="false">DAY((B108-1))</f>
        <v>30</v>
      </c>
      <c r="B107" s="7" t="n">
        <v>36982</v>
      </c>
      <c r="L107" s="64" t="n">
        <f aca="false">filings!M107</f>
        <v>5.1E-005</v>
      </c>
      <c r="M107" s="56" t="n">
        <f aca="false">filings!N107</f>
        <v>1.2E-005</v>
      </c>
      <c r="W107" s="50" t="n">
        <f aca="false">M107+0.00005</f>
        <v>6.2E-005</v>
      </c>
      <c r="Z107" s="0" t="n">
        <f aca="false">MONTH(B107)</f>
        <v>4</v>
      </c>
    </row>
    <row r="108" customFormat="false" ht="12.75" hidden="false" customHeight="false" outlineLevel="0" collapsed="false">
      <c r="A108" s="0" t="n">
        <f aca="false">DAY((B109-1))</f>
        <v>31</v>
      </c>
      <c r="B108" s="7" t="n">
        <v>37012</v>
      </c>
      <c r="L108" s="64" t="n">
        <f aca="false">filings!M108</f>
        <v>4.3E-005</v>
      </c>
      <c r="M108" s="56" t="n">
        <f aca="false">filings!N108</f>
        <v>1.2E-005</v>
      </c>
      <c r="W108" s="50" t="n">
        <f aca="false">M108+0.00005</f>
        <v>6.2E-005</v>
      </c>
      <c r="Z108" s="0" t="n">
        <f aca="false">MONTH(B108)</f>
        <v>5</v>
      </c>
    </row>
    <row r="109" customFormat="false" ht="12.75" hidden="false" customHeight="false" outlineLevel="0" collapsed="false">
      <c r="A109" s="0" t="n">
        <f aca="false">DAY((B110-1))</f>
        <v>30</v>
      </c>
      <c r="B109" s="7" t="n">
        <v>37043</v>
      </c>
      <c r="L109" s="64"/>
      <c r="M109" s="56" t="n">
        <f aca="false">filings!N109</f>
        <v>1.2E-005</v>
      </c>
      <c r="W109" s="50" t="n">
        <f aca="false">M109+0.00005</f>
        <v>6.2E-005</v>
      </c>
      <c r="Z109" s="0" t="n">
        <f aca="false">MONTH(B109)</f>
        <v>6</v>
      </c>
    </row>
    <row r="110" customFormat="false" ht="12.75" hidden="false" customHeight="false" outlineLevel="0" collapsed="false">
      <c r="A110" s="0" t="n">
        <f aca="false">DAY((B111-1))</f>
        <v>31</v>
      </c>
      <c r="B110" s="7" t="n">
        <v>37073</v>
      </c>
      <c r="L110" s="64"/>
      <c r="M110" s="56"/>
      <c r="W110" s="50" t="n">
        <f aca="false">M110+0.00005</f>
        <v>5E-005</v>
      </c>
      <c r="Z110" s="0" t="n">
        <f aca="false">MONTH(B110)</f>
        <v>7</v>
      </c>
    </row>
    <row r="111" customFormat="false" ht="12.75" hidden="false" customHeight="false" outlineLevel="0" collapsed="false">
      <c r="A111" s="0" t="n">
        <f aca="false">DAY((B112-1))</f>
        <v>31</v>
      </c>
      <c r="B111" s="7" t="n">
        <v>37104</v>
      </c>
      <c r="L111" s="64"/>
      <c r="M111" s="56"/>
      <c r="W111" s="50" t="n">
        <f aca="false">M111+0.00005</f>
        <v>5E-005</v>
      </c>
      <c r="Z111" s="0" t="n">
        <f aca="false">MONTH(B111)</f>
        <v>8</v>
      </c>
    </row>
    <row r="112" customFormat="false" ht="12.75" hidden="false" customHeight="false" outlineLevel="0" collapsed="false">
      <c r="A112" s="0" t="n">
        <f aca="false">DAY((B113-1))</f>
        <v>30</v>
      </c>
      <c r="B112" s="7" t="n">
        <v>37135</v>
      </c>
      <c r="L112" s="64"/>
      <c r="M112" s="56"/>
      <c r="W112" s="50" t="n">
        <f aca="false">M112+0.00005</f>
        <v>5E-005</v>
      </c>
      <c r="Z112" s="0" t="n">
        <f aca="false">MONTH(B112)</f>
        <v>9</v>
      </c>
    </row>
    <row r="113" customFormat="false" ht="12.75" hidden="false" customHeight="false" outlineLevel="0" collapsed="false">
      <c r="A113" s="0" t="n">
        <f aca="false">DAY((B114-1))</f>
        <v>31</v>
      </c>
      <c r="B113" s="7" t="n">
        <v>37165</v>
      </c>
      <c r="L113" s="64"/>
      <c r="M113" s="56"/>
      <c r="W113" s="50" t="n">
        <f aca="false">M113+0.00005</f>
        <v>5E-005</v>
      </c>
      <c r="Z113" s="0" t="n">
        <f aca="false">MONTH(B113)</f>
        <v>10</v>
      </c>
    </row>
    <row r="114" customFormat="false" ht="12.75" hidden="false" customHeight="false" outlineLevel="0" collapsed="false">
      <c r="A114" s="0" t="n">
        <f aca="false">DAY((B115-1))</f>
        <v>30</v>
      </c>
      <c r="B114" s="7" t="n">
        <v>37196</v>
      </c>
      <c r="L114" s="64"/>
      <c r="M114" s="56"/>
      <c r="W114" s="50" t="n">
        <f aca="false">M114+0.00005</f>
        <v>5E-005</v>
      </c>
      <c r="Z114" s="0" t="n">
        <f aca="false">MONTH(B114)</f>
        <v>11</v>
      </c>
    </row>
    <row r="115" customFormat="false" ht="12.75" hidden="false" customHeight="false" outlineLevel="0" collapsed="false">
      <c r="A115" s="0" t="n">
        <f aca="false">DAY((B116-1))</f>
        <v>31</v>
      </c>
      <c r="B115" s="7" t="n">
        <v>37226</v>
      </c>
      <c r="L115" s="64"/>
      <c r="M115" s="56"/>
      <c r="W115" s="50" t="n">
        <f aca="false">M115+0.00005</f>
        <v>5E-005</v>
      </c>
      <c r="Z115" s="0" t="n">
        <f aca="false">MONTH(B115)</f>
        <v>12</v>
      </c>
    </row>
    <row r="116" customFormat="false" ht="12.75" hidden="false" customHeight="false" outlineLevel="0" collapsed="false">
      <c r="B116" s="7" t="n">
        <v>37257</v>
      </c>
      <c r="L116" s="64"/>
      <c r="M116" s="56"/>
      <c r="W116" s="50" t="n">
        <f aca="false">M116+0.00005</f>
        <v>5E-005</v>
      </c>
      <c r="Z116" s="0" t="n">
        <f aca="false">MONTH(B116)</f>
        <v>1</v>
      </c>
    </row>
    <row r="117" customFormat="false" ht="12.75" hidden="false" customHeight="false" outlineLevel="0" collapsed="false">
      <c r="B117" s="7"/>
      <c r="L117" s="64"/>
      <c r="M117" s="56"/>
      <c r="W117" s="50"/>
    </row>
  </sheetData>
  <printOptions headings="false" gridLines="false" gridLinesSet="true" horizontalCentered="false" verticalCentered="false"/>
  <pageMargins left="0.5" right="0.5" top="0.5" bottom="0.75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5" activePane="bottomRight" state="frozen"/>
      <selection pane="topLeft" activeCell="A1" activeCellId="0" sqref="A1"/>
      <selection pane="topRight" activeCell="C1" activeCellId="0" sqref="C1"/>
      <selection pane="bottomLeft" activeCell="A85" activeCellId="0" sqref="A85"/>
      <selection pane="bottomRight" activeCell="A107" activeCellId="0" sqref="A1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8.14"/>
    <col collapsed="false" customWidth="true" hidden="false" outlineLevel="0" max="4" min="3" style="0" width="8.7"/>
    <col collapsed="false" customWidth="true" hidden="false" outlineLevel="0" max="6" min="5" style="0" width="8.99"/>
    <col collapsed="false" customWidth="true" hidden="false" outlineLevel="0" max="10" min="10" style="0" width="7.7"/>
    <col collapsed="false" customWidth="true" hidden="false" outlineLevel="0" max="11" min="11" style="0" width="6.28"/>
    <col collapsed="false" customWidth="true" hidden="false" outlineLevel="0" max="12" min="12" style="0" width="12.14"/>
    <col collapsed="false" customWidth="true" hidden="false" outlineLevel="0" max="13" min="13" style="0" width="12.28"/>
    <col collapsed="false" customWidth="true" hidden="false" outlineLevel="0" max="14" min="14" style="0" width="10.85"/>
    <col collapsed="false" customWidth="true" hidden="false" outlineLevel="0" max="15" min="15" style="0" width="10.56"/>
    <col collapsed="false" customWidth="true" hidden="false" outlineLevel="0" max="17" min="17" style="0" width="8.7"/>
    <col collapsed="false" customWidth="true" hidden="false" outlineLevel="0" max="18" min="18" style="0" width="9.28"/>
    <col collapsed="false" customWidth="true" hidden="false" outlineLevel="0" max="21" min="21" style="0" width="8.85"/>
    <col collapsed="false" customWidth="true" hidden="false" outlineLevel="0" max="22" min="22" style="0" width="6.99"/>
    <col collapsed="false" customWidth="true" hidden="false" outlineLevel="0" max="23" min="23" style="0" width="7.14"/>
    <col collapsed="false" customWidth="true" hidden="false" outlineLevel="0" max="25" min="25" style="0" width="8.85"/>
    <col collapsed="false" customWidth="true" hidden="false" outlineLevel="0" max="28" min="28" style="0" width="9.85"/>
    <col collapsed="false" customWidth="true" hidden="false" outlineLevel="0" max="38" min="37" style="0" width="9.28"/>
    <col collapsed="false" customWidth="true" hidden="false" outlineLevel="0" max="39" min="39" style="0" width="9.41"/>
    <col collapsed="false" customWidth="true" hidden="false" outlineLevel="0" max="41" min="41" style="0" width="7.56"/>
    <col collapsed="false" customWidth="true" hidden="false" outlineLevel="0" max="42" min="42" style="0" width="6.41"/>
    <col collapsed="false" customWidth="true" hidden="false" outlineLevel="0" max="43" min="43" style="0" width="9.85"/>
    <col collapsed="false" customWidth="true" hidden="false" outlineLevel="0" max="44" min="44" style="0" width="11.7"/>
    <col collapsed="false" customWidth="true" hidden="false" outlineLevel="0" max="45" min="45" style="0" width="14.41"/>
    <col collapsed="false" customWidth="true" hidden="false" outlineLevel="0" max="46" min="46" style="0" width="13.14"/>
    <col collapsed="false" customWidth="true" hidden="false" outlineLevel="0" max="47" min="47" style="0" width="6.41"/>
    <col collapsed="false" customWidth="true" hidden="false" outlineLevel="0" max="50" min="50" style="0" width="13.85"/>
    <col collapsed="false" customWidth="true" hidden="false" outlineLevel="0" max="51" min="51" style="0" width="12.14"/>
  </cols>
  <sheetData>
    <row r="1" customFormat="false" ht="12.75" hidden="false" customHeight="false" outlineLevel="0" collapsed="false">
      <c r="C1" s="67" t="s">
        <v>99</v>
      </c>
      <c r="L1" s="2"/>
      <c r="M1" s="67" t="s">
        <v>100</v>
      </c>
      <c r="T1" s="2"/>
      <c r="U1" s="68" t="s">
        <v>101</v>
      </c>
      <c r="V1" s="69"/>
      <c r="W1" s="70"/>
      <c r="X1" s="71" t="s">
        <v>102</v>
      </c>
      <c r="Y1" s="71" t="s">
        <v>102</v>
      </c>
      <c r="Z1" s="51" t="n">
        <f aca="false">MAX(Z23:Z116)</f>
        <v>244.654108265798</v>
      </c>
      <c r="AB1" s="51" t="n">
        <f aca="false">MAX(AB18:AB100)</f>
        <v>295.448999999999</v>
      </c>
      <c r="AC1" s="51"/>
    </row>
    <row r="2" customFormat="false" ht="12.75" hidden="false" customHeight="false" outlineLevel="0" collapsed="false">
      <c r="B2" s="52" t="s">
        <v>64</v>
      </c>
      <c r="C2" s="0" t="n">
        <v>1</v>
      </c>
      <c r="D2" s="0" t="n">
        <v>2</v>
      </c>
      <c r="E2" s="0" t="n">
        <v>3</v>
      </c>
      <c r="F2" s="0" t="n">
        <v>4</v>
      </c>
      <c r="G2" s="0" t="n">
        <v>5</v>
      </c>
      <c r="H2" s="0" t="n">
        <v>6</v>
      </c>
      <c r="I2" s="0" t="n">
        <v>7</v>
      </c>
      <c r="J2" s="0" t="n">
        <v>8</v>
      </c>
      <c r="K2" s="0" t="n">
        <v>9</v>
      </c>
      <c r="L2" s="2" t="n">
        <v>10</v>
      </c>
      <c r="M2" s="58" t="n">
        <f aca="false">AVERAGE(M18:M121)</f>
        <v>4.13626373626374E-005</v>
      </c>
      <c r="N2" s="58" t="n">
        <f aca="false">AVERAGE(N18:N121)</f>
        <v>6.07142857142857E-006</v>
      </c>
      <c r="T2" s="2"/>
      <c r="U2" s="15"/>
      <c r="V2" s="16"/>
      <c r="W2" s="72" t="n">
        <f aca="false">W4*1.055056*35.30101</f>
        <v>38.2312239646554</v>
      </c>
      <c r="X2" s="71"/>
      <c r="Y2" s="73" t="n">
        <f aca="false">AVERAGE(Y19:Y116)</f>
        <v>476.293808675396</v>
      </c>
      <c r="Z2" s="74" t="n">
        <f aca="false">MIN(Z55:Z95)</f>
        <v>215.72857518797</v>
      </c>
      <c r="AB2" s="51" t="n">
        <f aca="false">MIN(AB18:AB100)</f>
        <v>-3672.431</v>
      </c>
      <c r="AC2" s="51"/>
      <c r="AP2" s="0" t="n">
        <f aca="false">MAX(AP$68:AP$101)</f>
        <v>589.970556803429</v>
      </c>
      <c r="AQ2" s="50" t="n">
        <f aca="false">MAX(AQ$68:AQ$101)</f>
        <v>4.8E-005</v>
      </c>
      <c r="AR2" s="75" t="n">
        <f aca="false">MAX(AR$68:AR$101)</f>
        <v>4.96317602557312E-005</v>
      </c>
      <c r="AS2" s="75" t="n">
        <f aca="false">MAX(AS$68:AS$101)</f>
        <v>5.65145618252791E-005</v>
      </c>
      <c r="AT2" s="75" t="n">
        <f aca="false">MAX(AT$68:AT$101)</f>
        <v>9.94882370817234E-006</v>
      </c>
      <c r="AU2" s="51" t="n">
        <f aca="false">MAX(AU$68:AU$101)</f>
        <v>501.302602538636</v>
      </c>
      <c r="AV2" s="51" t="n">
        <f aca="false">MAX(AV$68:AV$101)</f>
        <v>579.038848896414</v>
      </c>
      <c r="AZ2" s="26" t="n">
        <f aca="false">MAX(AZ$68:AZ$101)</f>
        <v>1.34646471025806</v>
      </c>
    </row>
    <row r="3" customFormat="false" ht="12.75" hidden="false" customHeight="false" outlineLevel="0" collapsed="false">
      <c r="B3" s="52" t="s">
        <v>65</v>
      </c>
      <c r="C3" s="52" t="s">
        <v>103</v>
      </c>
      <c r="D3" s="52" t="s">
        <v>103</v>
      </c>
      <c r="E3" s="52" t="s">
        <v>103</v>
      </c>
      <c r="F3" s="52" t="s">
        <v>103</v>
      </c>
      <c r="G3" s="52" t="s">
        <v>103</v>
      </c>
      <c r="H3" s="52" t="s">
        <v>103</v>
      </c>
      <c r="I3" s="52" t="s">
        <v>103</v>
      </c>
      <c r="J3" s="52" t="s">
        <v>104</v>
      </c>
      <c r="K3" s="52" t="s">
        <v>105</v>
      </c>
      <c r="L3" s="72" t="s">
        <v>66</v>
      </c>
      <c r="M3" s="53" t="s">
        <v>66</v>
      </c>
      <c r="N3" s="53" t="s">
        <v>66</v>
      </c>
      <c r="O3" s="52" t="s">
        <v>103</v>
      </c>
      <c r="P3" s="52" t="s">
        <v>103</v>
      </c>
      <c r="Q3" s="52" t="s">
        <v>103</v>
      </c>
      <c r="R3" s="52" t="s">
        <v>103</v>
      </c>
      <c r="S3" s="52" t="s">
        <v>103</v>
      </c>
      <c r="T3" s="52" t="s">
        <v>103</v>
      </c>
      <c r="U3" s="15" t="s">
        <v>103</v>
      </c>
      <c r="V3" s="16" t="s">
        <v>106</v>
      </c>
      <c r="W3" s="76" t="s">
        <v>106</v>
      </c>
      <c r="X3" s="71" t="s">
        <v>59</v>
      </c>
      <c r="Y3" s="71" t="s">
        <v>107</v>
      </c>
      <c r="Z3" s="71" t="s">
        <v>59</v>
      </c>
      <c r="AA3" s="52" t="s">
        <v>103</v>
      </c>
      <c r="AB3" s="51" t="n">
        <f aca="false">MAX(0,AB1)-MIN(0,AB2)</f>
        <v>3967.88</v>
      </c>
      <c r="AC3" s="51"/>
      <c r="AH3" s="52" t="s">
        <v>108</v>
      </c>
      <c r="AI3" s="52" t="s">
        <v>103</v>
      </c>
      <c r="AP3" s="0" t="n">
        <f aca="false">MIN(AP$68:AP$101)</f>
        <v>491.263018593222</v>
      </c>
      <c r="AQ3" s="50" t="n">
        <f aca="false">MIN(AQ$68:AQ$101)</f>
        <v>3E-005</v>
      </c>
      <c r="AR3" s="75" t="n">
        <f aca="false">MIN(AR$68:AR$101)</f>
        <v>3.19272019537392E-005</v>
      </c>
      <c r="AS3" s="75" t="n">
        <f aca="false">MIN(AS$68:AS$101)</f>
        <v>3.43062449626969E-005</v>
      </c>
      <c r="AT3" s="75" t="n">
        <f aca="false">MIN(AT$68:AT$101)</f>
        <v>-5.84254642200572E-006</v>
      </c>
      <c r="AU3" s="51" t="n">
        <f aca="false">MIN(AU$68:AU$101)</f>
        <v>463.787531267538</v>
      </c>
      <c r="AV3" s="51" t="n">
        <f aca="false">MIN(AV$68:AV$101)</f>
        <v>479.945601397865</v>
      </c>
      <c r="AZ3" s="26" t="n">
        <f aca="false">MIN(AZ$68:AZ$101)</f>
        <v>1.10606414506667</v>
      </c>
    </row>
    <row r="4" customFormat="false" ht="12.75" hidden="false" customHeight="false" outlineLevel="0" collapsed="false">
      <c r="B4" s="52" t="s">
        <v>70</v>
      </c>
      <c r="C4" s="52" t="s">
        <v>109</v>
      </c>
      <c r="D4" s="52" t="s">
        <v>109</v>
      </c>
      <c r="E4" s="52" t="s">
        <v>109</v>
      </c>
      <c r="F4" s="52" t="s">
        <v>109</v>
      </c>
      <c r="G4" s="52" t="s">
        <v>109</v>
      </c>
      <c r="H4" s="52" t="s">
        <v>110</v>
      </c>
      <c r="I4" s="52" t="s">
        <v>111</v>
      </c>
      <c r="J4" s="52" t="s">
        <v>112</v>
      </c>
      <c r="K4" s="52" t="s">
        <v>109</v>
      </c>
      <c r="L4" s="72" t="s">
        <v>113</v>
      </c>
      <c r="M4" s="52" t="s">
        <v>109</v>
      </c>
      <c r="N4" s="52"/>
      <c r="O4" s="52" t="s">
        <v>109</v>
      </c>
      <c r="P4" s="52" t="s">
        <v>109</v>
      </c>
      <c r="Q4" s="52" t="s">
        <v>109</v>
      </c>
      <c r="R4" s="52" t="s">
        <v>109</v>
      </c>
      <c r="T4" s="2"/>
      <c r="U4" s="54" t="s">
        <v>109</v>
      </c>
      <c r="V4" s="53"/>
      <c r="W4" s="77" t="n">
        <f aca="false">(SUM(O30:O43))/(SUM(W30:W43))</f>
        <v>1.02649197692711</v>
      </c>
      <c r="X4" s="71"/>
      <c r="Y4" s="71"/>
      <c r="Z4" s="71" t="s">
        <v>114</v>
      </c>
      <c r="AD4" s="52" t="s">
        <v>115</v>
      </c>
      <c r="AE4" s="52" t="s">
        <v>116</v>
      </c>
      <c r="AH4" s="52" t="s">
        <v>117</v>
      </c>
      <c r="AI4" s="52" t="s">
        <v>118</v>
      </c>
      <c r="AU4" s="51"/>
      <c r="AV4" s="51"/>
      <c r="AZ4" s="26"/>
    </row>
    <row r="5" customFormat="false" ht="12.75" hidden="false" customHeight="false" outlineLevel="0" collapsed="false">
      <c r="B5" s="52"/>
      <c r="C5" s="52" t="s">
        <v>53</v>
      </c>
      <c r="D5" s="52" t="s">
        <v>53</v>
      </c>
      <c r="E5" s="52" t="s">
        <v>119</v>
      </c>
      <c r="F5" s="52" t="s">
        <v>119</v>
      </c>
      <c r="G5" s="52"/>
      <c r="H5" s="52"/>
      <c r="I5" s="52"/>
      <c r="J5" s="52"/>
      <c r="K5" s="52" t="s">
        <v>53</v>
      </c>
      <c r="L5" s="72" t="s">
        <v>53</v>
      </c>
      <c r="M5" s="53" t="s">
        <v>55</v>
      </c>
      <c r="N5" s="53" t="s">
        <v>120</v>
      </c>
      <c r="O5" s="52" t="s">
        <v>71</v>
      </c>
      <c r="P5" s="52" t="s">
        <v>71</v>
      </c>
      <c r="Q5" s="52" t="s">
        <v>71</v>
      </c>
      <c r="R5" s="52" t="s">
        <v>71</v>
      </c>
      <c r="S5" s="52" t="s">
        <v>71</v>
      </c>
      <c r="T5" s="72" t="s">
        <v>71</v>
      </c>
      <c r="U5" s="15" t="s">
        <v>121</v>
      </c>
      <c r="V5" s="16" t="s">
        <v>121</v>
      </c>
      <c r="W5" s="76" t="s">
        <v>39</v>
      </c>
      <c r="X5" s="71" t="s">
        <v>71</v>
      </c>
      <c r="Y5" s="71" t="s">
        <v>107</v>
      </c>
      <c r="Z5" s="71" t="s">
        <v>122</v>
      </c>
      <c r="AA5" s="52" t="s">
        <v>71</v>
      </c>
      <c r="AB5" s="52" t="s">
        <v>71</v>
      </c>
      <c r="AC5" s="52"/>
      <c r="AD5" s="52" t="s">
        <v>123</v>
      </c>
      <c r="AE5" s="52" t="s">
        <v>71</v>
      </c>
      <c r="AF5" s="52" t="s">
        <v>71</v>
      </c>
      <c r="AG5" s="52" t="s">
        <v>71</v>
      </c>
      <c r="AH5" s="52"/>
      <c r="AI5" s="52"/>
      <c r="AP5" s="0" t="n">
        <f aca="false">AVERAGE(AP$68:AP$101)</f>
        <v>538.368131262241</v>
      </c>
      <c r="AQ5" s="50" t="n">
        <f aca="false">AVERAGE(AQ$68:AQ$101)</f>
        <v>4.17058823529412E-005</v>
      </c>
      <c r="AR5" s="75" t="n">
        <f aca="false">AVERAGE(AR$68:AR$101)</f>
        <v>4.35734923689139E-005</v>
      </c>
      <c r="AS5" s="75" t="n">
        <f aca="false">AVERAGE(AS$68:AS$101)</f>
        <v>4.41688153628142E-005</v>
      </c>
      <c r="AT5" s="75" t="n">
        <f aca="false">AVERAGE(AT$68:AT$101)</f>
        <v>5.95322993900259E-007</v>
      </c>
      <c r="AU5" s="51" t="n">
        <f aca="false">AVERAGE(AU$68:AU$101)</f>
        <v>484.465583688905</v>
      </c>
      <c r="AV5" s="51" t="n">
        <f aca="false">AVERAGE(AV$68:AV$101)</f>
        <v>526.613041490253</v>
      </c>
      <c r="AZ5" s="26" t="n">
        <f aca="false">AVERAGE(AZ$68:AZ$101)</f>
        <v>1.24861915931901</v>
      </c>
    </row>
    <row r="6" customFormat="false" ht="12.75" hidden="false" customHeight="false" outlineLevel="0" collapsed="false">
      <c r="B6" s="52"/>
      <c r="C6" s="52"/>
      <c r="D6" s="52"/>
      <c r="E6" s="52" t="s">
        <v>124</v>
      </c>
      <c r="F6" s="52" t="s">
        <v>124</v>
      </c>
      <c r="G6" s="52" t="s">
        <v>124</v>
      </c>
      <c r="H6" s="52" t="s">
        <v>124</v>
      </c>
      <c r="I6" s="51" t="s">
        <v>76</v>
      </c>
      <c r="J6" s="52"/>
      <c r="K6" s="52"/>
      <c r="L6" s="72" t="s">
        <v>66</v>
      </c>
      <c r="M6" s="53" t="s">
        <v>66</v>
      </c>
      <c r="N6" s="53" t="s">
        <v>66</v>
      </c>
      <c r="O6" s="52" t="s">
        <v>32</v>
      </c>
      <c r="P6" s="52" t="s">
        <v>33</v>
      </c>
      <c r="Q6" s="52" t="s">
        <v>34</v>
      </c>
      <c r="R6" s="52" t="s">
        <v>35</v>
      </c>
      <c r="S6" s="52" t="s">
        <v>36</v>
      </c>
      <c r="T6" s="72" t="s">
        <v>79</v>
      </c>
      <c r="U6" s="15"/>
      <c r="V6" s="16"/>
      <c r="W6" s="76"/>
      <c r="X6" s="71" t="s">
        <v>125</v>
      </c>
      <c r="Y6" s="71" t="s">
        <v>126</v>
      </c>
      <c r="Z6" s="71" t="s">
        <v>125</v>
      </c>
      <c r="AA6" s="52" t="s">
        <v>39</v>
      </c>
      <c r="AB6" s="52" t="s">
        <v>39</v>
      </c>
      <c r="AC6" s="52"/>
      <c r="AD6" s="52" t="s">
        <v>127</v>
      </c>
      <c r="AE6" s="52" t="s">
        <v>127</v>
      </c>
      <c r="AF6" s="52" t="s">
        <v>128</v>
      </c>
      <c r="AG6" s="52" t="s">
        <v>129</v>
      </c>
      <c r="AH6" s="52"/>
      <c r="AI6" s="52"/>
      <c r="AP6" s="0" t="n">
        <f aca="false">MEDIAN(AP$68:AP$101)</f>
        <v>533.194957966303</v>
      </c>
      <c r="AQ6" s="50" t="n">
        <f aca="false">MEDIAN(AQ$68:AQ$101)</f>
        <v>4.35E-005</v>
      </c>
      <c r="AR6" s="75" t="n">
        <f aca="false">MEDIAN(AR$68:AR$101)</f>
        <v>4.51992742904257E-005</v>
      </c>
      <c r="AS6" s="75" t="n">
        <f aca="false">MEDIAN(AS$68:AS$101)</f>
        <v>4.38621320559626E-005</v>
      </c>
      <c r="AT6" s="75" t="n">
        <f aca="false">MEDIAN(AT$68:AT$101)</f>
        <v>6.72938861568213E-007</v>
      </c>
      <c r="AU6" s="51" t="n">
        <f aca="false">MEDIAN(AU$68:AU$101)</f>
        <v>483.131702384925</v>
      </c>
      <c r="AV6" s="51" t="n">
        <f aca="false">MEDIAN(AV$68:AV$101)</f>
        <v>520.692356085281</v>
      </c>
      <c r="AZ6" s="26" t="n">
        <f aca="false">MEDIAN(AZ$68:AZ$101)</f>
        <v>1.25789845736237</v>
      </c>
    </row>
    <row r="7" customFormat="false" ht="12.75" hidden="false" customHeight="false" outlineLevel="0" collapsed="false">
      <c r="A7" s="52" t="s">
        <v>73</v>
      </c>
      <c r="B7" s="52" t="s">
        <v>74</v>
      </c>
      <c r="C7" s="52" t="s">
        <v>82</v>
      </c>
      <c r="D7" s="52" t="s">
        <v>81</v>
      </c>
      <c r="E7" s="52" t="s">
        <v>83</v>
      </c>
      <c r="F7" s="51" t="s">
        <v>40</v>
      </c>
      <c r="G7" s="51" t="s">
        <v>130</v>
      </c>
      <c r="H7" s="51" t="s">
        <v>84</v>
      </c>
      <c r="I7" s="51" t="s">
        <v>85</v>
      </c>
      <c r="J7" s="52"/>
      <c r="K7" s="52"/>
      <c r="L7" s="72"/>
      <c r="M7" s="54" t="s">
        <v>55</v>
      </c>
      <c r="N7" s="53" t="s">
        <v>6</v>
      </c>
      <c r="O7" s="52"/>
      <c r="P7" s="52"/>
      <c r="Q7" s="51" t="s">
        <v>40</v>
      </c>
      <c r="R7" s="51" t="s">
        <v>83</v>
      </c>
      <c r="S7" s="51" t="s">
        <v>36</v>
      </c>
      <c r="T7" s="51"/>
      <c r="U7" s="15"/>
      <c r="V7" s="16"/>
      <c r="W7" s="76"/>
      <c r="X7" s="71"/>
      <c r="Y7" s="71"/>
      <c r="Z7" s="71"/>
      <c r="AA7" s="52" t="s">
        <v>131</v>
      </c>
      <c r="AB7" s="52" t="s">
        <v>132</v>
      </c>
      <c r="AC7" s="52" t="s">
        <v>133</v>
      </c>
      <c r="AD7" s="52"/>
      <c r="AE7" s="52"/>
      <c r="AF7" s="52"/>
      <c r="AH7" s="52" t="s">
        <v>134</v>
      </c>
      <c r="AI7" s="52" t="s">
        <v>135</v>
      </c>
    </row>
    <row r="8" customFormat="false" ht="12.75" hidden="false" customHeight="false" outlineLevel="0" collapsed="false">
      <c r="A8" s="0" t="n">
        <f aca="false">DAY((B9-1))</f>
        <v>31</v>
      </c>
      <c r="B8" s="7" t="n">
        <v>33970</v>
      </c>
      <c r="C8" s="52"/>
      <c r="D8" s="52"/>
      <c r="E8" s="52"/>
      <c r="F8" s="51"/>
      <c r="G8" s="51"/>
      <c r="H8" s="51"/>
      <c r="I8" s="51"/>
      <c r="J8" s="52"/>
      <c r="K8" s="52"/>
      <c r="L8" s="72"/>
      <c r="M8" s="54"/>
      <c r="N8" s="53"/>
      <c r="O8" s="52"/>
      <c r="P8" s="52"/>
      <c r="Q8" s="51"/>
      <c r="R8" s="51"/>
      <c r="S8" s="51"/>
      <c r="T8" s="51"/>
      <c r="U8" s="15"/>
      <c r="V8" s="16"/>
      <c r="W8" s="76"/>
      <c r="X8" s="71"/>
      <c r="Y8" s="71"/>
      <c r="Z8" s="71"/>
      <c r="AA8" s="52"/>
      <c r="AB8" s="52"/>
      <c r="AC8" s="52"/>
      <c r="AD8" s="52"/>
      <c r="AE8" s="52"/>
      <c r="AF8" s="52"/>
      <c r="AH8" s="52"/>
      <c r="AI8" s="52"/>
    </row>
    <row r="9" customFormat="false" ht="12.75" hidden="false" customHeight="false" outlineLevel="0" collapsed="false">
      <c r="A9" s="0" t="n">
        <f aca="false">DAY((B10-1))</f>
        <v>28</v>
      </c>
      <c r="B9" s="7" t="n">
        <v>34001</v>
      </c>
      <c r="C9" s="52"/>
      <c r="D9" s="52"/>
      <c r="E9" s="52"/>
      <c r="F9" s="51"/>
      <c r="G9" s="51"/>
      <c r="H9" s="51"/>
      <c r="I9" s="51"/>
      <c r="J9" s="52"/>
      <c r="K9" s="52"/>
      <c r="L9" s="72"/>
      <c r="M9" s="54"/>
      <c r="N9" s="53"/>
      <c r="O9" s="52"/>
      <c r="P9" s="52"/>
      <c r="Q9" s="51"/>
      <c r="R9" s="51"/>
      <c r="S9" s="51"/>
      <c r="T9" s="51"/>
      <c r="U9" s="15"/>
      <c r="V9" s="16"/>
      <c r="W9" s="76"/>
      <c r="X9" s="71"/>
      <c r="Y9" s="71"/>
      <c r="Z9" s="71"/>
      <c r="AA9" s="52"/>
      <c r="AB9" s="52"/>
      <c r="AC9" s="52"/>
      <c r="AD9" s="52"/>
      <c r="AE9" s="52"/>
      <c r="AF9" s="52"/>
      <c r="AH9" s="52"/>
      <c r="AI9" s="52"/>
    </row>
    <row r="10" customFormat="false" ht="12.75" hidden="false" customHeight="false" outlineLevel="0" collapsed="false">
      <c r="A10" s="0" t="n">
        <f aca="false">DAY((B11-1))</f>
        <v>31</v>
      </c>
      <c r="B10" s="7" t="n">
        <v>34029</v>
      </c>
      <c r="C10" s="52"/>
      <c r="D10" s="52"/>
      <c r="E10" s="52"/>
      <c r="F10" s="51"/>
      <c r="G10" s="51"/>
      <c r="H10" s="51"/>
      <c r="I10" s="51"/>
      <c r="J10" s="52"/>
      <c r="K10" s="52"/>
      <c r="L10" s="72"/>
      <c r="M10" s="54"/>
      <c r="N10" s="53"/>
      <c r="O10" s="52"/>
      <c r="P10" s="52"/>
      <c r="Q10" s="51"/>
      <c r="R10" s="51"/>
      <c r="S10" s="51"/>
      <c r="T10" s="51"/>
      <c r="U10" s="15"/>
      <c r="V10" s="16"/>
      <c r="W10" s="76"/>
      <c r="X10" s="71"/>
      <c r="Y10" s="71"/>
      <c r="Z10" s="71"/>
      <c r="AA10" s="52"/>
      <c r="AB10" s="52"/>
      <c r="AC10" s="52"/>
      <c r="AD10" s="52"/>
      <c r="AE10" s="52"/>
      <c r="AF10" s="52"/>
      <c r="AH10" s="52"/>
      <c r="AI10" s="52"/>
    </row>
    <row r="11" customFormat="false" ht="12.75" hidden="false" customHeight="false" outlineLevel="0" collapsed="false">
      <c r="A11" s="0" t="n">
        <f aca="false">DAY((B12-1))</f>
        <v>30</v>
      </c>
      <c r="B11" s="7" t="n">
        <v>34060</v>
      </c>
      <c r="C11" s="52"/>
      <c r="D11" s="52"/>
      <c r="E11" s="52"/>
      <c r="F11" s="51"/>
      <c r="G11" s="51"/>
      <c r="H11" s="51"/>
      <c r="I11" s="51"/>
      <c r="J11" s="52"/>
      <c r="K11" s="52"/>
      <c r="L11" s="72"/>
      <c r="M11" s="54"/>
      <c r="N11" s="53"/>
      <c r="O11" s="52"/>
      <c r="P11" s="52"/>
      <c r="Q11" s="51"/>
      <c r="R11" s="51"/>
      <c r="S11" s="51"/>
      <c r="T11" s="51"/>
      <c r="U11" s="15"/>
      <c r="V11" s="16"/>
      <c r="W11" s="76"/>
      <c r="X11" s="71"/>
      <c r="Y11" s="71"/>
      <c r="Z11" s="71"/>
      <c r="AA11" s="52"/>
      <c r="AB11" s="52"/>
      <c r="AC11" s="52"/>
      <c r="AD11" s="52"/>
      <c r="AE11" s="52"/>
      <c r="AF11" s="52"/>
      <c r="AH11" s="52"/>
      <c r="AI11" s="52"/>
    </row>
    <row r="12" customFormat="false" ht="12.75" hidden="false" customHeight="false" outlineLevel="0" collapsed="false">
      <c r="A12" s="0" t="n">
        <f aca="false">DAY((B13-1))</f>
        <v>31</v>
      </c>
      <c r="B12" s="7" t="n">
        <v>34090</v>
      </c>
      <c r="C12" s="52"/>
      <c r="D12" s="52"/>
      <c r="E12" s="52"/>
      <c r="F12" s="51"/>
      <c r="G12" s="51"/>
      <c r="H12" s="51"/>
      <c r="I12" s="51"/>
      <c r="J12" s="52"/>
      <c r="K12" s="52"/>
      <c r="L12" s="72"/>
      <c r="M12" s="54"/>
      <c r="N12" s="53"/>
      <c r="O12" s="52"/>
      <c r="P12" s="52"/>
      <c r="Q12" s="51"/>
      <c r="R12" s="51"/>
      <c r="S12" s="51"/>
      <c r="T12" s="51"/>
      <c r="U12" s="15"/>
      <c r="V12" s="16"/>
      <c r="W12" s="76"/>
      <c r="X12" s="71"/>
      <c r="Y12" s="71"/>
      <c r="Z12" s="71"/>
      <c r="AA12" s="52"/>
      <c r="AB12" s="52"/>
      <c r="AC12" s="52"/>
      <c r="AD12" s="52"/>
      <c r="AE12" s="52"/>
      <c r="AF12" s="52"/>
      <c r="AH12" s="52"/>
      <c r="AI12" s="52"/>
    </row>
    <row r="13" customFormat="false" ht="12.75" hidden="false" customHeight="false" outlineLevel="0" collapsed="false">
      <c r="A13" s="0" t="n">
        <f aca="false">DAY((B14-1))</f>
        <v>30</v>
      </c>
      <c r="B13" s="7" t="n">
        <v>34121</v>
      </c>
      <c r="C13" s="52"/>
      <c r="D13" s="52"/>
      <c r="E13" s="52"/>
      <c r="F13" s="51"/>
      <c r="G13" s="51"/>
      <c r="H13" s="51"/>
      <c r="I13" s="51"/>
      <c r="J13" s="52"/>
      <c r="K13" s="52"/>
      <c r="L13" s="72"/>
      <c r="M13" s="54"/>
      <c r="N13" s="53"/>
      <c r="O13" s="52"/>
      <c r="P13" s="52"/>
      <c r="Q13" s="51"/>
      <c r="R13" s="51"/>
      <c r="S13" s="51"/>
      <c r="T13" s="51"/>
      <c r="U13" s="15"/>
      <c r="V13" s="16"/>
      <c r="W13" s="76"/>
      <c r="X13" s="71"/>
      <c r="Y13" s="71"/>
      <c r="Z13" s="71"/>
      <c r="AA13" s="52"/>
      <c r="AB13" s="52"/>
      <c r="AC13" s="52"/>
      <c r="AD13" s="52"/>
      <c r="AE13" s="52"/>
      <c r="AF13" s="52"/>
      <c r="AH13" s="52"/>
      <c r="AI13" s="52"/>
    </row>
    <row r="14" customFormat="false" ht="12.75" hidden="false" customHeight="false" outlineLevel="0" collapsed="false">
      <c r="A14" s="0" t="n">
        <f aca="false">DAY((B15-1))</f>
        <v>31</v>
      </c>
      <c r="B14" s="7" t="n">
        <v>34151</v>
      </c>
      <c r="C14" s="52"/>
      <c r="D14" s="52"/>
      <c r="E14" s="52"/>
      <c r="F14" s="51"/>
      <c r="G14" s="51"/>
      <c r="H14" s="51"/>
      <c r="I14" s="51"/>
      <c r="J14" s="52"/>
      <c r="K14" s="52"/>
      <c r="L14" s="72"/>
      <c r="M14" s="54"/>
      <c r="N14" s="53"/>
      <c r="O14" s="52"/>
      <c r="P14" s="52"/>
      <c r="Q14" s="51"/>
      <c r="R14" s="51"/>
      <c r="S14" s="51"/>
      <c r="T14" s="51"/>
      <c r="U14" s="15"/>
      <c r="V14" s="16"/>
      <c r="W14" s="76"/>
      <c r="X14" s="71"/>
      <c r="Y14" s="71"/>
      <c r="Z14" s="71"/>
      <c r="AA14" s="52"/>
      <c r="AB14" s="52"/>
      <c r="AC14" s="52"/>
      <c r="AD14" s="52"/>
      <c r="AE14" s="52"/>
      <c r="AF14" s="52"/>
      <c r="AH14" s="52"/>
      <c r="AI14" s="52"/>
    </row>
    <row r="15" customFormat="false" ht="12.75" hidden="false" customHeight="false" outlineLevel="0" collapsed="false">
      <c r="A15" s="0" t="n">
        <f aca="false">DAY((B16-1))</f>
        <v>31</v>
      </c>
      <c r="B15" s="7" t="n">
        <v>34182</v>
      </c>
      <c r="C15" s="52"/>
      <c r="D15" s="52"/>
      <c r="E15" s="52"/>
      <c r="F15" s="51"/>
      <c r="G15" s="51"/>
      <c r="H15" s="51"/>
      <c r="I15" s="51"/>
      <c r="J15" s="52"/>
      <c r="K15" s="52"/>
      <c r="L15" s="72"/>
      <c r="M15" s="54"/>
      <c r="N15" s="53"/>
      <c r="O15" s="52"/>
      <c r="P15" s="52"/>
      <c r="Q15" s="51"/>
      <c r="R15" s="51"/>
      <c r="S15" s="51"/>
      <c r="T15" s="51"/>
      <c r="U15" s="15"/>
      <c r="V15" s="16"/>
      <c r="W15" s="76"/>
      <c r="X15" s="71"/>
      <c r="Y15" s="71"/>
      <c r="Z15" s="71"/>
      <c r="AA15" s="52"/>
      <c r="AB15" s="52"/>
      <c r="AC15" s="52"/>
      <c r="AD15" s="52"/>
      <c r="AE15" s="52"/>
      <c r="AF15" s="52"/>
      <c r="AH15" s="52"/>
      <c r="AI15" s="52"/>
    </row>
    <row r="16" customFormat="false" ht="12.75" hidden="false" customHeight="false" outlineLevel="0" collapsed="false">
      <c r="A16" s="0" t="n">
        <f aca="false">DAY((B17-1))</f>
        <v>30</v>
      </c>
      <c r="B16" s="7" t="n">
        <v>34213</v>
      </c>
      <c r="C16" s="52"/>
      <c r="D16" s="52"/>
      <c r="E16" s="52"/>
      <c r="F16" s="51"/>
      <c r="G16" s="51"/>
      <c r="H16" s="51"/>
      <c r="I16" s="51"/>
      <c r="J16" s="52"/>
      <c r="K16" s="52"/>
      <c r="L16" s="72"/>
      <c r="M16" s="54"/>
      <c r="N16" s="53"/>
      <c r="O16" s="52"/>
      <c r="P16" s="52"/>
      <c r="Q16" s="51"/>
      <c r="R16" s="51"/>
      <c r="S16" s="51"/>
      <c r="T16" s="51"/>
      <c r="U16" s="15"/>
      <c r="V16" s="16"/>
      <c r="W16" s="76"/>
      <c r="X16" s="71"/>
      <c r="Y16" s="71"/>
      <c r="Z16" s="71"/>
      <c r="AA16" s="52"/>
      <c r="AB16" s="52"/>
      <c r="AC16" s="52"/>
      <c r="AD16" s="52"/>
      <c r="AE16" s="52"/>
      <c r="AF16" s="52"/>
      <c r="AH16" s="52"/>
      <c r="AI16" s="52"/>
    </row>
    <row r="17" customFormat="false" ht="12.75" hidden="false" customHeight="false" outlineLevel="0" collapsed="false">
      <c r="A17" s="0" t="n">
        <f aca="false">DAY((B18-1))</f>
        <v>31</v>
      </c>
      <c r="B17" s="7" t="n">
        <v>34243</v>
      </c>
      <c r="C17" s="52"/>
      <c r="D17" s="52"/>
      <c r="E17" s="52"/>
      <c r="F17" s="51"/>
      <c r="G17" s="51"/>
      <c r="H17" s="51"/>
      <c r="I17" s="51"/>
      <c r="J17" s="52"/>
      <c r="K17" s="52"/>
      <c r="L17" s="72"/>
      <c r="M17" s="54"/>
      <c r="N17" s="53"/>
      <c r="O17" s="52"/>
      <c r="P17" s="52"/>
      <c r="Q17" s="51"/>
      <c r="R17" s="51"/>
      <c r="S17" s="51"/>
      <c r="T17" s="51"/>
      <c r="U17" s="15"/>
      <c r="V17" s="16"/>
      <c r="W17" s="76"/>
      <c r="X17" s="71"/>
      <c r="Y17" s="71"/>
      <c r="Z17" s="71"/>
      <c r="AA17" s="52"/>
      <c r="AB17" s="51" t="n">
        <f aca="false">AB18-AA18</f>
        <v>-480.045000000002</v>
      </c>
      <c r="AC17" s="51"/>
      <c r="AD17" s="52"/>
      <c r="AE17" s="52"/>
      <c r="AF17" s="52"/>
      <c r="AH17" s="52"/>
      <c r="AI17" s="52"/>
    </row>
    <row r="18" customFormat="false" ht="12.75" hidden="false" customHeight="false" outlineLevel="0" collapsed="false">
      <c r="A18" s="0" t="n">
        <f aca="false">DAY((B19-1))</f>
        <v>30</v>
      </c>
      <c r="B18" s="7" t="n">
        <v>34274</v>
      </c>
      <c r="C18" s="51"/>
      <c r="D18" s="51"/>
      <c r="E18" s="51"/>
      <c r="F18" s="51"/>
      <c r="G18" s="51"/>
      <c r="H18" s="51"/>
      <c r="I18" s="51"/>
      <c r="J18" s="78"/>
      <c r="K18" s="79"/>
      <c r="L18" s="80"/>
      <c r="M18" s="55" t="n">
        <v>4.1E-005</v>
      </c>
      <c r="N18" s="56"/>
      <c r="O18" s="51" t="n">
        <v>783.077</v>
      </c>
      <c r="P18" s="51" t="n">
        <v>-121.793</v>
      </c>
      <c r="Q18" s="51" t="n">
        <f aca="false">P18+O18</f>
        <v>661.284</v>
      </c>
      <c r="R18" s="81" t="n">
        <f aca="false">4804.08-SUM(R19:R23)</f>
        <v>1204.482</v>
      </c>
      <c r="S18" s="51"/>
      <c r="T18" s="51" t="n">
        <f aca="false">R18-S18</f>
        <v>1204.482</v>
      </c>
      <c r="U18" s="82"/>
      <c r="V18" s="1"/>
      <c r="W18" s="2"/>
      <c r="X18" s="83" t="n">
        <f aca="false">R18/M18/1000000</f>
        <v>29.3776097560976</v>
      </c>
      <c r="Y18" s="20"/>
      <c r="AA18" s="51" t="n">
        <f aca="false">+R18-Q18</f>
        <v>543.198</v>
      </c>
      <c r="AB18" s="51" t="n">
        <f aca="false">AB19-AA19</f>
        <v>63.1529999999984</v>
      </c>
      <c r="AC18" s="51"/>
      <c r="AH18" s="51"/>
    </row>
    <row r="19" customFormat="false" ht="12.75" hidden="false" customHeight="false" outlineLevel="0" collapsed="false">
      <c r="A19" s="0" t="n">
        <f aca="false">DAY((B20-1))</f>
        <v>31</v>
      </c>
      <c r="B19" s="7" t="n">
        <v>34304</v>
      </c>
      <c r="C19" s="51"/>
      <c r="D19" s="51"/>
      <c r="E19" s="51"/>
      <c r="F19" s="51"/>
      <c r="G19" s="51"/>
      <c r="H19" s="51"/>
      <c r="I19" s="51"/>
      <c r="J19" s="78"/>
      <c r="K19" s="79"/>
      <c r="L19" s="80"/>
      <c r="M19" s="55" t="n">
        <f aca="false">(41*9+10*22)/31/1000000</f>
        <v>1.9E-005</v>
      </c>
      <c r="N19" s="56"/>
      <c r="O19" s="51" t="n">
        <v>909.198</v>
      </c>
      <c r="P19" s="51" t="n">
        <v>-150.327</v>
      </c>
      <c r="Q19" s="51" t="n">
        <f aca="false">P19+O19</f>
        <v>758.871</v>
      </c>
      <c r="R19" s="81" t="n">
        <f aca="false">E21</f>
        <v>585.1</v>
      </c>
      <c r="S19" s="51"/>
      <c r="T19" s="51" t="n">
        <f aca="false">R19-S19</f>
        <v>585.1</v>
      </c>
      <c r="U19" s="82" t="n">
        <f aca="false">V19*O19/W19</f>
        <v>74078.3940560748</v>
      </c>
      <c r="V19" s="1" t="n">
        <v>69744</v>
      </c>
      <c r="W19" s="2" t="n">
        <v>856</v>
      </c>
      <c r="X19" s="83" t="n">
        <f aca="false">R19/M19/1000000</f>
        <v>30.7947368421053</v>
      </c>
      <c r="Y19" s="20" t="n">
        <f aca="false">X19*1000000/(U19+M19*X19*1000000)</f>
        <v>412.447036284926</v>
      </c>
      <c r="AA19" s="51" t="n">
        <f aca="false">+R19-Q19</f>
        <v>-173.771</v>
      </c>
      <c r="AB19" s="51" t="n">
        <f aca="false">AB20-AA20</f>
        <v>-110.618000000002</v>
      </c>
      <c r="AC19" s="51"/>
      <c r="AH19" s="51"/>
    </row>
    <row r="20" customFormat="false" ht="12.75" hidden="false" customHeight="false" outlineLevel="0" collapsed="false">
      <c r="A20" s="0" t="n">
        <f aca="false">DAY((B21-1))</f>
        <v>31</v>
      </c>
      <c r="B20" s="7" t="n">
        <v>34335</v>
      </c>
      <c r="C20" s="51"/>
      <c r="D20" s="51"/>
      <c r="E20" s="51"/>
      <c r="F20" s="51"/>
      <c r="G20" s="51"/>
      <c r="H20" s="51"/>
      <c r="I20" s="51"/>
      <c r="J20" s="78"/>
      <c r="K20" s="79"/>
      <c r="L20" s="80"/>
      <c r="M20" s="55" t="n">
        <v>1E-005</v>
      </c>
      <c r="N20" s="56"/>
      <c r="O20" s="51" t="n">
        <v>921.128</v>
      </c>
      <c r="P20" s="51" t="n">
        <v>-159.781</v>
      </c>
      <c r="Q20" s="51" t="n">
        <f aca="false">P20+O20</f>
        <v>761.347</v>
      </c>
      <c r="R20" s="81" t="n">
        <f aca="false">E22</f>
        <v>315</v>
      </c>
      <c r="S20" s="51"/>
      <c r="T20" s="51" t="n">
        <f aca="false">R20-S20</f>
        <v>315</v>
      </c>
      <c r="U20" s="82" t="n">
        <f aca="false">V20*O20/W20</f>
        <v>72631.741465896</v>
      </c>
      <c r="V20" s="1" t="n">
        <v>68206</v>
      </c>
      <c r="W20" s="2" t="n">
        <v>865</v>
      </c>
      <c r="X20" s="83" t="n">
        <f aca="false">R20/M20/1000000</f>
        <v>31.5</v>
      </c>
      <c r="Y20" s="20" t="n">
        <f aca="false">X20*1000000/(U20+M20*X20*1000000)</f>
        <v>431.821893164712</v>
      </c>
      <c r="AA20" s="51" t="n">
        <f aca="false">+R20-Q20</f>
        <v>-446.347</v>
      </c>
      <c r="AB20" s="51" t="n">
        <f aca="false">AB21-AA21</f>
        <v>-556.965000000002</v>
      </c>
      <c r="AC20" s="51" t="e">
        <f aca="false">IF(MOD(MONTH(B20),6)=0,AB20,NA())</f>
        <v>#N/A</v>
      </c>
      <c r="AH20" s="51"/>
    </row>
    <row r="21" customFormat="false" ht="12.75" hidden="false" customHeight="false" outlineLevel="0" collapsed="false">
      <c r="A21" s="0" t="n">
        <f aca="false">DAY((B22-1))</f>
        <v>28</v>
      </c>
      <c r="B21" s="7" t="n">
        <v>34366</v>
      </c>
      <c r="C21" s="51" t="n">
        <v>51000</v>
      </c>
      <c r="D21" s="51" t="n">
        <v>901.8</v>
      </c>
      <c r="E21" s="51" t="n">
        <v>585.1</v>
      </c>
      <c r="F21" s="51" t="n">
        <v>665</v>
      </c>
      <c r="G21" s="51" t="n">
        <v>0</v>
      </c>
      <c r="H21" s="51" t="n">
        <f aca="false">E21-F21-G21</f>
        <v>-79.9</v>
      </c>
      <c r="I21" s="51" t="n">
        <f aca="false">D21-H21</f>
        <v>981.7</v>
      </c>
      <c r="J21" s="78" t="n">
        <f aca="false">I21/C21</f>
        <v>0.0192490196078431</v>
      </c>
      <c r="K21" s="84" t="n">
        <f aca="false">0.0191938/0.000031</f>
        <v>619.154838709677</v>
      </c>
      <c r="L21" s="80" t="n">
        <f aca="false">J21/K21</f>
        <v>3.10891854579675E-005</v>
      </c>
      <c r="M21" s="55" t="n">
        <v>3.1E-005</v>
      </c>
      <c r="N21" s="56"/>
      <c r="O21" s="51" t="n">
        <v>891.646</v>
      </c>
      <c r="P21" s="51" t="n">
        <v>-244.314</v>
      </c>
      <c r="Q21" s="51" t="n">
        <f aca="false">P21+O21</f>
        <v>647.332</v>
      </c>
      <c r="R21" s="81" t="n">
        <f aca="false">E23</f>
        <v>900.9</v>
      </c>
      <c r="S21" s="51"/>
      <c r="T21" s="51" t="n">
        <f aca="false">R21-S21</f>
        <v>900.9</v>
      </c>
      <c r="U21" s="82" t="n">
        <f aca="false">V21*O21/W21</f>
        <v>65734.8707508691</v>
      </c>
      <c r="V21" s="1" t="n">
        <v>63623</v>
      </c>
      <c r="W21" s="2" t="n">
        <v>863</v>
      </c>
      <c r="X21" s="83" t="n">
        <f aca="false">R21/M21/1000000</f>
        <v>29.0612903225806</v>
      </c>
      <c r="Y21" s="20" t="n">
        <f aca="false">X21*1000000/(U21+M21*X21*1000000)</f>
        <v>436.121470422125</v>
      </c>
      <c r="AA21" s="51" t="n">
        <f aca="false">+R21-Q21</f>
        <v>253.568</v>
      </c>
      <c r="AB21" s="51" t="n">
        <f aca="false">AB22-AA22</f>
        <v>-303.397000000002</v>
      </c>
      <c r="AC21" s="51" t="e">
        <f aca="false">IF(MOD(MONTH(B21),6)=0,AB21,NA())</f>
        <v>#N/A</v>
      </c>
      <c r="AH21" s="51"/>
    </row>
    <row r="22" customFormat="false" ht="12.75" hidden="false" customHeight="false" outlineLevel="0" collapsed="false">
      <c r="A22" s="0" t="n">
        <f aca="false">DAY((B23-1))</f>
        <v>31</v>
      </c>
      <c r="B22" s="7" t="n">
        <v>34394</v>
      </c>
      <c r="C22" s="51" t="n">
        <v>53000</v>
      </c>
      <c r="D22" s="51" t="n">
        <v>729.9</v>
      </c>
      <c r="E22" s="51" t="n">
        <v>315</v>
      </c>
      <c r="F22" s="51" t="n">
        <v>671</v>
      </c>
      <c r="G22" s="51" t="n">
        <v>0</v>
      </c>
      <c r="H22" s="51" t="n">
        <f aca="false">E22-F22-G22</f>
        <v>-356</v>
      </c>
      <c r="I22" s="51" t="n">
        <f aca="false">D22-H22</f>
        <v>1085.9</v>
      </c>
      <c r="J22" s="78" t="n">
        <f aca="false">I22/C22</f>
        <v>0.020488679245283</v>
      </c>
      <c r="K22" s="84" t="n">
        <f aca="false">0.0204886/0.000033</f>
        <v>620.866666666667</v>
      </c>
      <c r="L22" s="80" t="n">
        <f aca="false">J22/K22</f>
        <v>3.30001276365559E-005</v>
      </c>
      <c r="M22" s="55" t="n">
        <v>3.3E-005</v>
      </c>
      <c r="N22" s="56"/>
      <c r="O22" s="51" t="n">
        <v>783.501</v>
      </c>
      <c r="P22" s="51" t="n">
        <v>-198.334</v>
      </c>
      <c r="Q22" s="51" t="n">
        <f aca="false">P22+O22</f>
        <v>585.167</v>
      </c>
      <c r="R22" s="81" t="n">
        <f aca="false">E24</f>
        <v>994.763</v>
      </c>
      <c r="S22" s="51"/>
      <c r="T22" s="51" t="n">
        <f aca="false">R22-S22</f>
        <v>994.763</v>
      </c>
      <c r="U22" s="82" t="n">
        <f aca="false">V22*O22/W22</f>
        <v>68936.7627555847</v>
      </c>
      <c r="V22" s="1" t="n">
        <v>66957</v>
      </c>
      <c r="W22" s="2" t="n">
        <v>761</v>
      </c>
      <c r="X22" s="83" t="n">
        <f aca="false">R22/M22/1000000</f>
        <v>30.1443333333333</v>
      </c>
      <c r="Y22" s="20" t="n">
        <f aca="false">X22*1000000/(U22+M22*X22*1000000)</f>
        <v>431.054992832414</v>
      </c>
      <c r="AA22" s="51" t="n">
        <f aca="false">+R22-Q22</f>
        <v>409.596</v>
      </c>
      <c r="AB22" s="51" t="n">
        <f aca="false">AB23-AA23</f>
        <v>106.198999999999</v>
      </c>
      <c r="AC22" s="51" t="e">
        <f aca="false">IF(MOD(MONTH(B22),6)=0,AB22,NA())</f>
        <v>#N/A</v>
      </c>
      <c r="AH22" s="51"/>
    </row>
    <row r="23" customFormat="false" ht="12.75" hidden="false" customHeight="false" outlineLevel="0" collapsed="false">
      <c r="A23" s="0" t="n">
        <f aca="false">DAY((B24-1))</f>
        <v>30</v>
      </c>
      <c r="B23" s="7" t="n">
        <v>34425</v>
      </c>
      <c r="C23" s="51" t="n">
        <v>49000</v>
      </c>
      <c r="D23" s="51" t="n">
        <v>896.9</v>
      </c>
      <c r="E23" s="51" t="n">
        <v>900.9</v>
      </c>
      <c r="F23" s="51" t="n">
        <v>787.9</v>
      </c>
      <c r="G23" s="51" t="n">
        <v>0</v>
      </c>
      <c r="H23" s="51" t="n">
        <f aca="false">E23-F23-G23</f>
        <v>113</v>
      </c>
      <c r="I23" s="51" t="n">
        <f aca="false">D23-H23</f>
        <v>783.9</v>
      </c>
      <c r="J23" s="78" t="n">
        <f aca="false">I23/C23</f>
        <v>0.0159979591836735</v>
      </c>
      <c r="K23" s="84" t="n">
        <f aca="false">0.0159979/0.000026</f>
        <v>615.303846153846</v>
      </c>
      <c r="L23" s="80" t="n">
        <f aca="false">J23/K23</f>
        <v>2.60000961860938E-005</v>
      </c>
      <c r="M23" s="55" t="n">
        <v>2.6E-005</v>
      </c>
      <c r="N23" s="56"/>
      <c r="O23" s="51" t="n">
        <v>811.824</v>
      </c>
      <c r="P23" s="51" t="n">
        <v>-89.436</v>
      </c>
      <c r="Q23" s="51" t="n">
        <f aca="false">P23+O23</f>
        <v>722.388</v>
      </c>
      <c r="R23" s="81" t="n">
        <f aca="false">E25</f>
        <v>803.835</v>
      </c>
      <c r="S23" s="51"/>
      <c r="T23" s="51" t="n">
        <f aca="false">R23-S23</f>
        <v>803.835</v>
      </c>
      <c r="U23" s="82" t="n">
        <f aca="false">V23*O23/W23</f>
        <v>67901.0005171103</v>
      </c>
      <c r="V23" s="1" t="n">
        <v>65992</v>
      </c>
      <c r="W23" s="2" t="n">
        <v>789</v>
      </c>
      <c r="X23" s="83" t="n">
        <f aca="false">R23/M23/1000000</f>
        <v>30.9167307692308</v>
      </c>
      <c r="Y23" s="20" t="n">
        <f aca="false">X23*1000000/(U23+M23*X23*1000000)</f>
        <v>449.993519910709</v>
      </c>
      <c r="Z23" s="51" t="n">
        <f aca="false">SUM(X18:X23)</f>
        <v>181.794701023348</v>
      </c>
      <c r="AA23" s="51" t="n">
        <f aca="false">+R23-Q23</f>
        <v>81.4470000000001</v>
      </c>
      <c r="AB23" s="51" t="n">
        <f aca="false">AB24-AA24</f>
        <v>187.645999999999</v>
      </c>
      <c r="AC23" s="51" t="e">
        <f aca="false">IF(MOD(MONTH(B23),6)=0,AB23,NA())</f>
        <v>#N/A</v>
      </c>
      <c r="AH23" s="51"/>
    </row>
    <row r="24" customFormat="false" ht="12.75" hidden="false" customHeight="false" outlineLevel="0" collapsed="false">
      <c r="A24" s="0" t="n">
        <f aca="false">DAY((B25-1))</f>
        <v>31</v>
      </c>
      <c r="B24" s="7" t="n">
        <v>34455</v>
      </c>
      <c r="C24" s="51" t="n">
        <v>50000</v>
      </c>
      <c r="D24" s="51" t="n">
        <v>1177</v>
      </c>
      <c r="E24" s="51" t="n">
        <v>994.763</v>
      </c>
      <c r="F24" s="51" t="n">
        <v>585.167</v>
      </c>
      <c r="G24" s="51" t="n">
        <v>0</v>
      </c>
      <c r="H24" s="51" t="n">
        <f aca="false">E24-F24-G24</f>
        <v>409.596</v>
      </c>
      <c r="I24" s="51" t="n">
        <f aca="false">D24-H24</f>
        <v>767.404</v>
      </c>
      <c r="J24" s="78" t="n">
        <f aca="false">I24/C24</f>
        <v>0.01534808</v>
      </c>
      <c r="K24" s="84" t="n">
        <f aca="false">0.01535/0.000025</f>
        <v>614</v>
      </c>
      <c r="L24" s="80" t="n">
        <f aca="false">J24/K24</f>
        <v>2.49968729641694E-005</v>
      </c>
      <c r="M24" s="55" t="n">
        <v>2.5E-005</v>
      </c>
      <c r="N24" s="56"/>
      <c r="O24" s="51" t="n">
        <v>755.601</v>
      </c>
      <c r="P24" s="51" t="n">
        <v>-41.775</v>
      </c>
      <c r="Q24" s="51" t="n">
        <f aca="false">P24+O24</f>
        <v>713.826</v>
      </c>
      <c r="R24" s="81" t="n">
        <f aca="false">E26</f>
        <v>747.411</v>
      </c>
      <c r="S24" s="51"/>
      <c r="T24" s="51" t="n">
        <f aca="false">R24-S24</f>
        <v>747.411</v>
      </c>
      <c r="U24" s="82" t="n">
        <f aca="false">V24*O24/W24</f>
        <v>58849.8507845528</v>
      </c>
      <c r="V24" s="1" t="n">
        <v>57479</v>
      </c>
      <c r="W24" s="2" t="n">
        <v>738</v>
      </c>
      <c r="X24" s="83" t="n">
        <f aca="false">R24/M24/1000000</f>
        <v>29.89644</v>
      </c>
      <c r="Y24" s="20" t="n">
        <f aca="false">X24*1000000/(U24+M24*X24*1000000)</f>
        <v>501.64116781199</v>
      </c>
      <c r="Z24" s="51" t="n">
        <f aca="false">SUM(X19:X24)</f>
        <v>182.31353126725</v>
      </c>
      <c r="AA24" s="51" t="n">
        <f aca="false">+R24-Q24</f>
        <v>33.5849999999999</v>
      </c>
      <c r="AB24" s="51" t="n">
        <f aca="false">AB25-AA25</f>
        <v>221.230999999999</v>
      </c>
      <c r="AC24" s="51" t="e">
        <f aca="false">IF(MOD(MONTH(B24),6)=0,AB24,NA())</f>
        <v>#N/A</v>
      </c>
      <c r="AH24" s="51"/>
    </row>
    <row r="25" customFormat="false" ht="12.75" hidden="false" customHeight="false" outlineLevel="0" collapsed="false">
      <c r="A25" s="0" t="n">
        <f aca="false">DAY((B26-1))</f>
        <v>30</v>
      </c>
      <c r="B25" s="7" t="n">
        <v>34486</v>
      </c>
      <c r="C25" s="51" t="n">
        <v>52000</v>
      </c>
      <c r="D25" s="51" t="n">
        <v>717.5</v>
      </c>
      <c r="E25" s="51" t="n">
        <v>803.835</v>
      </c>
      <c r="F25" s="51" t="n">
        <v>722.391</v>
      </c>
      <c r="G25" s="51" t="n">
        <v>0</v>
      </c>
      <c r="H25" s="51" t="n">
        <f aca="false">E25-F25-G25</f>
        <v>81.4440000000001</v>
      </c>
      <c r="I25" s="51" t="n">
        <f aca="false">D25-H25</f>
        <v>636.056</v>
      </c>
      <c r="J25" s="78" t="n">
        <f aca="false">I25/C25</f>
        <v>0.0122318461538462</v>
      </c>
      <c r="K25" s="84" t="n">
        <f aca="false">0.012224/0.00002</f>
        <v>611.2</v>
      </c>
      <c r="L25" s="80" t="n">
        <f aca="false">J25/K25</f>
        <v>2.00128372935965E-005</v>
      </c>
      <c r="M25" s="55" t="n">
        <v>2E-005</v>
      </c>
      <c r="N25" s="56"/>
      <c r="O25" s="51" t="n">
        <v>852.932</v>
      </c>
      <c r="P25" s="51" t="n">
        <v>-305.511</v>
      </c>
      <c r="Q25" s="51" t="n">
        <f aca="false">P25+O25</f>
        <v>547.421</v>
      </c>
      <c r="R25" s="81" t="n">
        <f aca="false">E27</f>
        <v>621.639</v>
      </c>
      <c r="S25" s="51"/>
      <c r="T25" s="51" t="n">
        <f aca="false">R25-S25</f>
        <v>621.639</v>
      </c>
      <c r="U25" s="82" t="n">
        <f aca="false">V25*O25/W25</f>
        <v>61980.7517256318</v>
      </c>
      <c r="V25" s="1" t="n">
        <v>60387</v>
      </c>
      <c r="W25" s="2" t="n">
        <v>831</v>
      </c>
      <c r="X25" s="83" t="n">
        <f aca="false">R25/M25/1000000</f>
        <v>31.08195</v>
      </c>
      <c r="Y25" s="20" t="n">
        <f aca="false">X25*1000000/(U25+M25*X25*1000000)</f>
        <v>496.497811660632</v>
      </c>
      <c r="Z25" s="51" t="n">
        <f aca="false">SUM(X20:X25)</f>
        <v>182.600744425145</v>
      </c>
      <c r="AA25" s="51" t="n">
        <f aca="false">+R25-Q25</f>
        <v>74.218</v>
      </c>
      <c r="AB25" s="51" t="n">
        <f aca="false">AB26-AA26</f>
        <v>295.448999999999</v>
      </c>
      <c r="AC25" s="51" t="n">
        <f aca="false">IF(MOD(MONTH(B25),6)=0,AB25,NA())</f>
        <v>295.448999999999</v>
      </c>
      <c r="AH25" s="51"/>
    </row>
    <row r="26" customFormat="false" ht="12.75" hidden="false" customHeight="false" outlineLevel="0" collapsed="false">
      <c r="A26" s="0" t="n">
        <f aca="false">DAY((B27-1))</f>
        <v>31</v>
      </c>
      <c r="B26" s="7" t="n">
        <v>34516</v>
      </c>
      <c r="C26" s="51" t="n">
        <v>60000</v>
      </c>
      <c r="D26" s="51" t="n">
        <v>767.6</v>
      </c>
      <c r="E26" s="51" t="n">
        <v>747.411</v>
      </c>
      <c r="F26" s="51" t="n">
        <v>713.286</v>
      </c>
      <c r="G26" s="51" t="n">
        <v>0</v>
      </c>
      <c r="H26" s="51" t="n">
        <f aca="false">E26-F26-G26</f>
        <v>34.125</v>
      </c>
      <c r="I26" s="51" t="n">
        <f aca="false">D26-H26</f>
        <v>733.475</v>
      </c>
      <c r="J26" s="78" t="n">
        <f aca="false">I26/C26</f>
        <v>0.0122245833333333</v>
      </c>
      <c r="K26" s="84" t="n">
        <f aca="false">0.012224/0.00002</f>
        <v>611.2</v>
      </c>
      <c r="L26" s="85" t="n">
        <f aca="false">J26/K26</f>
        <v>2.00009544066318E-005</v>
      </c>
      <c r="M26" s="61" t="n">
        <v>1.6E-005</v>
      </c>
      <c r="N26" s="56" t="n">
        <v>-4E-006</v>
      </c>
      <c r="O26" s="51" t="n">
        <v>1206.911</v>
      </c>
      <c r="P26" s="51" t="n">
        <v>-368.597</v>
      </c>
      <c r="Q26" s="51" t="n">
        <f aca="false">P26+O26</f>
        <v>838.314</v>
      </c>
      <c r="R26" s="51" t="n">
        <v>574.134</v>
      </c>
      <c r="S26" s="51" t="n">
        <v>-143.534</v>
      </c>
      <c r="T26" s="51" t="n">
        <f aca="false">R26-S26</f>
        <v>717.668</v>
      </c>
      <c r="U26" s="82" t="n">
        <f aca="false">V26*O26/W26</f>
        <v>70328.6792913453</v>
      </c>
      <c r="V26" s="1" t="n">
        <v>68003</v>
      </c>
      <c r="W26" s="2" t="n">
        <v>1167</v>
      </c>
      <c r="X26" s="83" t="n">
        <f aca="false">R26/M26/1000000</f>
        <v>35.883375</v>
      </c>
      <c r="Y26" s="20" t="n">
        <f aca="false">X26*1000000/(U26+M26*X26*1000000)</f>
        <v>506.092400770507</v>
      </c>
      <c r="Z26" s="51" t="n">
        <f aca="false">SUM(X21:X26)</f>
        <v>186.984119425145</v>
      </c>
      <c r="AA26" s="51" t="n">
        <f aca="false">+R26-Q26</f>
        <v>-264.18</v>
      </c>
      <c r="AB26" s="51" t="n">
        <f aca="false">AB27-AA27</f>
        <v>31.2689999999985</v>
      </c>
      <c r="AC26" s="51" t="e">
        <f aca="false">IF(MOD(MONTH(B26),6)=0,AB26,NA())</f>
        <v>#N/A</v>
      </c>
      <c r="AH26" s="51"/>
    </row>
    <row r="27" customFormat="false" ht="12.75" hidden="false" customHeight="false" outlineLevel="0" collapsed="false">
      <c r="A27" s="0" t="n">
        <f aca="false">DAY((B28-1))</f>
        <v>31</v>
      </c>
      <c r="B27" s="7" t="n">
        <v>34547</v>
      </c>
      <c r="C27" s="51" t="n">
        <v>64000</v>
      </c>
      <c r="D27" s="51" t="n">
        <v>935.9</v>
      </c>
      <c r="E27" s="51" t="n">
        <v>621.639</v>
      </c>
      <c r="F27" s="51" t="n">
        <v>547.411</v>
      </c>
      <c r="G27" s="51" t="n">
        <v>0</v>
      </c>
      <c r="H27" s="51" t="n">
        <f aca="false">E27-F27-G27</f>
        <v>74.2280000000001</v>
      </c>
      <c r="I27" s="51" t="n">
        <f aca="false">D27-H27</f>
        <v>861.672</v>
      </c>
      <c r="J27" s="78" t="n">
        <f aca="false">I27/C27</f>
        <v>0.013463625</v>
      </c>
      <c r="K27" s="84" t="n">
        <f aca="false">0.013464/0.000022</f>
        <v>612</v>
      </c>
      <c r="L27" s="85" t="n">
        <f aca="false">J27/K27</f>
        <v>2.1999387254902E-005</v>
      </c>
      <c r="M27" s="61" t="n">
        <v>1.8E-005</v>
      </c>
      <c r="N27" s="56" t="n">
        <v>-4E-006</v>
      </c>
      <c r="O27" s="51" t="n">
        <v>1289.488</v>
      </c>
      <c r="P27" s="51" t="n">
        <v>-19.134</v>
      </c>
      <c r="Q27" s="51" t="n">
        <f aca="false">P27+O27</f>
        <v>1270.354</v>
      </c>
      <c r="R27" s="51" t="n">
        <v>640.133</v>
      </c>
      <c r="S27" s="51" t="n">
        <v>-142.252</v>
      </c>
      <c r="T27" s="51" t="n">
        <f aca="false">R27-S27</f>
        <v>782.385</v>
      </c>
      <c r="U27" s="82" t="n">
        <f aca="false">V27*O27/W27</f>
        <v>71578.4567878303</v>
      </c>
      <c r="V27" s="1" t="n">
        <v>69331</v>
      </c>
      <c r="W27" s="2" t="n">
        <v>1249</v>
      </c>
      <c r="X27" s="83" t="n">
        <f aca="false">R27/M27/1000000</f>
        <v>35.5629444444445</v>
      </c>
      <c r="Y27" s="20" t="n">
        <f aca="false">X27*1000000/(U27+M27*X27*1000000)</f>
        <v>492.43476712747</v>
      </c>
      <c r="Z27" s="51" t="n">
        <f aca="false">SUM(X22:X27)</f>
        <v>193.485773547009</v>
      </c>
      <c r="AA27" s="51" t="n">
        <f aca="false">+R27-Q27</f>
        <v>-630.221</v>
      </c>
      <c r="AB27" s="51" t="n">
        <f aca="false">AB28-AA28</f>
        <v>-598.952000000002</v>
      </c>
      <c r="AC27" s="51" t="e">
        <f aca="false">IF(MOD(MONTH(B27),6)=0,AB27,NA())</f>
        <v>#N/A</v>
      </c>
      <c r="AH27" s="51"/>
    </row>
    <row r="28" customFormat="false" ht="12.75" hidden="false" customHeight="false" outlineLevel="0" collapsed="false">
      <c r="A28" s="0" t="n">
        <f aca="false">DAY((B29-1))</f>
        <v>30</v>
      </c>
      <c r="B28" s="7" t="n">
        <v>34578</v>
      </c>
      <c r="C28" s="51" t="n">
        <v>64000</v>
      </c>
      <c r="D28" s="51" t="n">
        <v>871.7</v>
      </c>
      <c r="E28" s="51" t="n">
        <v>574.134</v>
      </c>
      <c r="F28" s="51" t="n">
        <v>838.314</v>
      </c>
      <c r="G28" s="51" t="n">
        <v>0</v>
      </c>
      <c r="H28" s="51" t="n">
        <f aca="false">E28-F28-G28</f>
        <v>-264.18</v>
      </c>
      <c r="I28" s="51" t="n">
        <f aca="false">D28-H28</f>
        <v>1135.88</v>
      </c>
      <c r="J28" s="78" t="n">
        <f aca="false">I28/C28</f>
        <v>0.017748125</v>
      </c>
      <c r="K28" s="84" t="n">
        <f aca="false">0.017748/0.000029</f>
        <v>612</v>
      </c>
      <c r="L28" s="85" t="n">
        <f aca="false">J28/K28</f>
        <v>2.9000204248366E-005</v>
      </c>
      <c r="M28" s="61" t="n">
        <v>2.5E-005</v>
      </c>
      <c r="N28" s="56" t="n">
        <v>-4E-006</v>
      </c>
      <c r="O28" s="51" t="n">
        <v>1129.653</v>
      </c>
      <c r="P28" s="51" t="n">
        <v>-342.596</v>
      </c>
      <c r="Q28" s="51" t="n">
        <f aca="false">P28+O28</f>
        <v>787.057</v>
      </c>
      <c r="R28" s="51" t="n">
        <v>818.413</v>
      </c>
      <c r="S28" s="51" t="n">
        <v>-130.946</v>
      </c>
      <c r="T28" s="51" t="n">
        <f aca="false">R28-S28</f>
        <v>949.359</v>
      </c>
      <c r="U28" s="82" t="n">
        <f aca="false">V28*O28/W28</f>
        <v>64622.1847375691</v>
      </c>
      <c r="V28" s="1" t="n">
        <v>62125</v>
      </c>
      <c r="W28" s="2" t="n">
        <v>1086</v>
      </c>
      <c r="X28" s="83" t="n">
        <f aca="false">R28/M28/1000000</f>
        <v>32.73652</v>
      </c>
      <c r="Y28" s="20" t="n">
        <f aca="false">X28*1000000/(U28+M28*X28*1000000)</f>
        <v>500.247875657868</v>
      </c>
      <c r="Z28" s="51" t="n">
        <f aca="false">SUM(X23:X28)</f>
        <v>196.077960213675</v>
      </c>
      <c r="AA28" s="51" t="n">
        <f aca="false">+R28-Q28</f>
        <v>31.356</v>
      </c>
      <c r="AB28" s="51" t="n">
        <f aca="false">AB29-AA29</f>
        <v>-567.596000000002</v>
      </c>
      <c r="AC28" s="51" t="e">
        <f aca="false">IF(MOD(MONTH(B28),6)=0,AB28,NA())</f>
        <v>#N/A</v>
      </c>
      <c r="AH28" s="51"/>
    </row>
    <row r="29" customFormat="false" ht="12.75" hidden="false" customHeight="false" outlineLevel="0" collapsed="false">
      <c r="A29" s="0" t="n">
        <f aca="false">DAY((B30-1))</f>
        <v>31</v>
      </c>
      <c r="B29" s="7" t="n">
        <v>34608</v>
      </c>
      <c r="C29" s="51" t="n">
        <v>64000</v>
      </c>
      <c r="D29" s="51" t="n">
        <v>701.5</v>
      </c>
      <c r="E29" s="51" t="n">
        <v>640.133</v>
      </c>
      <c r="F29" s="51" t="n">
        <v>1270.354</v>
      </c>
      <c r="G29" s="51" t="n">
        <v>0</v>
      </c>
      <c r="H29" s="51" t="n">
        <f aca="false">E29-F29-G29</f>
        <v>-630.221</v>
      </c>
      <c r="I29" s="51" t="n">
        <f aca="false">D29-H29</f>
        <v>1331.721</v>
      </c>
      <c r="J29" s="78" t="n">
        <f aca="false">I29/C29</f>
        <v>0.020808140625</v>
      </c>
      <c r="K29" s="84" t="n">
        <f aca="false">0.020808/0.000034</f>
        <v>612</v>
      </c>
      <c r="L29" s="85" t="n">
        <f aca="false">J29/K29</f>
        <v>3.40002297794118E-005</v>
      </c>
      <c r="M29" s="61" t="n">
        <v>3E-005</v>
      </c>
      <c r="N29" s="56" t="n">
        <v>-4E-006</v>
      </c>
      <c r="O29" s="51" t="n">
        <v>1209.889</v>
      </c>
      <c r="P29" s="51" t="n">
        <v>203.782</v>
      </c>
      <c r="Q29" s="51" t="n">
        <f aca="false">P29+O29</f>
        <v>1413.671</v>
      </c>
      <c r="R29" s="51" t="n">
        <v>954.621</v>
      </c>
      <c r="S29" s="51" t="n">
        <v>-127.283</v>
      </c>
      <c r="T29" s="51" t="n">
        <f aca="false">R29-S29</f>
        <v>1081.904</v>
      </c>
      <c r="U29" s="82" t="n">
        <f aca="false">V29*O29/W29</f>
        <v>65314.4418374468</v>
      </c>
      <c r="V29" s="1" t="n">
        <v>63431</v>
      </c>
      <c r="W29" s="2" t="n">
        <v>1175</v>
      </c>
      <c r="X29" s="83" t="n">
        <f aca="false">R29/M29/1000000</f>
        <v>31.8207</v>
      </c>
      <c r="Y29" s="20" t="n">
        <f aca="false">X29*1000000/(U29+M29*X29*1000000)</f>
        <v>480.17428702823</v>
      </c>
      <c r="Z29" s="51" t="n">
        <f aca="false">SUM(X24:X29)</f>
        <v>196.981929444444</v>
      </c>
      <c r="AA29" s="51" t="n">
        <f aca="false">+R29-Q29</f>
        <v>-459.05</v>
      </c>
      <c r="AB29" s="51" t="n">
        <f aca="false">AB30-AA30</f>
        <v>-1026.646</v>
      </c>
      <c r="AC29" s="51" t="e">
        <f aca="false">IF(MOD(MONTH(B29),6)=0,AB29,NA())</f>
        <v>#N/A</v>
      </c>
      <c r="AH29" s="51"/>
    </row>
    <row r="30" customFormat="false" ht="12.75" hidden="false" customHeight="false" outlineLevel="0" collapsed="false">
      <c r="A30" s="0" t="n">
        <f aca="false">DAY((B31-1))</f>
        <v>30</v>
      </c>
      <c r="B30" s="7" t="n">
        <v>34639</v>
      </c>
      <c r="C30" s="51" t="n">
        <v>70163</v>
      </c>
      <c r="D30" s="51" t="n">
        <v>1000</v>
      </c>
      <c r="E30" s="51" t="n">
        <v>818.413</v>
      </c>
      <c r="F30" s="51" t="n">
        <v>999.474</v>
      </c>
      <c r="G30" s="66" t="n">
        <f aca="false">-(-108.108)</f>
        <v>108.108</v>
      </c>
      <c r="H30" s="51" t="n">
        <f aca="false">E30-F30-G30</f>
        <v>-289.169</v>
      </c>
      <c r="I30" s="51" t="n">
        <f aca="false">D30-H30</f>
        <v>1289.169</v>
      </c>
      <c r="J30" s="78" t="n">
        <f aca="false">I30/C30</f>
        <v>0.0183739150264384</v>
      </c>
      <c r="K30" s="86" t="n">
        <f aca="false">0.018374/0.000037</f>
        <v>496.594594594595</v>
      </c>
      <c r="L30" s="80" t="n">
        <f aca="false">J30/K30</f>
        <v>3.69998288874617E-005</v>
      </c>
      <c r="M30" s="55" t="n">
        <v>3.7E-005</v>
      </c>
      <c r="N30" s="56" t="n">
        <v>-4E-006</v>
      </c>
      <c r="O30" s="51" t="n">
        <v>1248.44</v>
      </c>
      <c r="P30" s="51" t="n">
        <v>196.254</v>
      </c>
      <c r="Q30" s="51" t="n">
        <f aca="false">P30+O30</f>
        <v>1444.694</v>
      </c>
      <c r="R30" s="51" t="n">
        <v>1260.753</v>
      </c>
      <c r="S30" s="51" t="n">
        <v>-136.298</v>
      </c>
      <c r="T30" s="51" t="n">
        <f aca="false">R30-S30</f>
        <v>1397.051</v>
      </c>
      <c r="U30" s="82" t="n">
        <f aca="false">V30*O30/W30</f>
        <v>70115.9221710526</v>
      </c>
      <c r="V30" s="1" t="n">
        <v>68294</v>
      </c>
      <c r="W30" s="2" t="n">
        <v>1216</v>
      </c>
      <c r="X30" s="83" t="n">
        <f aca="false">R30/M30/1000000</f>
        <v>34.0744054054054</v>
      </c>
      <c r="Y30" s="20" t="n">
        <f aca="false">X30*1000000/(U30+M30*X30*1000000)</f>
        <v>477.388521162506</v>
      </c>
      <c r="Z30" s="51" t="n">
        <f aca="false">SUM(X25:X30)</f>
        <v>201.15989484985</v>
      </c>
      <c r="AA30" s="51" t="n">
        <f aca="false">+R30-Q30</f>
        <v>-183.941</v>
      </c>
      <c r="AB30" s="51" t="n">
        <f aca="false">AB31-AA31</f>
        <v>-1210.587</v>
      </c>
      <c r="AC30" s="51" t="e">
        <f aca="false">IF(MOD(MONTH(B30),6)=0,AB30,NA())</f>
        <v>#N/A</v>
      </c>
      <c r="AH30" s="51"/>
    </row>
    <row r="31" customFormat="false" ht="12.75" hidden="false" customHeight="false" outlineLevel="0" collapsed="false">
      <c r="A31" s="0" t="n">
        <f aca="false">DAY((B32-1))</f>
        <v>31</v>
      </c>
      <c r="B31" s="7" t="n">
        <v>34669</v>
      </c>
      <c r="C31" s="51" t="n">
        <v>70000</v>
      </c>
      <c r="D31" s="51" t="n">
        <v>1250.7</v>
      </c>
      <c r="E31" s="51" t="n">
        <v>954.621</v>
      </c>
      <c r="F31" s="51" t="n">
        <v>1425.421</v>
      </c>
      <c r="G31" s="51" t="n">
        <v>-135.211</v>
      </c>
      <c r="H31" s="51" t="n">
        <f aca="false">E31-F31-G31</f>
        <v>-335.589</v>
      </c>
      <c r="I31" s="51" t="n">
        <f aca="false">D31-H31</f>
        <v>1586.289</v>
      </c>
      <c r="J31" s="78" t="n">
        <f aca="false">I31/C31</f>
        <v>0.0226612714285714</v>
      </c>
      <c r="K31" s="84" t="n">
        <f aca="false">0.022661/0.000037</f>
        <v>612.45945945946</v>
      </c>
      <c r="L31" s="80" t="n">
        <f aca="false">J31/K31</f>
        <v>3.70004431780214E-005</v>
      </c>
      <c r="M31" s="55" t="n">
        <v>3.7E-005</v>
      </c>
      <c r="N31" s="56" t="n">
        <v>-4E-006</v>
      </c>
      <c r="O31" s="51" t="n">
        <v>1546.815</v>
      </c>
      <c r="P31" s="51" t="n">
        <v>154.595</v>
      </c>
      <c r="Q31" s="51" t="n">
        <f aca="false">P31+O31</f>
        <v>1701.41</v>
      </c>
      <c r="R31" s="51" t="n">
        <v>1392.687</v>
      </c>
      <c r="S31" s="51" t="n">
        <v>-150.561</v>
      </c>
      <c r="T31" s="51" t="n">
        <f aca="false">R31-S31</f>
        <v>1543.248</v>
      </c>
      <c r="U31" s="82" t="n">
        <f aca="false">V31*O31/W31</f>
        <v>80353.1850598007</v>
      </c>
      <c r="V31" s="1" t="n">
        <v>78181</v>
      </c>
      <c r="W31" s="2" t="n">
        <v>1505</v>
      </c>
      <c r="X31" s="83" t="n">
        <f aca="false">R31/M31/1000000</f>
        <v>37.6401891891892</v>
      </c>
      <c r="Y31" s="20" t="n">
        <f aca="false">X31*1000000/(U31+M31*X31*1000000)</f>
        <v>460.453699260236</v>
      </c>
      <c r="Z31" s="51" t="n">
        <f aca="false">SUM(X26:X31)</f>
        <v>207.718134039039</v>
      </c>
      <c r="AA31" s="51" t="n">
        <f aca="false">+R31-Q31</f>
        <v>-308.723</v>
      </c>
      <c r="AB31" s="51" t="n">
        <f aca="false">AB32-AA32</f>
        <v>-1519.31</v>
      </c>
      <c r="AC31" s="51" t="n">
        <f aca="false">IF(MOD(MONTH(B31),6)=0,AB31,NA())</f>
        <v>-1519.31</v>
      </c>
      <c r="AH31" s="51"/>
    </row>
    <row r="32" customFormat="false" ht="12.75" hidden="false" customHeight="false" outlineLevel="0" collapsed="false">
      <c r="A32" s="0" t="n">
        <f aca="false">DAY((B33-1))</f>
        <v>31</v>
      </c>
      <c r="B32" s="7" t="n">
        <v>34700</v>
      </c>
      <c r="C32" s="51" t="n">
        <v>72000</v>
      </c>
      <c r="D32" s="51" t="n">
        <v>1316.6</v>
      </c>
      <c r="E32" s="51" t="n">
        <v>1260.753</v>
      </c>
      <c r="F32" s="51" t="n">
        <v>1444.694</v>
      </c>
      <c r="G32" s="51" t="n">
        <v>263.32</v>
      </c>
      <c r="H32" s="51" t="n">
        <f aca="false">E32-F32-G32</f>
        <v>-447.261</v>
      </c>
      <c r="I32" s="51" t="n">
        <f aca="false">D32-H32</f>
        <v>1763.861</v>
      </c>
      <c r="J32" s="78" t="n">
        <f aca="false">I32/C32</f>
        <v>0.0244980694444444</v>
      </c>
      <c r="K32" s="84" t="n">
        <f aca="false">0.024498/0.00004</f>
        <v>612.45</v>
      </c>
      <c r="L32" s="80" t="n">
        <f aca="false">J32/K32</f>
        <v>4.0000113387941E-005</v>
      </c>
      <c r="M32" s="55" t="n">
        <v>4E-005</v>
      </c>
      <c r="N32" s="56" t="n">
        <v>8E-006</v>
      </c>
      <c r="O32" s="51" t="n">
        <v>1498.806</v>
      </c>
      <c r="P32" s="51" t="n">
        <v>391.299</v>
      </c>
      <c r="Q32" s="51" t="n">
        <f aca="false">P32+O32</f>
        <v>1890.105</v>
      </c>
      <c r="R32" s="51" t="n">
        <v>1469.242</v>
      </c>
      <c r="S32" s="51" t="n">
        <v>293.848</v>
      </c>
      <c r="T32" s="51" t="n">
        <f aca="false">R32-S32</f>
        <v>1175.394</v>
      </c>
      <c r="U32" s="82" t="n">
        <f aca="false">V32*O32/W32</f>
        <v>77649.918285124</v>
      </c>
      <c r="V32" s="1" t="n">
        <v>75225</v>
      </c>
      <c r="W32" s="2" t="n">
        <v>1452</v>
      </c>
      <c r="X32" s="83" t="n">
        <f aca="false">R32/M32/1000000</f>
        <v>36.73105</v>
      </c>
      <c r="Y32" s="20" t="n">
        <f aca="false">X32*1000000/(U32+M32*X32*1000000)</f>
        <v>464.249745164525</v>
      </c>
      <c r="Z32" s="51" t="n">
        <f aca="false">SUM(X27:X32)</f>
        <v>208.565809039039</v>
      </c>
      <c r="AA32" s="51" t="n">
        <f aca="false">+R32-Q32</f>
        <v>-420.863</v>
      </c>
      <c r="AB32" s="51" t="n">
        <f aca="false">AB33-AA33</f>
        <v>-1940.173</v>
      </c>
      <c r="AC32" s="51" t="e">
        <f aca="false">IF(MOD(MONTH(B32),6)=0,AB32,NA())</f>
        <v>#N/A</v>
      </c>
      <c r="AH32" s="51"/>
    </row>
    <row r="33" customFormat="false" ht="12.75" hidden="false" customHeight="false" outlineLevel="0" collapsed="false">
      <c r="A33" s="0" t="n">
        <f aca="false">DAY((B34-1))</f>
        <v>28</v>
      </c>
      <c r="B33" s="7" t="n">
        <v>34731</v>
      </c>
      <c r="C33" s="51" t="n">
        <v>73730</v>
      </c>
      <c r="D33" s="51" t="n">
        <v>1420</v>
      </c>
      <c r="E33" s="51" t="n">
        <v>1392.687</v>
      </c>
      <c r="F33" s="51" t="n">
        <v>1701.41</v>
      </c>
      <c r="G33" s="51" t="n">
        <v>258.182</v>
      </c>
      <c r="H33" s="51" t="n">
        <f aca="false">E33-F33-G33</f>
        <v>-566.905</v>
      </c>
      <c r="I33" s="51" t="n">
        <f aca="false">D33-H33</f>
        <v>1986.905</v>
      </c>
      <c r="J33" s="78" t="n">
        <f aca="false">I33/C33</f>
        <v>0.0269483927844839</v>
      </c>
      <c r="K33" s="84" t="n">
        <f aca="false">0.026948/0.000044</f>
        <v>612.454545454546</v>
      </c>
      <c r="L33" s="80" t="n">
        <f aca="false">J33/K33</f>
        <v>4.4000641328384E-005</v>
      </c>
      <c r="M33" s="55" t="n">
        <v>4.4E-005</v>
      </c>
      <c r="N33" s="56" t="n">
        <v>8E-006</v>
      </c>
      <c r="O33" s="51" t="n">
        <v>1196.522</v>
      </c>
      <c r="P33" s="51" t="n">
        <v>-231.209</v>
      </c>
      <c r="Q33" s="51" t="n">
        <f aca="false">P33+O33</f>
        <v>965.313</v>
      </c>
      <c r="R33" s="51" t="n">
        <v>1448.102</v>
      </c>
      <c r="S33" s="51" t="n">
        <v>263.291</v>
      </c>
      <c r="T33" s="51" t="n">
        <f aca="false">R33-S33</f>
        <v>1184.811</v>
      </c>
      <c r="U33" s="82" t="n">
        <f aca="false">V33*O33/W33</f>
        <v>68451.5886194996</v>
      </c>
      <c r="V33" s="1" t="n">
        <v>66305</v>
      </c>
      <c r="W33" s="2" t="n">
        <v>1159</v>
      </c>
      <c r="X33" s="83" t="n">
        <f aca="false">R33/M33/1000000</f>
        <v>32.9114090909091</v>
      </c>
      <c r="Y33" s="20" t="n">
        <f aca="false">X33*1000000/(U33+M33*X33*1000000)</f>
        <v>470.837693260519</v>
      </c>
      <c r="Z33" s="51" t="n">
        <f aca="false">SUM(X28:X33)</f>
        <v>205.914273685504</v>
      </c>
      <c r="AA33" s="51" t="n">
        <f aca="false">+R33-Q33</f>
        <v>482.789</v>
      </c>
      <c r="AB33" s="51" t="n">
        <f aca="false">AB34-AA34</f>
        <v>-1457.384</v>
      </c>
      <c r="AC33" s="51" t="e">
        <f aca="false">IF(MOD(MONTH(B33),6)=0,AB33,NA())</f>
        <v>#N/A</v>
      </c>
      <c r="AH33" s="51"/>
    </row>
    <row r="34" customFormat="false" ht="12.75" hidden="false" customHeight="false" outlineLevel="0" collapsed="false">
      <c r="A34" s="0" t="n">
        <f aca="false">DAY((B35-1))</f>
        <v>31</v>
      </c>
      <c r="B34" s="7" t="n">
        <v>34759</v>
      </c>
      <c r="C34" s="51" t="n">
        <v>71534</v>
      </c>
      <c r="D34" s="51" t="n">
        <v>1275</v>
      </c>
      <c r="E34" s="51" t="n">
        <v>1469.242</v>
      </c>
      <c r="F34" s="51" t="n">
        <v>1890.105</v>
      </c>
      <c r="G34" s="51" t="n">
        <v>231.818</v>
      </c>
      <c r="H34" s="51" t="n">
        <f aca="false">E34-F34-G34</f>
        <v>-652.681</v>
      </c>
      <c r="I34" s="51" t="n">
        <f aca="false">D34-H34</f>
        <v>1927.681</v>
      </c>
      <c r="J34" s="78" t="n">
        <f aca="false">I34/C34</f>
        <v>0.0269477591075572</v>
      </c>
      <c r="K34" s="84" t="n">
        <f aca="false">0.026948/0.000044</f>
        <v>612.454545454546</v>
      </c>
      <c r="L34" s="80" t="n">
        <f aca="false">J34/K34</f>
        <v>4.39996066770268E-005</v>
      </c>
      <c r="M34" s="55" t="n">
        <v>4.4E-005</v>
      </c>
      <c r="N34" s="56" t="n">
        <v>8E-006</v>
      </c>
      <c r="O34" s="51" t="n">
        <v>1596.473</v>
      </c>
      <c r="P34" s="51" t="n">
        <v>185.382</v>
      </c>
      <c r="Q34" s="51" t="n">
        <f aca="false">P34+O34</f>
        <v>1781.855</v>
      </c>
      <c r="R34" s="51" t="n">
        <v>1644.167</v>
      </c>
      <c r="S34" s="51" t="n">
        <v>298.939</v>
      </c>
      <c r="T34" s="51" t="n">
        <f aca="false">R34-S34</f>
        <v>1345.228</v>
      </c>
      <c r="U34" s="82" t="n">
        <f aca="false">V34*O34/W34</f>
        <v>76607.0296744036</v>
      </c>
      <c r="V34" s="1" t="n">
        <v>74425</v>
      </c>
      <c r="W34" s="2" t="n">
        <v>1551</v>
      </c>
      <c r="X34" s="83" t="n">
        <f aca="false">R34/M34/1000000</f>
        <v>37.3674318181818</v>
      </c>
      <c r="Y34" s="20" t="n">
        <f aca="false">X34*1000000/(U34+M34*X34*1000000)</f>
        <v>477.531761893233</v>
      </c>
      <c r="Z34" s="51" t="n">
        <f aca="false">SUM(X29:X34)</f>
        <v>210.545185503685</v>
      </c>
      <c r="AA34" s="51" t="n">
        <f aca="false">+R34-Q34</f>
        <v>-137.688</v>
      </c>
      <c r="AB34" s="51" t="n">
        <f aca="false">AB35-AA35</f>
        <v>-1595.072</v>
      </c>
      <c r="AC34" s="51" t="e">
        <f aca="false">IF(MOD(MONTH(B34),6)=0,AB34,NA())</f>
        <v>#N/A</v>
      </c>
      <c r="AH34" s="51"/>
    </row>
    <row r="35" customFormat="false" ht="12.75" hidden="false" customHeight="false" outlineLevel="0" collapsed="false">
      <c r="A35" s="0" t="n">
        <f aca="false">DAY((B36-1))</f>
        <v>30</v>
      </c>
      <c r="B35" s="7" t="n">
        <v>34790</v>
      </c>
      <c r="C35" s="87" t="n">
        <v>47430</v>
      </c>
      <c r="D35" s="51" t="n">
        <v>1490</v>
      </c>
      <c r="E35" s="51" t="n">
        <v>1448.102</v>
      </c>
      <c r="F35" s="51" t="n">
        <v>965.313</v>
      </c>
      <c r="G35" s="51" t="n">
        <v>270.909</v>
      </c>
      <c r="H35" s="51" t="n">
        <f aca="false">E35-F35-G35</f>
        <v>211.88</v>
      </c>
      <c r="I35" s="51" t="n">
        <f aca="false">D35-H35</f>
        <v>1278.12</v>
      </c>
      <c r="J35" s="78" t="n">
        <f aca="false">I35/C35</f>
        <v>0.0269475015812777</v>
      </c>
      <c r="K35" s="84" t="n">
        <f aca="false">0.026948/0.000044</f>
        <v>612.454545454546</v>
      </c>
      <c r="L35" s="85" t="n">
        <f aca="false">J35/K35</f>
        <v>4.39991861947535E-005</v>
      </c>
      <c r="M35" s="61" t="n">
        <v>4.8E-005</v>
      </c>
      <c r="N35" s="56" t="n">
        <v>8E-006</v>
      </c>
      <c r="O35" s="51" t="n">
        <v>1353.414</v>
      </c>
      <c r="P35" s="51" t="n">
        <v>203.133</v>
      </c>
      <c r="Q35" s="51" t="n">
        <f aca="false">P35+O35</f>
        <v>1556.547</v>
      </c>
      <c r="R35" s="51" t="n">
        <v>1657.096</v>
      </c>
      <c r="S35" s="51" t="n">
        <v>276.183</v>
      </c>
      <c r="T35" s="51" t="n">
        <f aca="false">R35-S35</f>
        <v>1380.913</v>
      </c>
      <c r="U35" s="82" t="n">
        <f aca="false">V35*O35/W35</f>
        <v>69848.065055345</v>
      </c>
      <c r="V35" s="1" t="n">
        <v>68072</v>
      </c>
      <c r="W35" s="2" t="n">
        <v>1319</v>
      </c>
      <c r="X35" s="83" t="n">
        <f aca="false">R35/M35/1000000</f>
        <v>34.5228333333333</v>
      </c>
      <c r="Y35" s="20" t="n">
        <f aca="false">X35*1000000/(U35+M35*X35*1000000)</f>
        <v>482.801979938381</v>
      </c>
      <c r="Z35" s="51" t="n">
        <f aca="false">SUM(X30:X35)</f>
        <v>213.247318837019</v>
      </c>
      <c r="AA35" s="51" t="n">
        <f aca="false">+R35-Q35</f>
        <v>100.549</v>
      </c>
      <c r="AB35" s="51" t="n">
        <f aca="false">AB36-AA36</f>
        <v>-1494.523</v>
      </c>
      <c r="AC35" s="51" t="e">
        <f aca="false">IF(MOD(MONTH(B35),6)=0,AB35,NA())</f>
        <v>#N/A</v>
      </c>
      <c r="AH35" s="51"/>
    </row>
    <row r="36" customFormat="false" ht="12.75" hidden="false" customHeight="false" outlineLevel="0" collapsed="false">
      <c r="A36" s="0" t="n">
        <f aca="false">DAY((B37-1))</f>
        <v>31</v>
      </c>
      <c r="B36" s="7" t="n">
        <v>34820</v>
      </c>
      <c r="C36" s="51" t="n">
        <v>66400</v>
      </c>
      <c r="D36" s="51" t="n">
        <v>1825</v>
      </c>
      <c r="E36" s="51" t="n">
        <v>1644.167</v>
      </c>
      <c r="F36" s="51" t="n">
        <v>1781.855</v>
      </c>
      <c r="G36" s="66" t="n">
        <f aca="false">-(304.167)</f>
        <v>-304.167</v>
      </c>
      <c r="H36" s="51" t="n">
        <f aca="false">E36-F36-G36</f>
        <v>166.479</v>
      </c>
      <c r="I36" s="51" t="n">
        <f aca="false">D36-H36</f>
        <v>1658.521</v>
      </c>
      <c r="J36" s="78" t="n">
        <f aca="false">I36/C36</f>
        <v>0.0249777259036145</v>
      </c>
      <c r="K36" s="0" t="n">
        <v>520</v>
      </c>
      <c r="L36" s="80" t="n">
        <f aca="false">J36/K36</f>
        <v>4.80340882761817E-005</v>
      </c>
      <c r="M36" s="55" t="n">
        <v>4.8E-005</v>
      </c>
      <c r="N36" s="56" t="n">
        <v>8E-006</v>
      </c>
      <c r="O36" s="51" t="n">
        <v>1216.652</v>
      </c>
      <c r="P36" s="51" t="n">
        <v>245.577</v>
      </c>
      <c r="Q36" s="51" t="n">
        <f aca="false">P36+O36</f>
        <v>1462.229</v>
      </c>
      <c r="R36" s="51" t="n">
        <v>1662.2</v>
      </c>
      <c r="S36" s="51" t="n">
        <v>277.033</v>
      </c>
      <c r="T36" s="51" t="n">
        <f aca="false">R36-S36</f>
        <v>1385.167</v>
      </c>
      <c r="U36" s="82" t="n">
        <f aca="false">V36*O36/W36</f>
        <v>71571.4581353638</v>
      </c>
      <c r="V36" s="1" t="n">
        <v>69533</v>
      </c>
      <c r="W36" s="2" t="n">
        <v>1182</v>
      </c>
      <c r="X36" s="83" t="n">
        <f aca="false">R36/M36/1000000</f>
        <v>34.6291666666667</v>
      </c>
      <c r="Y36" s="20" t="n">
        <f aca="false">X36*1000000/(U36+M36*X36*1000000)</f>
        <v>472.858621955751</v>
      </c>
      <c r="Z36" s="51" t="n">
        <f aca="false">SUM(X31:X36)</f>
        <v>213.80208009828</v>
      </c>
      <c r="AA36" s="51" t="n">
        <f aca="false">+R36-Q36</f>
        <v>199.971</v>
      </c>
      <c r="AB36" s="51" t="n">
        <f aca="false">AB37-AA37</f>
        <v>-1294.552</v>
      </c>
      <c r="AC36" s="51" t="e">
        <f aca="false">IF(MOD(MONTH(B36),6)=0,AB36,NA())</f>
        <v>#N/A</v>
      </c>
      <c r="AH36" s="51"/>
    </row>
    <row r="37" customFormat="false" ht="12.75" hidden="false" customHeight="false" outlineLevel="0" collapsed="false">
      <c r="A37" s="0" t="n">
        <f aca="false">DAY((B38-1))</f>
        <v>30</v>
      </c>
      <c r="B37" s="7" t="n">
        <v>34851</v>
      </c>
      <c r="C37" s="51" t="n">
        <v>65500</v>
      </c>
      <c r="D37" s="51" t="n">
        <v>1485</v>
      </c>
      <c r="E37" s="51" t="n">
        <v>1657.096</v>
      </c>
      <c r="F37" s="51" t="n">
        <v>1556.547</v>
      </c>
      <c r="G37" s="51" t="n">
        <v>247.55</v>
      </c>
      <c r="H37" s="51" t="n">
        <f aca="false">E37-F37-G37</f>
        <v>-147.001</v>
      </c>
      <c r="I37" s="51" t="n">
        <f aca="false">D37-H37</f>
        <v>1632.001</v>
      </c>
      <c r="J37" s="78" t="n">
        <f aca="false">I37/C37</f>
        <v>0.0249160458015267</v>
      </c>
      <c r="K37" s="0" t="n">
        <v>520</v>
      </c>
      <c r="L37" s="80" t="n">
        <f aca="false">J37/K37</f>
        <v>4.79154726952437E-005</v>
      </c>
      <c r="M37" s="55" t="n">
        <v>4.8E-005</v>
      </c>
      <c r="N37" s="56" t="n">
        <v>8E-006</v>
      </c>
      <c r="O37" s="51" t="n">
        <v>1202.009</v>
      </c>
      <c r="P37" s="51" t="n">
        <v>139.997</v>
      </c>
      <c r="Q37" s="51" t="n">
        <f aca="false">P37+O37</f>
        <v>1342.006</v>
      </c>
      <c r="R37" s="51" t="n">
        <v>1679.365</v>
      </c>
      <c r="S37" s="51" t="n">
        <v>279.894</v>
      </c>
      <c r="T37" s="51" t="n">
        <f aca="false">R37-S37</f>
        <v>1399.471</v>
      </c>
      <c r="U37" s="82" t="n">
        <f aca="false">V37*O37/W37</f>
        <v>70310.8883874257</v>
      </c>
      <c r="V37" s="1" t="n">
        <v>68848</v>
      </c>
      <c r="W37" s="2" t="n">
        <v>1177</v>
      </c>
      <c r="X37" s="83" t="n">
        <f aca="false">R37/M37/1000000</f>
        <v>34.9867708333333</v>
      </c>
      <c r="Y37" s="20" t="n">
        <f aca="false">X37*1000000/(U37+M37*X37*1000000)</f>
        <v>485.993161394323</v>
      </c>
      <c r="Z37" s="51" t="n">
        <f aca="false">SUM(X32:X37)</f>
        <v>211.148661742424</v>
      </c>
      <c r="AA37" s="51" t="n">
        <f aca="false">+R37-Q37</f>
        <v>337.359</v>
      </c>
      <c r="AB37" s="51" t="n">
        <f aca="false">AB38-AA38</f>
        <v>-957.193000000002</v>
      </c>
      <c r="AC37" s="51" t="n">
        <f aca="false">IF(MOD(MONTH(B37),6)=0,AB37,NA())</f>
        <v>-957.193000000002</v>
      </c>
      <c r="AH37" s="51"/>
    </row>
    <row r="38" customFormat="false" ht="12.75" hidden="false" customHeight="false" outlineLevel="0" collapsed="false">
      <c r="A38" s="0" t="n">
        <f aca="false">DAY((B39-1))</f>
        <v>31</v>
      </c>
      <c r="B38" s="7" t="n">
        <v>34881</v>
      </c>
      <c r="C38" s="51" t="n">
        <v>66000</v>
      </c>
      <c r="D38" s="51" t="n">
        <v>1580</v>
      </c>
      <c r="E38" s="51" t="n">
        <v>1662.2</v>
      </c>
      <c r="F38" s="51" t="n">
        <v>1462.229</v>
      </c>
      <c r="G38" s="51" t="n">
        <v>235.262</v>
      </c>
      <c r="H38" s="51" t="n">
        <f aca="false">E38-F38-G38</f>
        <v>-35.291</v>
      </c>
      <c r="I38" s="51" t="n">
        <f aca="false">D38-H38</f>
        <v>1615.291</v>
      </c>
      <c r="J38" s="78" t="n">
        <f aca="false">I38/C38</f>
        <v>0.0244741060606061</v>
      </c>
      <c r="K38" s="0" t="n">
        <v>520</v>
      </c>
      <c r="L38" s="80" t="n">
        <f aca="false">J38/K38</f>
        <v>4.70655885780886E-005</v>
      </c>
      <c r="M38" s="55" t="n">
        <v>4.7E-005</v>
      </c>
      <c r="N38" s="56" t="n">
        <v>7E-006</v>
      </c>
      <c r="O38" s="51" t="n">
        <v>1320.821</v>
      </c>
      <c r="P38" s="51" t="n">
        <v>186.686</v>
      </c>
      <c r="Q38" s="51" t="n">
        <f aca="false">P38+O38</f>
        <v>1507.507</v>
      </c>
      <c r="R38" s="51" t="n">
        <v>1651.363</v>
      </c>
      <c r="S38" s="51" t="n">
        <v>245.948</v>
      </c>
      <c r="T38" s="51" t="n">
        <f aca="false">R38-S38</f>
        <v>1405.415</v>
      </c>
      <c r="U38" s="82" t="n">
        <f aca="false">V38*O38/W38</f>
        <v>71273.1393875969</v>
      </c>
      <c r="V38" s="1" t="n">
        <v>69610</v>
      </c>
      <c r="W38" s="2" t="n">
        <v>1290</v>
      </c>
      <c r="X38" s="83" t="n">
        <f aca="false">R38/M38/1000000</f>
        <v>35.1353829787234</v>
      </c>
      <c r="Y38" s="20" t="n">
        <f aca="false">X38*1000000/(U38+M38*X38*1000000)</f>
        <v>481.804905462053</v>
      </c>
      <c r="Z38" s="51" t="n">
        <f aca="false">SUM(X33:X38)</f>
        <v>209.552994721148</v>
      </c>
      <c r="AA38" s="51" t="n">
        <f aca="false">+R38-Q38</f>
        <v>143.856</v>
      </c>
      <c r="AB38" s="51" t="n">
        <f aca="false">AB39-AA39</f>
        <v>-813.337000000001</v>
      </c>
      <c r="AC38" s="51" t="e">
        <f aca="false">IF(MOD(MONTH(B38),6)=0,AB38,NA())</f>
        <v>#N/A</v>
      </c>
      <c r="AH38" s="51"/>
    </row>
    <row r="39" customFormat="false" ht="12.75" hidden="false" customHeight="false" outlineLevel="0" collapsed="false">
      <c r="A39" s="0" t="n">
        <f aca="false">DAY((B40-1))</f>
        <v>31</v>
      </c>
      <c r="B39" s="7" t="n">
        <v>34912</v>
      </c>
      <c r="C39" s="51" t="n">
        <v>70600</v>
      </c>
      <c r="D39" s="51" t="n">
        <v>1800</v>
      </c>
      <c r="E39" s="51" t="n">
        <v>1679.365</v>
      </c>
      <c r="F39" s="51" t="n">
        <v>1342.006</v>
      </c>
      <c r="G39" s="51" t="n">
        <v>268.085</v>
      </c>
      <c r="H39" s="51" t="n">
        <f aca="false">E39-F39-G39</f>
        <v>69.2739999999999</v>
      </c>
      <c r="I39" s="51" t="n">
        <f aca="false">D39-H39</f>
        <v>1730.726</v>
      </c>
      <c r="J39" s="78" t="n">
        <f aca="false">I39/C39</f>
        <v>0.0245145325779037</v>
      </c>
      <c r="K39" s="0" t="n">
        <v>520</v>
      </c>
      <c r="L39" s="80" t="n">
        <f aca="false">J39/K39</f>
        <v>4.7143331880584E-005</v>
      </c>
      <c r="M39" s="55" t="n">
        <v>4.7E-005</v>
      </c>
      <c r="N39" s="56" t="n">
        <v>7E-006</v>
      </c>
      <c r="O39" s="51" t="n">
        <v>1477.061</v>
      </c>
      <c r="P39" s="51" t="n">
        <v>89.893</v>
      </c>
      <c r="Q39" s="51" t="n">
        <f aca="false">P39+O39</f>
        <v>1566.954</v>
      </c>
      <c r="R39" s="51" t="n">
        <v>1751.213</v>
      </c>
      <c r="S39" s="51" t="n">
        <v>260.819</v>
      </c>
      <c r="T39" s="51" t="n">
        <f aca="false">R39-S39</f>
        <v>1490.394</v>
      </c>
      <c r="U39" s="82" t="n">
        <f aca="false">V39*W$4</f>
        <v>76888.3550397483</v>
      </c>
      <c r="V39" s="1" t="n">
        <v>74904</v>
      </c>
      <c r="W39" s="2" t="n">
        <v>1442</v>
      </c>
      <c r="X39" s="83" t="n">
        <f aca="false">R39/M39/1000000</f>
        <v>37.2598510638298</v>
      </c>
      <c r="Y39" s="20" t="n">
        <f aca="false">X39*1000000/(U39+M39*X39*1000000)</f>
        <v>473.805388211146</v>
      </c>
      <c r="Z39" s="51" t="n">
        <f aca="false">SUM(X34:X39)</f>
        <v>213.901436694068</v>
      </c>
      <c r="AA39" s="51" t="n">
        <f aca="false">+R39-Q39</f>
        <v>184.259</v>
      </c>
      <c r="AB39" s="51" t="n">
        <f aca="false">AB40-AA40</f>
        <v>-629.078000000001</v>
      </c>
      <c r="AC39" s="51" t="e">
        <f aca="false">IF(MOD(MONTH(B39),6)=0,AB39,NA())</f>
        <v>#N/A</v>
      </c>
      <c r="AH39" s="51"/>
    </row>
    <row r="40" customFormat="false" ht="12.75" hidden="false" customHeight="false" outlineLevel="0" collapsed="false">
      <c r="A40" s="0" t="n">
        <f aca="false">DAY((B41-1))</f>
        <v>30</v>
      </c>
      <c r="B40" s="7" t="n">
        <v>34943</v>
      </c>
      <c r="C40" s="51" t="n">
        <v>68000</v>
      </c>
      <c r="D40" s="51" t="n">
        <v>1575</v>
      </c>
      <c r="E40" s="51" t="n">
        <v>1651.363</v>
      </c>
      <c r="F40" s="51" t="n">
        <v>1507.507</v>
      </c>
      <c r="G40" s="51" t="n">
        <v>234.574</v>
      </c>
      <c r="H40" s="51" t="n">
        <f aca="false">E40-F40-G40</f>
        <v>-90.718</v>
      </c>
      <c r="I40" s="51" t="n">
        <f aca="false">D40-H40</f>
        <v>1665.718</v>
      </c>
      <c r="J40" s="78" t="n">
        <f aca="false">I40/C40</f>
        <v>0.0244958529411765</v>
      </c>
      <c r="K40" s="0" t="n">
        <v>520</v>
      </c>
      <c r="L40" s="80" t="n">
        <f aca="false">J40/K40</f>
        <v>4.71074095022624E-005</v>
      </c>
      <c r="M40" s="55" t="n">
        <v>4.7E-005</v>
      </c>
      <c r="N40" s="56" t="n">
        <v>7E-006</v>
      </c>
      <c r="O40" s="51" t="n">
        <v>1419.857</v>
      </c>
      <c r="P40" s="51" t="n">
        <v>143.541</v>
      </c>
      <c r="Q40" s="51" t="n">
        <f aca="false">P40+O40</f>
        <v>1563.398</v>
      </c>
      <c r="R40" s="51" t="n">
        <v>1676.848</v>
      </c>
      <c r="S40" s="51" t="n">
        <v>249.743</v>
      </c>
      <c r="T40" s="51" t="n">
        <f aca="false">R40-S40</f>
        <v>1427.105</v>
      </c>
      <c r="U40" s="82" t="n">
        <f aca="false">V40*O40/W40</f>
        <v>73210.2873220217</v>
      </c>
      <c r="V40" s="1" t="n">
        <v>71413</v>
      </c>
      <c r="W40" s="2" t="n">
        <v>1385</v>
      </c>
      <c r="X40" s="83" t="n">
        <f aca="false">R40/M40/1000000</f>
        <v>35.6776170212766</v>
      </c>
      <c r="Y40" s="20" t="n">
        <f aca="false">X40*1000000/(U40+M40*X40*1000000)</f>
        <v>476.41850456503</v>
      </c>
      <c r="Z40" s="51" t="n">
        <f aca="false">SUM(X35:X40)</f>
        <v>212.211621897163</v>
      </c>
      <c r="AA40" s="51" t="n">
        <f aca="false">+R40-Q40</f>
        <v>113.45</v>
      </c>
      <c r="AB40" s="51" t="n">
        <f aca="false">AB41-AA41</f>
        <v>-515.628000000001</v>
      </c>
      <c r="AC40" s="51" t="e">
        <f aca="false">IF(MOD(MONTH(B40),6)=0,AB40,NA())</f>
        <v>#N/A</v>
      </c>
      <c r="AH40" s="51"/>
    </row>
    <row r="41" customFormat="false" ht="12.75" hidden="false" customHeight="false" outlineLevel="0" collapsed="false">
      <c r="A41" s="0" t="n">
        <f aca="false">DAY((B42-1))</f>
        <v>31</v>
      </c>
      <c r="B41" s="7" t="n">
        <v>34973</v>
      </c>
      <c r="C41" s="51" t="n">
        <v>74500</v>
      </c>
      <c r="D41" s="51" t="n">
        <v>1485</v>
      </c>
      <c r="E41" s="51" t="n">
        <v>1751.213</v>
      </c>
      <c r="F41" s="51" t="n">
        <v>1566.954</v>
      </c>
      <c r="G41" s="51" t="n">
        <v>259.875</v>
      </c>
      <c r="H41" s="51" t="n">
        <f aca="false">E41-F41-G41</f>
        <v>-75.616</v>
      </c>
      <c r="I41" s="51" t="n">
        <f aca="false">D41-H41</f>
        <v>1560.616</v>
      </c>
      <c r="J41" s="78" t="n">
        <f aca="false">I41/C41</f>
        <v>0.0209478657718121</v>
      </c>
      <c r="K41" s="0" t="n">
        <v>520</v>
      </c>
      <c r="L41" s="80" t="n">
        <f aca="false">J41/K41</f>
        <v>4.02843572534848E-005</v>
      </c>
      <c r="M41" s="55" t="n">
        <v>4E-005</v>
      </c>
      <c r="N41" s="56" t="n">
        <v>7E-006</v>
      </c>
      <c r="O41" s="51" t="n">
        <v>1443.866</v>
      </c>
      <c r="P41" s="51" t="n">
        <v>247.559</v>
      </c>
      <c r="Q41" s="51" t="n">
        <f aca="false">P41+O41</f>
        <v>1691.425</v>
      </c>
      <c r="R41" s="51" t="n">
        <v>1446.647</v>
      </c>
      <c r="S41" s="51" t="n">
        <v>253.163</v>
      </c>
      <c r="T41" s="51" t="n">
        <f aca="false">R41-S41</f>
        <v>1193.484</v>
      </c>
      <c r="U41" s="82" t="n">
        <f aca="false">V41*O41/W41</f>
        <v>76180.5836096522</v>
      </c>
      <c r="V41" s="1" t="n">
        <v>74341</v>
      </c>
      <c r="W41" s="2" t="n">
        <v>1409</v>
      </c>
      <c r="X41" s="83" t="n">
        <f aca="false">R41/M41/1000000</f>
        <v>36.166175</v>
      </c>
      <c r="Y41" s="20" t="n">
        <f aca="false">X41*1000000/(U41+M41*X41*1000000)</f>
        <v>465.895468844706</v>
      </c>
      <c r="Z41" s="51" t="n">
        <f aca="false">SUM(X36:X41)</f>
        <v>213.85496356383</v>
      </c>
      <c r="AA41" s="51" t="n">
        <f aca="false">+R41-Q41</f>
        <v>-244.778</v>
      </c>
      <c r="AB41" s="51" t="n">
        <f aca="false">AB42-AA42</f>
        <v>-760.406000000001</v>
      </c>
      <c r="AC41" s="51" t="e">
        <f aca="false">IF(MOD(MONTH(B41),6)=0,AB41,NA())</f>
        <v>#N/A</v>
      </c>
      <c r="AH41" s="51"/>
    </row>
    <row r="42" customFormat="false" ht="12.75" hidden="false" customHeight="false" outlineLevel="0" collapsed="false">
      <c r="A42" s="0" t="n">
        <f aca="false">DAY((B43-1))</f>
        <v>30</v>
      </c>
      <c r="B42" s="7" t="n">
        <v>35004</v>
      </c>
      <c r="C42" s="51" t="n">
        <v>71000</v>
      </c>
      <c r="D42" s="51" t="n">
        <v>1425</v>
      </c>
      <c r="E42" s="51" t="n">
        <v>1676.848</v>
      </c>
      <c r="F42" s="51" t="n">
        <v>1563.398</v>
      </c>
      <c r="G42" s="51" t="n">
        <v>212.234</v>
      </c>
      <c r="H42" s="51" t="n">
        <f aca="false">E42-F42-G42</f>
        <v>-98.784</v>
      </c>
      <c r="I42" s="51" t="n">
        <f aca="false">D42-H42</f>
        <v>1523.784</v>
      </c>
      <c r="J42" s="78" t="n">
        <f aca="false">I42/C42</f>
        <v>0.0214617464788732</v>
      </c>
      <c r="K42" s="0" t="n">
        <v>520</v>
      </c>
      <c r="L42" s="80" t="n">
        <f aca="false">J42/K42</f>
        <v>4.12725893824485E-005</v>
      </c>
      <c r="M42" s="55" t="n">
        <v>4.1E-005</v>
      </c>
      <c r="N42" s="56" t="n">
        <v>7E-006</v>
      </c>
      <c r="O42" s="51" t="n">
        <v>1409.016</v>
      </c>
      <c r="P42" s="51" t="n">
        <v>120.483</v>
      </c>
      <c r="Q42" s="51" t="n">
        <f aca="false">P42+O42</f>
        <v>1529.499</v>
      </c>
      <c r="R42" s="51" t="n">
        <v>1455.332</v>
      </c>
      <c r="S42" s="51" t="n">
        <v>248.471</v>
      </c>
      <c r="T42" s="51" t="n">
        <f aca="false">R42-S42</f>
        <v>1206.861</v>
      </c>
      <c r="U42" s="82" t="n">
        <f aca="false">V42*O42/W42</f>
        <v>74552.9207093023</v>
      </c>
      <c r="V42" s="1" t="n">
        <v>72806</v>
      </c>
      <c r="W42" s="2" t="n">
        <v>1376</v>
      </c>
      <c r="X42" s="83" t="n">
        <f aca="false">R42/M42/1000000</f>
        <v>35.4959024390244</v>
      </c>
      <c r="Y42" s="20" t="n">
        <f aca="false">X42*1000000/(U42+M42*X42*1000000)</f>
        <v>467.000637085823</v>
      </c>
      <c r="Z42" s="51" t="n">
        <f aca="false">SUM(X37:X42)</f>
        <v>214.721699336188</v>
      </c>
      <c r="AA42" s="51" t="n">
        <f aca="false">+R42-Q42</f>
        <v>-74.1669999999999</v>
      </c>
      <c r="AB42" s="51" t="n">
        <f aca="false">AB43-AA43</f>
        <v>-834.573000000001</v>
      </c>
      <c r="AC42" s="51" t="e">
        <f aca="false">IF(MOD(MONTH(B42),6)=0,AB42,NA())</f>
        <v>#N/A</v>
      </c>
      <c r="AH42" s="51"/>
    </row>
    <row r="43" customFormat="false" ht="12.75" hidden="false" customHeight="false" outlineLevel="0" collapsed="false">
      <c r="A43" s="0" t="n">
        <f aca="false">DAY((B44-1))</f>
        <v>31</v>
      </c>
      <c r="B43" s="7" t="n">
        <v>35034</v>
      </c>
      <c r="C43" s="51" t="n">
        <v>73000</v>
      </c>
      <c r="D43" s="51" t="n">
        <v>1175</v>
      </c>
      <c r="E43" s="51" t="n">
        <v>1446.647</v>
      </c>
      <c r="F43" s="51" t="n">
        <v>1691.425</v>
      </c>
      <c r="G43" s="51" t="n">
        <v>205.625</v>
      </c>
      <c r="H43" s="51" t="n">
        <f aca="false">E43-F43-G43</f>
        <v>-450.403</v>
      </c>
      <c r="I43" s="51" t="n">
        <f aca="false">D43-H43</f>
        <v>1625.403</v>
      </c>
      <c r="J43" s="78" t="n">
        <f aca="false">I43/C43</f>
        <v>0.0222657945205479</v>
      </c>
      <c r="K43" s="0" t="n">
        <v>520</v>
      </c>
      <c r="L43" s="80" t="n">
        <f aca="false">J43/K43</f>
        <v>4.28188356164384E-005</v>
      </c>
      <c r="M43" s="55" t="n">
        <v>4.3E-005</v>
      </c>
      <c r="N43" s="56" t="n">
        <v>7E-006</v>
      </c>
      <c r="O43" s="51" t="n">
        <v>1645.45</v>
      </c>
      <c r="P43" s="51" t="n">
        <v>168.363</v>
      </c>
      <c r="Q43" s="51" t="n">
        <f aca="false">P43+O43</f>
        <v>1813.813</v>
      </c>
      <c r="R43" s="51" t="n">
        <v>1591.681</v>
      </c>
      <c r="S43" s="51" t="n">
        <v>259.111</v>
      </c>
      <c r="T43" s="51" t="n">
        <f aca="false">R43-S43</f>
        <v>1332.57</v>
      </c>
      <c r="U43" s="82" t="n">
        <f aca="false">V43*O43/W43</f>
        <v>77990.4390790293</v>
      </c>
      <c r="V43" s="1" t="n">
        <v>76168</v>
      </c>
      <c r="W43" s="2" t="n">
        <v>1607</v>
      </c>
      <c r="X43" s="83" t="n">
        <f aca="false">R43/M43/1000000</f>
        <v>37.0158372093023</v>
      </c>
      <c r="Y43" s="20" t="n">
        <f aca="false">X43*1000000/(U43+M43*X43*1000000)</f>
        <v>465.127558458403</v>
      </c>
      <c r="Z43" s="51" t="n">
        <f aca="false">SUM(X38:X43)</f>
        <v>216.750765712157</v>
      </c>
      <c r="AA43" s="51" t="n">
        <f aca="false">+R43-Q43</f>
        <v>-222.132</v>
      </c>
      <c r="AB43" s="51" t="n">
        <f aca="false">AB44-AA44</f>
        <v>-1056.705</v>
      </c>
      <c r="AC43" s="51" t="n">
        <f aca="false">IF(MOD(MONTH(B43),6)=0,AB43,NA())</f>
        <v>-1056.705</v>
      </c>
      <c r="AH43" s="51"/>
    </row>
    <row r="44" customFormat="false" ht="12.75" hidden="false" customHeight="false" outlineLevel="0" collapsed="false">
      <c r="A44" s="0" t="n">
        <f aca="false">DAY((B45-1))</f>
        <v>31</v>
      </c>
      <c r="B44" s="7" t="n">
        <v>35065</v>
      </c>
      <c r="C44" s="51" t="n">
        <v>69000</v>
      </c>
      <c r="D44" s="51" t="n">
        <v>1250</v>
      </c>
      <c r="E44" s="51" t="n">
        <v>1455.332</v>
      </c>
      <c r="F44" s="51" t="n">
        <v>1529.499</v>
      </c>
      <c r="G44" s="51" t="n">
        <v>213.415</v>
      </c>
      <c r="H44" s="51" t="n">
        <f aca="false">E44-F44-G44</f>
        <v>-287.582</v>
      </c>
      <c r="I44" s="51" t="n">
        <f aca="false">D44-H44</f>
        <v>1537.582</v>
      </c>
      <c r="J44" s="78" t="n">
        <f aca="false">I44/C44</f>
        <v>0.0222837971014493</v>
      </c>
      <c r="K44" s="0" t="n">
        <v>520</v>
      </c>
      <c r="L44" s="80" t="n">
        <f aca="false">J44/K44</f>
        <v>4.28534559643255E-005</v>
      </c>
      <c r="M44" s="55" t="n">
        <v>4.3E-005</v>
      </c>
      <c r="N44" s="56" t="n">
        <v>2E-006</v>
      </c>
      <c r="O44" s="51" t="n">
        <v>1449.863</v>
      </c>
      <c r="P44" s="51" t="n">
        <v>152.408</v>
      </c>
      <c r="Q44" s="51" t="n">
        <f aca="false">P44+O44</f>
        <v>1602.271</v>
      </c>
      <c r="R44" s="51" t="n">
        <v>1498.32</v>
      </c>
      <c r="S44" s="51" t="n">
        <v>69.689</v>
      </c>
      <c r="T44" s="51" t="n">
        <f aca="false">R44-S44</f>
        <v>1428.631</v>
      </c>
      <c r="U44" s="13" t="n">
        <f aca="false">32461+2962+9319+24490+1428+1920</f>
        <v>72580</v>
      </c>
      <c r="V44" s="1"/>
      <c r="W44" s="2"/>
      <c r="X44" s="83" t="n">
        <f aca="false">R44/M44/1000000</f>
        <v>34.8446511627907</v>
      </c>
      <c r="Y44" s="20" t="n">
        <f aca="false">X44*1000000/(U44+M44*X44*1000000)</f>
        <v>470.37582875517</v>
      </c>
      <c r="Z44" s="51" t="n">
        <f aca="false">SUM(X39:X44)</f>
        <v>216.460033896224</v>
      </c>
      <c r="AA44" s="51" t="n">
        <f aca="false">+R44-Q44</f>
        <v>-103.951</v>
      </c>
      <c r="AB44" s="51" t="n">
        <f aca="false">AB45-AA45</f>
        <v>-1160.656</v>
      </c>
      <c r="AC44" s="51" t="e">
        <f aca="false">IF(MOD(MONTH(B44),6)=0,AB44,NA())</f>
        <v>#N/A</v>
      </c>
      <c r="AH44" s="51"/>
    </row>
    <row r="45" customFormat="false" ht="12.75" hidden="false" customHeight="false" outlineLevel="0" collapsed="false">
      <c r="A45" s="0" t="n">
        <f aca="false">DAY((B46-1))</f>
        <v>29</v>
      </c>
      <c r="B45" s="7" t="n">
        <v>35096</v>
      </c>
      <c r="C45" s="51" t="n">
        <v>67000</v>
      </c>
      <c r="D45" s="51" t="n">
        <v>1100</v>
      </c>
      <c r="E45" s="51" t="n">
        <v>1591.681</v>
      </c>
      <c r="F45" s="51" t="n">
        <v>1813.813</v>
      </c>
      <c r="G45" s="51" t="n">
        <v>179.07</v>
      </c>
      <c r="H45" s="51" t="n">
        <f aca="false">E45-F45-G45</f>
        <v>-401.202</v>
      </c>
      <c r="I45" s="51" t="n">
        <f aca="false">D45-H45</f>
        <v>1501.202</v>
      </c>
      <c r="J45" s="78" t="n">
        <f aca="false">I45/C45</f>
        <v>0.022406</v>
      </c>
      <c r="K45" s="0" t="n">
        <v>520</v>
      </c>
      <c r="L45" s="88" t="n">
        <f aca="false">J45/K45</f>
        <v>4.30884615384615E-005</v>
      </c>
      <c r="M45" s="64" t="n">
        <v>4.3E-005</v>
      </c>
      <c r="N45" s="58" t="n">
        <v>2E-006</v>
      </c>
      <c r="O45" s="51" t="n">
        <v>1130.731</v>
      </c>
      <c r="P45" s="51" t="n">
        <v>84.967</v>
      </c>
      <c r="Q45" s="51" t="n">
        <f aca="false">P45+O45</f>
        <v>1215.698</v>
      </c>
      <c r="R45" s="51" t="n">
        <v>1350.338</v>
      </c>
      <c r="S45" s="51" t="n">
        <v>62.806</v>
      </c>
      <c r="T45" s="51" t="n">
        <f aca="false">R45-S45</f>
        <v>1287.532</v>
      </c>
      <c r="U45" s="13" t="n">
        <f aca="false">28418+3581+8779+23846+563+2690</f>
        <v>67877</v>
      </c>
      <c r="V45" s="1"/>
      <c r="W45" s="2"/>
      <c r="X45" s="83" t="n">
        <f aca="false">R45/M45/1000000</f>
        <v>31.4032093023256</v>
      </c>
      <c r="Y45" s="20" t="n">
        <f aca="false">X45*1000000/(U45+M45*X45*1000000)</f>
        <v>453.624394777762</v>
      </c>
      <c r="Z45" s="51" t="n">
        <f aca="false">SUM(X40:X45)</f>
        <v>210.60339213472</v>
      </c>
      <c r="AA45" s="51" t="n">
        <f aca="false">+R45-Q45</f>
        <v>134.64</v>
      </c>
      <c r="AB45" s="51" t="n">
        <f aca="false">AB46-AA46</f>
        <v>-1026.016</v>
      </c>
      <c r="AC45" s="51" t="e">
        <f aca="false">IF(MOD(MONTH(B45),6)=0,AB45,NA())</f>
        <v>#N/A</v>
      </c>
      <c r="AH45" s="51"/>
    </row>
    <row r="46" customFormat="false" ht="12.75" hidden="false" customHeight="false" outlineLevel="0" collapsed="false">
      <c r="A46" s="0" t="n">
        <f aca="false">DAY((B47-1))</f>
        <v>31</v>
      </c>
      <c r="B46" s="7" t="n">
        <v>35125</v>
      </c>
      <c r="C46" s="51" t="n">
        <v>68000</v>
      </c>
      <c r="D46" s="51" t="n">
        <v>1350</v>
      </c>
      <c r="E46" s="51" t="n">
        <v>1498.32</v>
      </c>
      <c r="F46" s="51" t="n">
        <v>1602.271</v>
      </c>
      <c r="G46" s="51" t="n">
        <v>62.791</v>
      </c>
      <c r="H46" s="51" t="n">
        <f aca="false">E46-F46-G46</f>
        <v>-166.742</v>
      </c>
      <c r="I46" s="51" t="n">
        <f aca="false">D46-H46</f>
        <v>1516.742</v>
      </c>
      <c r="J46" s="78" t="n">
        <f aca="false">I46/C46</f>
        <v>0.0223050294117647</v>
      </c>
      <c r="K46" s="0" t="n">
        <v>520</v>
      </c>
      <c r="L46" s="80" t="n">
        <f aca="false">J46/K46</f>
        <v>4.28942873303167E-005</v>
      </c>
      <c r="M46" s="64" t="n">
        <v>4.3E-005</v>
      </c>
      <c r="N46" s="58" t="n">
        <v>2E-006</v>
      </c>
      <c r="O46" s="51" t="n">
        <v>1073.666</v>
      </c>
      <c r="P46" s="51" t="n">
        <v>247.01</v>
      </c>
      <c r="Q46" s="51" t="n">
        <f aca="false">P46+O46</f>
        <v>1320.676</v>
      </c>
      <c r="R46" s="51" t="n">
        <v>1483.407</v>
      </c>
      <c r="S46" s="51" t="n">
        <v>98.996</v>
      </c>
      <c r="T46" s="51" t="n">
        <f aca="false">R46-S46</f>
        <v>1384.411</v>
      </c>
      <c r="U46" s="13" t="n">
        <f aca="false">32149+3839+8950+24108+1184+2787</f>
        <v>73017</v>
      </c>
      <c r="V46" s="1"/>
      <c r="W46" s="2"/>
      <c r="X46" s="83" t="n">
        <f aca="false">R46/M46/1000000</f>
        <v>34.4978372093023</v>
      </c>
      <c r="Y46" s="20" t="n">
        <f aca="false">X46*1000000/(U46+M46*X46*1000000)</f>
        <v>463.055687860904</v>
      </c>
      <c r="Z46" s="51" t="n">
        <f aca="false">SUM(X41:X46)</f>
        <v>209.423612322745</v>
      </c>
      <c r="AA46" s="51" t="n">
        <f aca="false">+R46-Q46</f>
        <v>162.731</v>
      </c>
      <c r="AB46" s="51" t="n">
        <f aca="false">AB47-AA47</f>
        <v>-863.285000000001</v>
      </c>
      <c r="AC46" s="51" t="e">
        <f aca="false">IF(MOD(MONTH(B46),6)=0,AB46,NA())</f>
        <v>#N/A</v>
      </c>
      <c r="AH46" s="51"/>
    </row>
    <row r="47" customFormat="false" ht="12.75" hidden="false" customHeight="false" outlineLevel="0" collapsed="false">
      <c r="A47" s="0" t="n">
        <f aca="false">DAY((B48-1))</f>
        <v>30</v>
      </c>
      <c r="B47" s="7" t="n">
        <v>35156</v>
      </c>
      <c r="C47" s="51" t="n">
        <v>72000</v>
      </c>
      <c r="D47" s="51" t="n">
        <v>1375</v>
      </c>
      <c r="E47" s="51" t="n">
        <v>1350.338</v>
      </c>
      <c r="F47" s="51" t="n">
        <v>1215.698</v>
      </c>
      <c r="G47" s="51" t="n">
        <v>63.953</v>
      </c>
      <c r="H47" s="51" t="n">
        <f aca="false">E47-F47-G47</f>
        <v>70.6869999999999</v>
      </c>
      <c r="I47" s="51" t="n">
        <f aca="false">D47-H47</f>
        <v>1304.313</v>
      </c>
      <c r="J47" s="78" t="n">
        <f aca="false">I47/C47</f>
        <v>0.0181154583333333</v>
      </c>
      <c r="K47" s="0" t="n">
        <v>520</v>
      </c>
      <c r="L47" s="80" t="n">
        <f aca="false">J47/K47</f>
        <v>3.48374198717949E-005</v>
      </c>
      <c r="M47" s="64" t="n">
        <v>3.5E-005</v>
      </c>
      <c r="N47" s="58" t="n">
        <v>2E-006</v>
      </c>
      <c r="O47" s="51" t="n">
        <v>1074.714</v>
      </c>
      <c r="P47" s="51" t="n">
        <v>18.62</v>
      </c>
      <c r="Q47" s="51" t="n">
        <f aca="false">P47+O47</f>
        <v>1093.334</v>
      </c>
      <c r="R47" s="51" t="n">
        <v>1145.944</v>
      </c>
      <c r="S47" s="51" t="n">
        <v>65.483</v>
      </c>
      <c r="T47" s="51" t="n">
        <f aca="false">R47-S47</f>
        <v>1080.461</v>
      </c>
      <c r="U47" s="13" t="n">
        <f aca="false">30105+4240+8967+22371+1408+2005</f>
        <v>69096</v>
      </c>
      <c r="V47" s="1"/>
      <c r="W47" s="2"/>
      <c r="X47" s="83" t="n">
        <f aca="false">R47/M47/1000000</f>
        <v>32.7412571428571</v>
      </c>
      <c r="Y47" s="20" t="n">
        <f aca="false">X47*1000000/(U47+M47*X47*1000000)</f>
        <v>466.121170320359</v>
      </c>
      <c r="Z47" s="51" t="n">
        <f aca="false">SUM(X42:X47)</f>
        <v>205.998694465602</v>
      </c>
      <c r="AA47" s="51" t="n">
        <f aca="false">+R47-Q47</f>
        <v>52.6100000000001</v>
      </c>
      <c r="AB47" s="51" t="n">
        <f aca="false">AB48-AA48</f>
        <v>-810.675000000001</v>
      </c>
      <c r="AC47" s="51" t="e">
        <f aca="false">IF(MOD(MONTH(B47),6)=0,AB47,NA())</f>
        <v>#N/A</v>
      </c>
      <c r="AH47" s="51"/>
    </row>
    <row r="48" customFormat="false" ht="12.75" hidden="false" customHeight="false" outlineLevel="0" collapsed="false">
      <c r="A48" s="0" t="n">
        <f aca="false">DAY((B49-1))</f>
        <v>31</v>
      </c>
      <c r="B48" s="7" t="n">
        <v>35186</v>
      </c>
      <c r="C48" s="51" t="n">
        <v>78700</v>
      </c>
      <c r="D48" s="51" t="n">
        <v>1525</v>
      </c>
      <c r="E48" s="51" t="n">
        <v>1483.407</v>
      </c>
      <c r="F48" s="51" t="n">
        <v>1320.676</v>
      </c>
      <c r="G48" s="51" t="n">
        <v>70.93</v>
      </c>
      <c r="H48" s="51" t="n">
        <f aca="false">E48-F48-G48</f>
        <v>91.801</v>
      </c>
      <c r="I48" s="51" t="n">
        <f aca="false">D48-H48</f>
        <v>1433.199</v>
      </c>
      <c r="J48" s="78" t="n">
        <f aca="false">I48/C48</f>
        <v>0.018210914866582</v>
      </c>
      <c r="K48" s="0" t="n">
        <v>520</v>
      </c>
      <c r="L48" s="80" t="n">
        <f aca="false">J48/K48</f>
        <v>3.50209901280422E-005</v>
      </c>
      <c r="M48" s="64" t="n">
        <v>3.5E-005</v>
      </c>
      <c r="N48" s="58" t="n">
        <v>2E-006</v>
      </c>
      <c r="O48" s="51" t="n">
        <v>1349.744</v>
      </c>
      <c r="P48" s="51" t="n">
        <v>219.745</v>
      </c>
      <c r="Q48" s="51" t="n">
        <f aca="false">P48+O48</f>
        <v>1569.489</v>
      </c>
      <c r="R48" s="51" t="n">
        <v>1317.703</v>
      </c>
      <c r="S48" s="51" t="n">
        <v>75.297</v>
      </c>
      <c r="T48" s="51" t="n">
        <f aca="false">R48-S48</f>
        <v>1242.406</v>
      </c>
      <c r="U48" s="13" t="n">
        <f aca="false">31794+3992+9290+25750+1455+4895</f>
        <v>77176</v>
      </c>
      <c r="V48" s="1"/>
      <c r="W48" s="2"/>
      <c r="X48" s="83" t="n">
        <f aca="false">R48/M48/1000000</f>
        <v>37.6486571428571</v>
      </c>
      <c r="Y48" s="20" t="n">
        <f aca="false">X48*1000000/(U48+M48*X48*1000000)</f>
        <v>479.639202941631</v>
      </c>
      <c r="Z48" s="51" t="n">
        <f aca="false">SUM(X43:X48)</f>
        <v>208.151449169435</v>
      </c>
      <c r="AA48" s="51" t="n">
        <f aca="false">+R48-Q48</f>
        <v>-251.786</v>
      </c>
      <c r="AB48" s="51" t="n">
        <f aca="false">AB49-AA49</f>
        <v>-1062.461</v>
      </c>
      <c r="AC48" s="51" t="e">
        <f aca="false">IF(MOD(MONTH(B48),6)=0,AB48,NA())</f>
        <v>#N/A</v>
      </c>
      <c r="AH48" s="51"/>
    </row>
    <row r="49" customFormat="false" ht="12.75" hidden="false" customHeight="false" outlineLevel="0" collapsed="false">
      <c r="A49" s="0" t="n">
        <f aca="false">DAY((B50-1))</f>
        <v>30</v>
      </c>
      <c r="B49" s="7" t="n">
        <v>35217</v>
      </c>
      <c r="C49" s="51" t="n">
        <v>76600</v>
      </c>
      <c r="D49" s="51" t="n">
        <v>1482</v>
      </c>
      <c r="E49" s="51" t="n">
        <v>1145.944</v>
      </c>
      <c r="F49" s="51" t="n">
        <v>1093.334</v>
      </c>
      <c r="G49" s="51" t="n">
        <v>84.686</v>
      </c>
      <c r="H49" s="51" t="n">
        <f aca="false">E49-F49-G49</f>
        <v>-32.0760000000001</v>
      </c>
      <c r="I49" s="51" t="n">
        <f aca="false">D49-H49</f>
        <v>1514.076</v>
      </c>
      <c r="J49" s="78" t="n">
        <f aca="false">I49/C49</f>
        <v>0.0197660052219321</v>
      </c>
      <c r="K49" s="0" t="n">
        <v>520</v>
      </c>
      <c r="L49" s="80" t="n">
        <f aca="false">J49/K49</f>
        <v>3.80115485037156E-005</v>
      </c>
      <c r="M49" s="64" t="n">
        <v>3.8E-005</v>
      </c>
      <c r="N49" s="58" t="n">
        <v>2E-006</v>
      </c>
      <c r="O49" s="51" t="n">
        <v>1517.858</v>
      </c>
      <c r="P49" s="51" t="n">
        <v>86.455</v>
      </c>
      <c r="Q49" s="51" t="n">
        <f aca="false">P49+O49</f>
        <v>1604.313</v>
      </c>
      <c r="R49" s="51" t="n">
        <v>1386.869</v>
      </c>
      <c r="S49" s="51" t="n">
        <v>72.993</v>
      </c>
      <c r="T49" s="51" t="n">
        <f aca="false">R49-S49</f>
        <v>1313.876</v>
      </c>
      <c r="U49" s="13" t="n">
        <f aca="false">29349+2780+9426+25350+6904+1411</f>
        <v>75220</v>
      </c>
      <c r="V49" s="1"/>
      <c r="W49" s="2"/>
      <c r="X49" s="83" t="n">
        <f aca="false">R49/M49/1000000</f>
        <v>36.4965526315789</v>
      </c>
      <c r="Y49" s="20" t="n">
        <f aca="false">X49*1000000/(U49+M49*X49*1000000)</f>
        <v>476.41357893871</v>
      </c>
      <c r="Z49" s="51" t="n">
        <f aca="false">SUM(X44:X49)</f>
        <v>207.632164591712</v>
      </c>
      <c r="AA49" s="51" t="n">
        <f aca="false">+R49-Q49</f>
        <v>-217.444</v>
      </c>
      <c r="AB49" s="51" t="n">
        <f aca="false">AB50-AA50</f>
        <v>-1279.905</v>
      </c>
      <c r="AC49" s="51" t="n">
        <f aca="false">IF(MOD(MONTH(B49),6)=0,AB49,NA())</f>
        <v>-1279.905</v>
      </c>
      <c r="AH49" s="51"/>
    </row>
    <row r="50" customFormat="false" ht="12.75" hidden="false" customHeight="false" outlineLevel="0" collapsed="false">
      <c r="A50" s="0" t="n">
        <f aca="false">DAY((B51-1))</f>
        <v>31</v>
      </c>
      <c r="B50" s="7" t="n">
        <v>35247</v>
      </c>
      <c r="C50" s="51" t="n">
        <v>81000</v>
      </c>
      <c r="D50" s="51" t="n">
        <v>1370</v>
      </c>
      <c r="E50" s="51" t="n">
        <v>1317.703</v>
      </c>
      <c r="F50" s="51" t="n">
        <v>1569.489</v>
      </c>
      <c r="G50" s="51" t="n">
        <v>78.286</v>
      </c>
      <c r="H50" s="51" t="n">
        <f aca="false">E50-F50-G50</f>
        <v>-330.072</v>
      </c>
      <c r="I50" s="51" t="n">
        <f aca="false">D50-H50</f>
        <v>1700.072</v>
      </c>
      <c r="J50" s="78" t="n">
        <f aca="false">I50/C50</f>
        <v>0.0209885432098765</v>
      </c>
      <c r="K50" s="0" t="n">
        <v>520</v>
      </c>
      <c r="L50" s="80" t="n">
        <f aca="false">J50/K50</f>
        <v>4.03625830959164E-005</v>
      </c>
      <c r="M50" s="64" t="n">
        <v>4E-005</v>
      </c>
      <c r="N50" s="58" t="n">
        <v>4E-006</v>
      </c>
      <c r="O50" s="51" t="n">
        <v>1633.104</v>
      </c>
      <c r="P50" s="51" t="n">
        <v>381.243</v>
      </c>
      <c r="Q50" s="51" t="n">
        <f aca="false">P50+O50</f>
        <v>2014.347</v>
      </c>
      <c r="R50" s="51" t="n">
        <v>1508.835</v>
      </c>
      <c r="S50" s="51" t="n">
        <v>150.884</v>
      </c>
      <c r="T50" s="51" t="n">
        <f aca="false">R50-S50</f>
        <v>1357.951</v>
      </c>
      <c r="U50" s="13" t="n">
        <f aca="false">33635+3658+9226+25698+1427+5101</f>
        <v>78745</v>
      </c>
      <c r="V50" s="1"/>
      <c r="W50" s="2"/>
      <c r="X50" s="83" t="n">
        <f aca="false">R50/M50/1000000</f>
        <v>37.720875</v>
      </c>
      <c r="Y50" s="20" t="n">
        <f aca="false">X50*1000000/(U50+M50*X50*1000000)</f>
        <v>470.019594702234</v>
      </c>
      <c r="Z50" s="51" t="n">
        <f aca="false">SUM(X45:X50)</f>
        <v>210.508388428921</v>
      </c>
      <c r="AA50" s="51" t="n">
        <f aca="false">+R50-Q50</f>
        <v>-505.512</v>
      </c>
      <c r="AB50" s="51" t="n">
        <f aca="false">AB51-AA51</f>
        <v>-1785.417</v>
      </c>
      <c r="AC50" s="51" t="e">
        <f aca="false">IF(MOD(MONTH(B50),6)=0,AB50,NA())</f>
        <v>#N/A</v>
      </c>
      <c r="AH50" s="51"/>
    </row>
    <row r="51" customFormat="false" ht="12.75" hidden="false" customHeight="false" outlineLevel="0" collapsed="false">
      <c r="A51" s="0" t="n">
        <f aca="false">DAY((B52-1))</f>
        <v>31</v>
      </c>
      <c r="B51" s="7" t="n">
        <v>35278</v>
      </c>
      <c r="C51" s="51" t="n">
        <v>82000</v>
      </c>
      <c r="D51" s="51" t="n">
        <v>1540</v>
      </c>
      <c r="E51" s="51" t="n">
        <v>1386.869</v>
      </c>
      <c r="F51" s="51" t="n">
        <v>1604.313</v>
      </c>
      <c r="G51" s="51" t="n">
        <v>81.053</v>
      </c>
      <c r="H51" s="51" t="n">
        <f aca="false">E51-F51-G51</f>
        <v>-298.497</v>
      </c>
      <c r="I51" s="51" t="n">
        <f aca="false">D51-H51</f>
        <v>1838.497</v>
      </c>
      <c r="J51" s="78" t="n">
        <f aca="false">I51/C51</f>
        <v>0.0224206951219512</v>
      </c>
      <c r="K51" s="0" t="n">
        <v>520</v>
      </c>
      <c r="L51" s="80" t="n">
        <f aca="false">J51/K51</f>
        <v>4.31167213883677E-005</v>
      </c>
      <c r="M51" s="64" t="n">
        <v>4.3E-005</v>
      </c>
      <c r="N51" s="58" t="n">
        <v>4E-006</v>
      </c>
      <c r="O51" s="51" t="n">
        <v>1611.388</v>
      </c>
      <c r="P51" s="51" t="n">
        <v>429.254</v>
      </c>
      <c r="Q51" s="51" t="n">
        <f aca="false">P51+O51</f>
        <v>2040.642</v>
      </c>
      <c r="R51" s="51" t="n">
        <v>1659.683</v>
      </c>
      <c r="S51" s="51" t="n">
        <v>154.389</v>
      </c>
      <c r="T51" s="51" t="n">
        <f aca="false">R51-S51</f>
        <v>1505.294</v>
      </c>
      <c r="U51" s="13" t="n">
        <f aca="false">35074+4244+9297+25971+1453+5679</f>
        <v>81718</v>
      </c>
      <c r="V51" s="1"/>
      <c r="W51" s="2"/>
      <c r="X51" s="83" t="n">
        <f aca="false">R51/M51/1000000</f>
        <v>38.5972790697674</v>
      </c>
      <c r="Y51" s="20" t="n">
        <f aca="false">X51*1000000/(U51+M51*X51*1000000)</f>
        <v>462.920984141133</v>
      </c>
      <c r="Z51" s="51" t="n">
        <f aca="false">SUM(X46:X51)</f>
        <v>217.702458196363</v>
      </c>
      <c r="AA51" s="51" t="n">
        <f aca="false">+R51-Q51</f>
        <v>-380.959</v>
      </c>
      <c r="AB51" s="51" t="n">
        <f aca="false">AB52-AA52</f>
        <v>-2166.376</v>
      </c>
      <c r="AC51" s="51" t="e">
        <f aca="false">IF(MOD(MONTH(B51),6)=0,AB51,NA())</f>
        <v>#N/A</v>
      </c>
      <c r="AH51" s="51"/>
    </row>
    <row r="52" customFormat="false" ht="12.75" hidden="false" customHeight="false" outlineLevel="0" collapsed="false">
      <c r="A52" s="0" t="n">
        <f aca="false">DAY((B53-1))</f>
        <v>30</v>
      </c>
      <c r="B52" s="7" t="n">
        <v>35309</v>
      </c>
      <c r="C52" s="51" t="n">
        <v>84550</v>
      </c>
      <c r="D52" s="51" t="n">
        <v>1300</v>
      </c>
      <c r="E52" s="51" t="n">
        <v>1508.835</v>
      </c>
      <c r="F52" s="51" t="n">
        <v>2014.347</v>
      </c>
      <c r="G52" s="51" t="n">
        <v>130</v>
      </c>
      <c r="H52" s="51" t="n">
        <f aca="false">E52-F52-G52</f>
        <v>-635.512</v>
      </c>
      <c r="I52" s="51" t="n">
        <f aca="false">D52-H52</f>
        <v>1935.512</v>
      </c>
      <c r="J52" s="78" t="n">
        <f aca="false">I52/C52</f>
        <v>0.0228919219396807</v>
      </c>
      <c r="K52" s="0" t="n">
        <v>520</v>
      </c>
      <c r="L52" s="80" t="n">
        <f aca="false">J52/K52</f>
        <v>4.40229268070782E-005</v>
      </c>
      <c r="M52" s="64" t="n">
        <v>4.4E-005</v>
      </c>
      <c r="N52" s="58" t="n">
        <v>4E-006</v>
      </c>
      <c r="O52" s="51" t="n">
        <v>1691.665</v>
      </c>
      <c r="P52" s="51" t="n">
        <v>401.91</v>
      </c>
      <c r="Q52" s="51" t="n">
        <f aca="false">P52+O52</f>
        <v>2093.575</v>
      </c>
      <c r="R52" s="51" t="n">
        <v>1652.756</v>
      </c>
      <c r="S52" s="51" t="n">
        <v>150.251</v>
      </c>
      <c r="T52" s="51" t="n">
        <f aca="false">R52-S52</f>
        <v>1502.505</v>
      </c>
      <c r="U52" s="13" t="n">
        <f aca="false">34651+4460+8955+25218+1395+5072</f>
        <v>79751</v>
      </c>
      <c r="V52" s="1"/>
      <c r="W52" s="2"/>
      <c r="X52" s="83" t="n">
        <f aca="false">R52/M52/1000000</f>
        <v>37.5626363636364</v>
      </c>
      <c r="Y52" s="20" t="n">
        <f aca="false">X52*1000000/(U52+M52*X52*1000000)</f>
        <v>461.436157363997</v>
      </c>
      <c r="Z52" s="51" t="n">
        <f aca="false">SUM(X47:X52)</f>
        <v>220.767257350697</v>
      </c>
      <c r="AA52" s="51" t="n">
        <f aca="false">+R52-Q52</f>
        <v>-440.819</v>
      </c>
      <c r="AB52" s="51" t="n">
        <f aca="false">AB53-AA53</f>
        <v>-2607.195</v>
      </c>
      <c r="AC52" s="51" t="e">
        <f aca="false">IF(MOD(MONTH(B52),6)=0,AB52,NA())</f>
        <v>#N/A</v>
      </c>
      <c r="AH52" s="51"/>
    </row>
    <row r="53" customFormat="false" ht="12.75" hidden="false" customHeight="false" outlineLevel="0" collapsed="false">
      <c r="A53" s="0" t="n">
        <f aca="false">DAY((B54-1))</f>
        <v>31</v>
      </c>
      <c r="B53" s="7" t="n">
        <v>35339</v>
      </c>
      <c r="C53" s="51" t="n">
        <v>80475</v>
      </c>
      <c r="D53" s="51" t="n">
        <v>1375</v>
      </c>
      <c r="E53" s="51" t="n">
        <v>1659.683</v>
      </c>
      <c r="F53" s="51" t="n">
        <v>2040.642</v>
      </c>
      <c r="G53" s="51" t="n">
        <v>127.907</v>
      </c>
      <c r="H53" s="51" t="n">
        <f aca="false">E53-F53-G53</f>
        <v>-508.866</v>
      </c>
      <c r="I53" s="51" t="n">
        <f aca="false">D53-H53</f>
        <v>1883.866</v>
      </c>
      <c r="J53" s="78" t="n">
        <f aca="false">I53/C53</f>
        <v>0.0234093320907114</v>
      </c>
      <c r="K53" s="0" t="n">
        <v>520</v>
      </c>
      <c r="L53" s="88" t="n">
        <f aca="false">J53/K53</f>
        <v>4.50179463282912E-005</v>
      </c>
      <c r="M53" s="64" t="n">
        <v>4.5E-005</v>
      </c>
      <c r="N53" s="58" t="n">
        <v>4E-006</v>
      </c>
      <c r="O53" s="51" t="n">
        <v>1719.011</v>
      </c>
      <c r="P53" s="51" t="n">
        <v>373.047</v>
      </c>
      <c r="Q53" s="51" t="n">
        <f aca="false">P53+O53</f>
        <v>2092.058</v>
      </c>
      <c r="R53" s="51" t="n">
        <v>1763.236</v>
      </c>
      <c r="S53" s="51" t="n">
        <v>156.732</v>
      </c>
      <c r="T53" s="51" t="n">
        <f aca="false">R53-S53</f>
        <v>1606.504</v>
      </c>
      <c r="U53" s="13" t="n">
        <f aca="false">34726+4307+9279+27820+1670+5696</f>
        <v>83498</v>
      </c>
      <c r="V53" s="1"/>
      <c r="W53" s="2"/>
      <c r="X53" s="83" t="n">
        <f aca="false">R53/M53/1000000</f>
        <v>39.1830222222222</v>
      </c>
      <c r="Y53" s="20" t="n">
        <f aca="false">X53*1000000/(U53+M53*X53*1000000)</f>
        <v>459.564323254969</v>
      </c>
      <c r="Z53" s="51" t="n">
        <f aca="false">SUM(X48:X53)</f>
        <v>227.209022430062</v>
      </c>
      <c r="AA53" s="51" t="n">
        <f aca="false">+R53-Q53</f>
        <v>-328.822</v>
      </c>
      <c r="AB53" s="51" t="n">
        <f aca="false">AB54-AA54</f>
        <v>-2936.017</v>
      </c>
      <c r="AC53" s="51" t="e">
        <f aca="false">IF(MOD(MONTH(B53),6)=0,AB53,NA())</f>
        <v>#N/A</v>
      </c>
      <c r="AH53" s="51"/>
    </row>
    <row r="54" customFormat="false" ht="12.75" hidden="false" customHeight="false" outlineLevel="0" collapsed="false">
      <c r="A54" s="0" t="n">
        <f aca="false">DAY((B55-1))</f>
        <v>30</v>
      </c>
      <c r="B54" s="7" t="n">
        <v>35370</v>
      </c>
      <c r="C54" s="51" t="n">
        <v>78600</v>
      </c>
      <c r="D54" s="51" t="n">
        <v>1295</v>
      </c>
      <c r="E54" s="51" t="n">
        <v>1652.756</v>
      </c>
      <c r="F54" s="51" t="n">
        <v>2093.575</v>
      </c>
      <c r="G54" s="51" t="n">
        <v>117.727</v>
      </c>
      <c r="H54" s="51" t="n">
        <f aca="false">E54-F54-G54</f>
        <v>-558.546</v>
      </c>
      <c r="I54" s="51" t="n">
        <f aca="false">D54-H54</f>
        <v>1853.546</v>
      </c>
      <c r="J54" s="78" t="n">
        <f aca="false">I54/C54</f>
        <v>0.023582010178117</v>
      </c>
      <c r="K54" s="0" t="n">
        <v>520</v>
      </c>
      <c r="L54" s="88" t="n">
        <f aca="false">J54/K54</f>
        <v>4.5350019573302E-005</v>
      </c>
      <c r="M54" s="64" t="n">
        <v>4.5E-005</v>
      </c>
      <c r="N54" s="58" t="n">
        <v>4E-006</v>
      </c>
      <c r="O54" s="51" t="n">
        <v>1955.753</v>
      </c>
      <c r="P54" s="51" t="n">
        <v>275.067</v>
      </c>
      <c r="Q54" s="51" t="n">
        <f aca="false">P54+O54</f>
        <v>2230.82</v>
      </c>
      <c r="R54" s="51" t="n">
        <v>1733.829</v>
      </c>
      <c r="S54" s="51" t="n">
        <v>154.118</v>
      </c>
      <c r="T54" s="51" t="n">
        <f aca="false">R54-S54</f>
        <v>1579.711</v>
      </c>
      <c r="U54" s="13" t="n">
        <f aca="false">76522+3566</f>
        <v>80088</v>
      </c>
      <c r="V54" s="1"/>
      <c r="W54" s="2"/>
      <c r="X54" s="83" t="n">
        <f aca="false">R54/M54/1000000</f>
        <v>38.5295333333333</v>
      </c>
      <c r="Y54" s="20" t="n">
        <f aca="false">X54*1000000/(U54+M54*X54*1000000)</f>
        <v>470.895527565551</v>
      </c>
      <c r="Z54" s="51" t="n">
        <f aca="false">SUM(X49:X54)</f>
        <v>228.089898620538</v>
      </c>
      <c r="AA54" s="51" t="n">
        <f aca="false">+R54-Q54</f>
        <v>-496.991</v>
      </c>
      <c r="AB54" s="51" t="n">
        <f aca="false">AB55-AA55</f>
        <v>-3433.008</v>
      </c>
      <c r="AC54" s="51" t="e">
        <f aca="false">IF(MOD(MONTH(B54),6)=0,AB54,NA())</f>
        <v>#N/A</v>
      </c>
      <c r="AH54" s="51"/>
    </row>
    <row r="55" customFormat="false" ht="12.75" hidden="false" customHeight="false" outlineLevel="0" collapsed="false">
      <c r="A55" s="0" t="n">
        <f aca="false">DAY((B56-1))</f>
        <v>31</v>
      </c>
      <c r="B55" s="7" t="n">
        <v>35400</v>
      </c>
      <c r="C55" s="51" t="n">
        <v>78500</v>
      </c>
      <c r="D55" s="51" t="n">
        <v>1400</v>
      </c>
      <c r="E55" s="51" t="n">
        <v>1763.236</v>
      </c>
      <c r="F55" s="51" t="n">
        <v>2092.058</v>
      </c>
      <c r="G55" s="51" t="n">
        <v>124.444</v>
      </c>
      <c r="H55" s="51" t="n">
        <f aca="false">E55-F55-G55</f>
        <v>-453.266</v>
      </c>
      <c r="I55" s="51" t="n">
        <f aca="false">D55-H55</f>
        <v>1853.266</v>
      </c>
      <c r="J55" s="78" t="n">
        <f aca="false">I55/C55</f>
        <v>0.0236084840764331</v>
      </c>
      <c r="K55" s="0" t="n">
        <v>520</v>
      </c>
      <c r="L55" s="88" t="n">
        <f aca="false">J55/K55</f>
        <v>4.54009309162175E-005</v>
      </c>
      <c r="M55" s="64" t="n">
        <v>4.5E-005</v>
      </c>
      <c r="N55" s="58" t="n">
        <v>4E-006</v>
      </c>
      <c r="O55" s="51" t="n">
        <v>1857.119</v>
      </c>
      <c r="P55" s="51" t="n">
        <v>147.828</v>
      </c>
      <c r="Q55" s="51" t="n">
        <f aca="false">P55+O55</f>
        <v>2004.947</v>
      </c>
      <c r="R55" s="51" t="n">
        <v>1765.524</v>
      </c>
      <c r="S55" s="51" t="n">
        <v>156.935</v>
      </c>
      <c r="T55" s="51" t="n">
        <f aca="false">R55-S55</f>
        <v>1608.589</v>
      </c>
      <c r="U55" s="13" t="n">
        <f aca="false">79725+2408</f>
        <v>82133</v>
      </c>
      <c r="V55" s="1"/>
      <c r="W55" s="2"/>
      <c r="X55" s="83" t="n">
        <f aca="false">R55/M55/1000000</f>
        <v>39.2338666666667</v>
      </c>
      <c r="Y55" s="20" t="n">
        <f aca="false">X55*1000000/(U55+M55*X55*1000000)</f>
        <v>467.634766335897</v>
      </c>
      <c r="Z55" s="51" t="n">
        <f aca="false">SUM(X50:X55)</f>
        <v>230.827212655626</v>
      </c>
      <c r="AA55" s="51" t="n">
        <f aca="false">+R55-Q55</f>
        <v>-239.423</v>
      </c>
      <c r="AB55" s="51" t="n">
        <f aca="false">AB56-AA56</f>
        <v>-3672.431</v>
      </c>
      <c r="AC55" s="51" t="n">
        <f aca="false">IF(MOD(MONTH(B55),6)=0,AB55,NA())</f>
        <v>-3672.431</v>
      </c>
      <c r="AH55" s="51"/>
    </row>
    <row r="56" customFormat="false" ht="12.75" hidden="false" customHeight="false" outlineLevel="0" collapsed="false">
      <c r="A56" s="0" t="n">
        <f aca="false">DAY((B57-1))</f>
        <v>31</v>
      </c>
      <c r="B56" s="7" t="n">
        <v>35431</v>
      </c>
      <c r="C56" s="51" t="n">
        <v>77000</v>
      </c>
      <c r="D56" s="51" t="n">
        <v>1650</v>
      </c>
      <c r="E56" s="51" t="n">
        <v>1733.829</v>
      </c>
      <c r="F56" s="51" t="n">
        <v>2230.82</v>
      </c>
      <c r="G56" s="51" t="n">
        <v>115.789</v>
      </c>
      <c r="H56" s="51" t="n">
        <f aca="false">E56-F56-G56</f>
        <v>-612.78</v>
      </c>
      <c r="I56" s="51" t="n">
        <f aca="false">D56-H56</f>
        <v>2262.78</v>
      </c>
      <c r="J56" s="78" t="n">
        <f aca="false">I56/C56</f>
        <v>0.0293867532467532</v>
      </c>
      <c r="K56" s="0" t="n">
        <v>520</v>
      </c>
      <c r="L56" s="80" t="n">
        <f aca="false">J56/K56</f>
        <v>5.6512987012987E-005</v>
      </c>
      <c r="M56" s="64" t="n">
        <v>5.7E-005</v>
      </c>
      <c r="N56" s="58" t="n">
        <v>1.6E-005</v>
      </c>
      <c r="O56" s="51" t="n">
        <v>1569.287</v>
      </c>
      <c r="P56" s="51" t="n">
        <v>57.258</v>
      </c>
      <c r="Q56" s="51" t="n">
        <f aca="false">P56+O56</f>
        <v>1626.545</v>
      </c>
      <c r="R56" s="51" t="n">
        <v>2116.552</v>
      </c>
      <c r="S56" s="51" t="n">
        <v>594.12</v>
      </c>
      <c r="T56" s="51" t="n">
        <f aca="false">R56-S56</f>
        <v>1522.432</v>
      </c>
      <c r="U56" s="13" t="n">
        <f aca="false">74281+1659+1505</f>
        <v>77445</v>
      </c>
      <c r="V56" s="1"/>
      <c r="W56" s="2"/>
      <c r="X56" s="83" t="n">
        <f aca="false">R56/M56/1000000</f>
        <v>37.1324912280702</v>
      </c>
      <c r="Y56" s="20" t="n">
        <f aca="false">X56*1000000/(U56+M56*X56*1000000)</f>
        <v>466.714013171465</v>
      </c>
      <c r="Z56" s="51" t="n">
        <f aca="false">SUM(X51:X56)</f>
        <v>230.238828883696</v>
      </c>
      <c r="AA56" s="51" t="n">
        <f aca="false">+R56-Q56</f>
        <v>490.007</v>
      </c>
      <c r="AB56" s="51" t="n">
        <f aca="false">AB57-AA57</f>
        <v>-3182.424</v>
      </c>
      <c r="AC56" s="51" t="e">
        <f aca="false">IF(MOD(MONTH(B56),6)=0,AB56,NA())</f>
        <v>#N/A</v>
      </c>
      <c r="AH56" s="51" t="n">
        <v>43.827</v>
      </c>
      <c r="AI56" s="51" t="n">
        <f aca="false">AH56/1.055056+P56</f>
        <v>98.7979751292822</v>
      </c>
    </row>
    <row r="57" customFormat="false" ht="12.75" hidden="false" customHeight="false" outlineLevel="0" collapsed="false">
      <c r="A57" s="0" t="n">
        <f aca="false">DAY((B58-1))</f>
        <v>28</v>
      </c>
      <c r="B57" s="7" t="n">
        <v>35462</v>
      </c>
      <c r="C57" s="51" t="n">
        <v>71000</v>
      </c>
      <c r="D57" s="51" t="n">
        <v>1700</v>
      </c>
      <c r="E57" s="51" t="n">
        <v>1765.524</v>
      </c>
      <c r="F57" s="51" t="n">
        <v>2004.947</v>
      </c>
      <c r="G57" s="51" t="n">
        <v>151.111</v>
      </c>
      <c r="H57" s="51" t="n">
        <f aca="false">E57-F57-G57</f>
        <v>-390.534</v>
      </c>
      <c r="I57" s="51" t="n">
        <f aca="false">D57-H57</f>
        <v>2090.534</v>
      </c>
      <c r="J57" s="78" t="n">
        <f aca="false">I57/C57</f>
        <v>0.0294441408450704</v>
      </c>
      <c r="K57" s="0" t="n">
        <v>520</v>
      </c>
      <c r="L57" s="80" t="n">
        <f aca="false">J57/K57</f>
        <v>5.66233477789816E-005</v>
      </c>
      <c r="M57" s="64" t="n">
        <v>5.7E-005</v>
      </c>
      <c r="N57" s="58" t="n">
        <v>1.6E-005</v>
      </c>
      <c r="O57" s="51" t="n">
        <v>1304.432</v>
      </c>
      <c r="P57" s="51" t="n">
        <v>71.845</v>
      </c>
      <c r="Q57" s="51" t="n">
        <f aca="false">P57+O57</f>
        <v>1376.277</v>
      </c>
      <c r="R57" s="51" t="n">
        <v>1951.706</v>
      </c>
      <c r="S57" s="51" t="n">
        <v>547.847</v>
      </c>
      <c r="T57" s="51" t="n">
        <f aca="false">R57-S57</f>
        <v>1403.859</v>
      </c>
      <c r="U57" s="13" t="n">
        <f aca="false">67993+1516+2065</f>
        <v>71574</v>
      </c>
      <c r="V57" s="1"/>
      <c r="W57" s="2"/>
      <c r="X57" s="83" t="n">
        <f aca="false">R57/M57/1000000</f>
        <v>34.2404561403509</v>
      </c>
      <c r="Y57" s="20" t="n">
        <f aca="false">X57*1000000/(U57+M57*X57*1000000)</f>
        <v>465.693673724818</v>
      </c>
      <c r="Z57" s="51" t="n">
        <f aca="false">SUM(X52:X57)</f>
        <v>225.88200595428</v>
      </c>
      <c r="AA57" s="51" t="n">
        <f aca="false">+R57-Q57</f>
        <v>575.429</v>
      </c>
      <c r="AB57" s="51" t="n">
        <f aca="false">AB58-AA58</f>
        <v>-2606.995</v>
      </c>
      <c r="AC57" s="51" t="e">
        <f aca="false">IF(MOD(MONTH(B57),6)=0,AB57,NA())</f>
        <v>#N/A</v>
      </c>
      <c r="AH57" s="51" t="n">
        <v>98.337</v>
      </c>
      <c r="AI57" s="51" t="n">
        <f aca="false">AH57/1.055056+P57</f>
        <v>165.050479140444</v>
      </c>
    </row>
    <row r="58" customFormat="false" ht="12.75" hidden="false" customHeight="false" outlineLevel="0" collapsed="false">
      <c r="A58" s="0" t="n">
        <f aca="false">DAY((B59-1))</f>
        <v>31</v>
      </c>
      <c r="B58" s="7" t="n">
        <v>35490</v>
      </c>
      <c r="C58" s="51" t="n">
        <v>70000</v>
      </c>
      <c r="D58" s="51" t="n">
        <v>1850</v>
      </c>
      <c r="E58" s="51" t="n">
        <v>2116.552</v>
      </c>
      <c r="F58" s="51" t="n">
        <v>1626.545</v>
      </c>
      <c r="G58" s="51" t="n">
        <v>519.298</v>
      </c>
      <c r="H58" s="51" t="n">
        <f aca="false">E58-F58-G58</f>
        <v>-29.2909999999999</v>
      </c>
      <c r="I58" s="51" t="n">
        <f aca="false">D58-H58</f>
        <v>1879.291</v>
      </c>
      <c r="J58" s="78" t="n">
        <f aca="false">I58/C58</f>
        <v>0.0268470142857143</v>
      </c>
      <c r="K58" s="0" t="n">
        <v>520</v>
      </c>
      <c r="L58" s="80" t="n">
        <f aca="false">J58/K58</f>
        <v>5.16288736263736E-005</v>
      </c>
      <c r="M58" s="64" t="n">
        <v>5.2E-005</v>
      </c>
      <c r="N58" s="58" t="n">
        <v>1.6E-005</v>
      </c>
      <c r="O58" s="51" t="n">
        <v>1510.538</v>
      </c>
      <c r="P58" s="51" t="n">
        <v>-1.785</v>
      </c>
      <c r="Q58" s="51" t="n">
        <f aca="false">P58+O58</f>
        <v>1508.753</v>
      </c>
      <c r="R58" s="51" t="n">
        <v>2070.057</v>
      </c>
      <c r="S58" s="51" t="n">
        <v>636.941</v>
      </c>
      <c r="T58" s="51" t="n">
        <f aca="false">R58-S58</f>
        <v>1433.116</v>
      </c>
      <c r="U58" s="13" t="n">
        <f aca="false">79684+1676+2577</f>
        <v>83937</v>
      </c>
      <c r="V58" s="1"/>
      <c r="W58" s="2"/>
      <c r="X58" s="83" t="n">
        <f aca="false">R58/M58/1000000</f>
        <v>39.8087884615385</v>
      </c>
      <c r="Y58" s="20" t="n">
        <f aca="false">X58*1000000/(U58+M58*X58*1000000)</f>
        <v>462.854908075025</v>
      </c>
      <c r="Z58" s="51" t="n">
        <f aca="false">SUM(X53:X58)</f>
        <v>228.128158052182</v>
      </c>
      <c r="AA58" s="51" t="n">
        <f aca="false">+R58-Q58</f>
        <v>561.304</v>
      </c>
      <c r="AB58" s="51" t="n">
        <f aca="false">AB59-AA59</f>
        <v>-2045.691</v>
      </c>
      <c r="AC58" s="51" t="e">
        <f aca="false">IF(MOD(MONTH(B58),6)=0,AB58,NA())</f>
        <v>#N/A</v>
      </c>
      <c r="AH58" s="51" t="n">
        <v>80.628</v>
      </c>
      <c r="AI58" s="51" t="n">
        <f aca="false">AH58/1.055056+P58</f>
        <v>74.6355881014847</v>
      </c>
    </row>
    <row r="59" customFormat="false" ht="12.75" hidden="false" customHeight="false" outlineLevel="0" collapsed="false">
      <c r="A59" s="0" t="n">
        <f aca="false">DAY((B60-1))</f>
        <v>30</v>
      </c>
      <c r="B59" s="7" t="n">
        <v>35521</v>
      </c>
      <c r="C59" s="51" t="n">
        <v>69500</v>
      </c>
      <c r="D59" s="51" t="n">
        <v>1825</v>
      </c>
      <c r="E59" s="51" t="n">
        <v>1951.706</v>
      </c>
      <c r="F59" s="51" t="n">
        <v>1376.277</v>
      </c>
      <c r="G59" s="51" t="n">
        <v>512.281</v>
      </c>
      <c r="H59" s="51" t="n">
        <f aca="false">E59-F59-G59</f>
        <v>63.1479999999999</v>
      </c>
      <c r="I59" s="51" t="n">
        <f aca="false">D59-H59</f>
        <v>1761.852</v>
      </c>
      <c r="J59" s="78" t="n">
        <f aca="false">I59/C59</f>
        <v>0.0253503884892086</v>
      </c>
      <c r="K59" s="0" t="n">
        <v>520</v>
      </c>
      <c r="L59" s="80" t="n">
        <f aca="false">J59/K59</f>
        <v>4.8750747094632E-005</v>
      </c>
      <c r="M59" s="64" t="n">
        <v>4.9E-005</v>
      </c>
      <c r="N59" s="58" t="n">
        <v>1.6E-005</v>
      </c>
      <c r="O59" s="51" t="n">
        <v>1460.451</v>
      </c>
      <c r="P59" s="51" t="n">
        <v>123.15</v>
      </c>
      <c r="Q59" s="51" t="n">
        <f aca="false">P59+O59</f>
        <v>1583.601</v>
      </c>
      <c r="R59" s="51" t="n">
        <v>1842.744</v>
      </c>
      <c r="S59" s="51" t="n">
        <v>601.712</v>
      </c>
      <c r="T59" s="51" t="n">
        <f aca="false">R59-S59</f>
        <v>1241.032</v>
      </c>
      <c r="U59" s="13" t="n">
        <f aca="false">73354+1411+2792</f>
        <v>77557</v>
      </c>
      <c r="V59" s="1"/>
      <c r="W59" s="2"/>
      <c r="X59" s="83" t="n">
        <f aca="false">R59/M59/1000000</f>
        <v>37.6070204081633</v>
      </c>
      <c r="Y59" s="20" t="n">
        <f aca="false">X59*1000000/(U59+M59*X59*1000000)</f>
        <v>473.641582624791</v>
      </c>
      <c r="Z59" s="51" t="n">
        <f aca="false">SUM(X54:X59)</f>
        <v>226.552156238123</v>
      </c>
      <c r="AA59" s="51" t="n">
        <f aca="false">+R59-Q59</f>
        <v>259.143</v>
      </c>
      <c r="AB59" s="51" t="n">
        <f aca="false">AB60-AA60</f>
        <v>-1786.548</v>
      </c>
      <c r="AC59" s="51" t="e">
        <f aca="false">IF(MOD(MONTH(B59),6)=0,AB59,NA())</f>
        <v>#N/A</v>
      </c>
      <c r="AH59" s="51" t="n">
        <v>206.289</v>
      </c>
      <c r="AI59" s="51" t="n">
        <f aca="false">AH59/1.055056+P59</f>
        <v>318.674218619675</v>
      </c>
    </row>
    <row r="60" customFormat="false" ht="12.75" hidden="false" customHeight="false" outlineLevel="0" collapsed="false">
      <c r="A60" s="0" t="n">
        <f aca="false">DAY((B61-1))</f>
        <v>31</v>
      </c>
      <c r="B60" s="7" t="n">
        <v>35551</v>
      </c>
      <c r="C60" s="51" t="n">
        <v>69100</v>
      </c>
      <c r="D60" s="51" t="n">
        <v>1750</v>
      </c>
      <c r="E60" s="51" t="n">
        <v>2070.057</v>
      </c>
      <c r="F60" s="51" t="n">
        <v>1508.753</v>
      </c>
      <c r="G60" s="51" t="n">
        <v>571.429</v>
      </c>
      <c r="H60" s="51" t="n">
        <f aca="false">E60-F60-G60</f>
        <v>-10.1250000000001</v>
      </c>
      <c r="I60" s="51" t="n">
        <f aca="false">D60-H60</f>
        <v>1760.125</v>
      </c>
      <c r="J60" s="78" t="n">
        <f aca="false">I60/C60</f>
        <v>0.0254721418234443</v>
      </c>
      <c r="K60" s="0" t="n">
        <v>520</v>
      </c>
      <c r="L60" s="80" t="n">
        <f aca="false">J60/K60</f>
        <v>4.89848881220082E-005</v>
      </c>
      <c r="M60" s="64" t="n">
        <v>4.9E-005</v>
      </c>
      <c r="N60" s="58" t="n">
        <v>1.6E-005</v>
      </c>
      <c r="O60" s="51" t="n">
        <v>1454.894</v>
      </c>
      <c r="P60" s="51" t="n">
        <v>-63.433</v>
      </c>
      <c r="Q60" s="51" t="n">
        <f aca="false">P60+O60</f>
        <v>1391.461</v>
      </c>
      <c r="R60" s="51" t="n">
        <v>1840.743</v>
      </c>
      <c r="S60" s="51" t="n">
        <v>601.059</v>
      </c>
      <c r="T60" s="51" t="n">
        <f aca="false">R60-S60</f>
        <v>1239.684</v>
      </c>
      <c r="U60" s="13" t="n">
        <f aca="false">72695+1458+3881</f>
        <v>78034</v>
      </c>
      <c r="V60" s="1"/>
      <c r="W60" s="2"/>
      <c r="X60" s="83" t="n">
        <f aca="false">R60/M60/1000000</f>
        <v>37.5661836734694</v>
      </c>
      <c r="Y60" s="20" t="n">
        <f aca="false">X60*1000000/(U60+M60*X60*1000000)</f>
        <v>470.313671913403</v>
      </c>
      <c r="Z60" s="51" t="n">
        <f aca="false">SUM(X55:X60)</f>
        <v>225.588806578259</v>
      </c>
      <c r="AA60" s="51" t="n">
        <f aca="false">+R60-Q60</f>
        <v>449.282</v>
      </c>
      <c r="AB60" s="51" t="n">
        <f aca="false">AB61-AA61</f>
        <v>-1337.266</v>
      </c>
      <c r="AC60" s="51" t="e">
        <f aca="false">IF(MOD(MONTH(B60),6)=0,AB60,NA())</f>
        <v>#N/A</v>
      </c>
      <c r="AH60" s="51" t="n">
        <v>200.842</v>
      </c>
      <c r="AI60" s="51" t="n">
        <f aca="false">AH60/1.055056+P60</f>
        <v>126.928459486511</v>
      </c>
    </row>
    <row r="61" customFormat="false" ht="12.75" hidden="false" customHeight="false" outlineLevel="0" collapsed="false">
      <c r="A61" s="0" t="n">
        <f aca="false">DAY((B62-1))</f>
        <v>30</v>
      </c>
      <c r="B61" s="7" t="n">
        <v>35582</v>
      </c>
      <c r="C61" s="51" t="n">
        <v>72700</v>
      </c>
      <c r="D61" s="51" t="n">
        <v>1460</v>
      </c>
      <c r="E61" s="51" t="n">
        <v>1842.744</v>
      </c>
      <c r="F61" s="51" t="n">
        <v>1583.601</v>
      </c>
      <c r="G61" s="51" t="n">
        <v>476.735</v>
      </c>
      <c r="H61" s="51" t="n">
        <f aca="false">E61-F61-G61</f>
        <v>-217.592</v>
      </c>
      <c r="I61" s="51" t="n">
        <f aca="false">D61-H61</f>
        <v>1677.592</v>
      </c>
      <c r="J61" s="78" t="n">
        <f aca="false">I61/C61</f>
        <v>0.0230755433287483</v>
      </c>
      <c r="K61" s="0" t="n">
        <v>520</v>
      </c>
      <c r="L61" s="80" t="n">
        <f aca="false">J61/K61</f>
        <v>4.43760448629775E-005</v>
      </c>
      <c r="M61" s="64" t="n">
        <v>4.4E-005</v>
      </c>
      <c r="N61" s="58" t="n">
        <v>1.6E-005</v>
      </c>
      <c r="O61" s="51" t="n">
        <v>1625.984</v>
      </c>
      <c r="P61" s="51" t="n">
        <v>-162.032</v>
      </c>
      <c r="Q61" s="51" t="n">
        <f aca="false">P61+O61</f>
        <v>1463.952</v>
      </c>
      <c r="R61" s="51" t="n">
        <v>1672.089</v>
      </c>
      <c r="S61" s="51" t="n">
        <v>608.032</v>
      </c>
      <c r="T61" s="89" t="n">
        <f aca="false">R61-S61</f>
        <v>1064.057</v>
      </c>
      <c r="U61" s="13" t="n">
        <f aca="false">73068+1411+2923</f>
        <v>77402</v>
      </c>
      <c r="V61" s="1"/>
      <c r="W61" s="2"/>
      <c r="X61" s="83" t="n">
        <f aca="false">R61/M61/1000000</f>
        <v>38.0020227272727</v>
      </c>
      <c r="Y61" s="20" t="n">
        <f aca="false">X61*1000000/(U61+M61*X61*1000000)</f>
        <v>480.587550332356</v>
      </c>
      <c r="Z61" s="51" t="n">
        <f aca="false">SUM(X56:X61)</f>
        <v>224.356962638865</v>
      </c>
      <c r="AA61" s="51" t="n">
        <f aca="false">+R61-Q61</f>
        <v>208.137</v>
      </c>
      <c r="AB61" s="51" t="n">
        <f aca="false">AB62-AA62</f>
        <v>-1129.129</v>
      </c>
      <c r="AC61" s="51" t="n">
        <f aca="false">IF(MOD(MONTH(B61),6)=0,AB61,NA())</f>
        <v>-1129.129</v>
      </c>
      <c r="AH61" s="51" t="n">
        <v>-92.587</v>
      </c>
      <c r="AI61" s="51" t="n">
        <f aca="false">AH61/1.055056+P61</f>
        <v>-249.787531459941</v>
      </c>
    </row>
    <row r="62" customFormat="false" ht="12.75" hidden="false" customHeight="false" outlineLevel="0" collapsed="false">
      <c r="A62" s="0" t="n">
        <f aca="false">DAY((B63-1))</f>
        <v>31</v>
      </c>
      <c r="B62" s="7" t="n">
        <v>35612</v>
      </c>
      <c r="C62" s="51" t="n">
        <v>75000</v>
      </c>
      <c r="D62" s="51" t="n">
        <v>1640</v>
      </c>
      <c r="E62" s="51" t="n">
        <v>1840.743</v>
      </c>
      <c r="F62" s="51" t="n">
        <v>1391.461</v>
      </c>
      <c r="G62" s="51" t="n">
        <v>535.51</v>
      </c>
      <c r="H62" s="51" t="n">
        <f aca="false">E62-F62-G62</f>
        <v>-86.2280000000001</v>
      </c>
      <c r="I62" s="51" t="n">
        <f aca="false">D62-H62</f>
        <v>1726.228</v>
      </c>
      <c r="J62" s="78" t="n">
        <f aca="false">I62/C62</f>
        <v>0.0230163733333333</v>
      </c>
      <c r="K62" s="0" t="n">
        <v>520</v>
      </c>
      <c r="L62" s="80" t="n">
        <f aca="false">J62/K62</f>
        <v>4.42622564102564E-005</v>
      </c>
      <c r="M62" s="64" t="n">
        <v>4.4E-005</v>
      </c>
      <c r="N62" s="58" t="n">
        <v>7E-006</v>
      </c>
      <c r="O62" s="51" t="n">
        <v>1829.954</v>
      </c>
      <c r="P62" s="51" t="n">
        <v>17.978</v>
      </c>
      <c r="Q62" s="66" t="n">
        <f aca="false">P62+O62</f>
        <v>1847.932</v>
      </c>
      <c r="R62" s="51" t="n">
        <v>1735.496</v>
      </c>
      <c r="S62" s="51" t="n">
        <v>276.117</v>
      </c>
      <c r="T62" s="89" t="n">
        <f aca="false">R62-S62</f>
        <v>1459.379</v>
      </c>
      <c r="U62" s="13" t="n">
        <f aca="false">74847+1458+3738</f>
        <v>80043</v>
      </c>
      <c r="V62" s="1"/>
      <c r="W62" s="2"/>
      <c r="X62" s="83" t="n">
        <f aca="false">R62/M62/1000000</f>
        <v>39.4430909090909</v>
      </c>
      <c r="Y62" s="20" t="n">
        <f aca="false">X62*1000000/(U62+M62*X62*1000000)</f>
        <v>482.316169144159</v>
      </c>
      <c r="Z62" s="51" t="n">
        <f aca="false">SUM(X57:X62)</f>
        <v>226.667562319886</v>
      </c>
      <c r="AA62" s="51" t="n">
        <f aca="false">+R62-Q62</f>
        <v>-112.436</v>
      </c>
      <c r="AB62" s="51" t="n">
        <f aca="false">AB63-AA63</f>
        <v>-1241.565</v>
      </c>
      <c r="AC62" s="51" t="e">
        <f aca="false">IF(MOD(MONTH(B62),6)=0,AB62,NA())</f>
        <v>#N/A</v>
      </c>
      <c r="AH62" s="51" t="n">
        <v>41.628</v>
      </c>
      <c r="AI62" s="51" t="n">
        <f aca="false">AH62/1.055056+P62</f>
        <v>57.4337255728606</v>
      </c>
    </row>
    <row r="63" customFormat="false" ht="12.75" hidden="false" customHeight="false" outlineLevel="0" collapsed="false">
      <c r="A63" s="0" t="n">
        <f aca="false">DAY((B64-1))</f>
        <v>31</v>
      </c>
      <c r="B63" s="7" t="n">
        <v>35643</v>
      </c>
      <c r="C63" s="51" t="n">
        <v>79000</v>
      </c>
      <c r="D63" s="51" t="n">
        <v>1540</v>
      </c>
      <c r="E63" s="51" t="n">
        <v>1672.089</v>
      </c>
      <c r="F63" s="51" t="n">
        <v>1463.952</v>
      </c>
      <c r="G63" s="51" t="n">
        <v>560</v>
      </c>
      <c r="H63" s="51" t="n">
        <f aca="false">E63-F63-G63</f>
        <v>-351.863</v>
      </c>
      <c r="I63" s="51" t="n">
        <f aca="false">D63-H63</f>
        <v>1891.863</v>
      </c>
      <c r="J63" s="78" t="n">
        <f aca="false">I63/C63</f>
        <v>0.0239476329113924</v>
      </c>
      <c r="K63" s="0" t="n">
        <v>520</v>
      </c>
      <c r="L63" s="80" t="n">
        <f aca="false">J63/K63</f>
        <v>4.60531402142162E-005</v>
      </c>
      <c r="M63" s="64" t="n">
        <v>4.6E-005</v>
      </c>
      <c r="N63" s="58" t="n">
        <v>7E-006</v>
      </c>
      <c r="O63" s="51" t="n">
        <v>1894.216</v>
      </c>
      <c r="P63" s="51" t="n">
        <v>123.665</v>
      </c>
      <c r="Q63" s="66" t="n">
        <f aca="false">P63+O63</f>
        <v>2017.881</v>
      </c>
      <c r="R63" s="51" t="n">
        <v>1882.536</v>
      </c>
      <c r="S63" s="51" t="n">
        <v>286.522</v>
      </c>
      <c r="T63" s="89" t="n">
        <f aca="false">R63-S63</f>
        <v>1596.014</v>
      </c>
      <c r="U63" s="13" t="n">
        <f aca="false">78185+1454+3712</f>
        <v>83351</v>
      </c>
      <c r="V63" s="1"/>
      <c r="W63" s="2"/>
      <c r="X63" s="83" t="n">
        <f aca="false">R63/M63/1000000</f>
        <v>40.9246956521739</v>
      </c>
      <c r="Y63" s="20" t="n">
        <f aca="false">X63*1000000/(U63+M63*X63*1000000)</f>
        <v>480.147810037752</v>
      </c>
      <c r="Z63" s="51" t="n">
        <f aca="false">SUM(X58:X63)</f>
        <v>233.351801831709</v>
      </c>
      <c r="AA63" s="51" t="n">
        <f aca="false">+R63-Q63</f>
        <v>-135.345</v>
      </c>
      <c r="AB63" s="51" t="n">
        <f aca="false">AB64-AA64</f>
        <v>-1376.91</v>
      </c>
      <c r="AC63" s="51" t="e">
        <f aca="false">IF(MOD(MONTH(B63),6)=0,AB63,NA())</f>
        <v>#N/A</v>
      </c>
      <c r="AH63" s="51" t="n">
        <v>87.236</v>
      </c>
      <c r="AI63" s="51" t="n">
        <f aca="false">AH63/1.055056+P63</f>
        <v>206.348762757617</v>
      </c>
    </row>
    <row r="64" customFormat="false" ht="12.75" hidden="false" customHeight="false" outlineLevel="0" collapsed="false">
      <c r="A64" s="0" t="n">
        <f aca="false">DAY((B65-1))</f>
        <v>30</v>
      </c>
      <c r="B64" s="7" t="n">
        <v>35674</v>
      </c>
      <c r="C64" s="51" t="n">
        <v>78000</v>
      </c>
      <c r="D64" s="51" t="n">
        <v>1550</v>
      </c>
      <c r="E64" s="51" t="n">
        <v>1735.496</v>
      </c>
      <c r="F64" s="51" t="n">
        <v>1810.034</v>
      </c>
      <c r="G64" s="51" t="n">
        <v>246.591</v>
      </c>
      <c r="H64" s="51" t="n">
        <f aca="false">E64-F64-G64</f>
        <v>-321.129</v>
      </c>
      <c r="I64" s="51" t="n">
        <f aca="false">D64-H64</f>
        <v>1871.129</v>
      </c>
      <c r="J64" s="78" t="n">
        <f aca="false">I64/C64</f>
        <v>0.0239888333333333</v>
      </c>
      <c r="K64" s="0" t="n">
        <v>520</v>
      </c>
      <c r="L64" s="80" t="n">
        <f aca="false">J64/K64</f>
        <v>4.61323717948718E-005</v>
      </c>
      <c r="M64" s="90" t="n">
        <v>4.6E-005</v>
      </c>
      <c r="N64" s="58" t="n">
        <v>7E-006</v>
      </c>
      <c r="O64" s="51" t="n">
        <v>1991.826</v>
      </c>
      <c r="P64" s="51" t="n">
        <v>-85.351</v>
      </c>
      <c r="Q64" s="66" t="n">
        <f aca="false">P64+O64</f>
        <v>1906.475</v>
      </c>
      <c r="R64" s="51" t="n">
        <v>1804.075</v>
      </c>
      <c r="S64" s="51" t="n">
        <v>274.58</v>
      </c>
      <c r="T64" s="89" t="n">
        <f aca="false">R64-S64</f>
        <v>1529.495</v>
      </c>
      <c r="U64" s="13" t="n">
        <f aca="false">74762+1397+4322</f>
        <v>80481</v>
      </c>
      <c r="V64" s="1"/>
      <c r="W64" s="2"/>
      <c r="X64" s="83" t="n">
        <f aca="false">R64/M64/1000000</f>
        <v>39.2190217391304</v>
      </c>
      <c r="Y64" s="20" t="n">
        <f aca="false">X64*1000000/(U64+M64*X64*1000000)</f>
        <v>476.623758793808</v>
      </c>
      <c r="Z64" s="51" t="n">
        <f aca="false">SUM(X59:X64)</f>
        <v>232.762035109301</v>
      </c>
      <c r="AA64" s="51" t="n">
        <f aca="false">+R64-Q64</f>
        <v>-102.4</v>
      </c>
      <c r="AB64" s="51" t="n">
        <f aca="false">AB65-AA65</f>
        <v>-1479.31</v>
      </c>
      <c r="AC64" s="51" t="e">
        <f aca="false">IF(MOD(MONTH(B64),6)=0,AB64,NA())</f>
        <v>#N/A</v>
      </c>
      <c r="AH64" s="51" t="n">
        <v>210.075</v>
      </c>
      <c r="AI64" s="51" t="n">
        <f aca="false">AH64/1.055056+P64</f>
        <v>113.761653735915</v>
      </c>
    </row>
    <row r="65" customFormat="false" ht="12.75" hidden="false" customHeight="false" outlineLevel="0" collapsed="false">
      <c r="A65" s="0" t="n">
        <f aca="false">DAY((B66-1))</f>
        <v>31</v>
      </c>
      <c r="B65" s="7" t="n">
        <v>35704</v>
      </c>
      <c r="C65" s="51" t="n">
        <v>76000</v>
      </c>
      <c r="D65" s="51" t="n">
        <v>1720</v>
      </c>
      <c r="E65" s="51" t="n">
        <v>1882.536</v>
      </c>
      <c r="F65" s="51" t="n">
        <v>1838.646</v>
      </c>
      <c r="G65" s="51" t="n">
        <v>261.739</v>
      </c>
      <c r="H65" s="51" t="n">
        <f aca="false">E65-F65-G65</f>
        <v>-217.849</v>
      </c>
      <c r="I65" s="51" t="n">
        <f aca="false">D65-H65</f>
        <v>1937.849</v>
      </c>
      <c r="J65" s="78" t="n">
        <f aca="false">I65/C65</f>
        <v>0.0254980131578947</v>
      </c>
      <c r="K65" s="0" t="n">
        <v>520</v>
      </c>
      <c r="L65" s="88" t="n">
        <f aca="false">J65/K65</f>
        <v>4.90346406882591E-005</v>
      </c>
      <c r="M65" s="65" t="n">
        <v>4.9E-005</v>
      </c>
      <c r="N65" s="58" t="n">
        <v>7E-006</v>
      </c>
      <c r="O65" s="51" t="n">
        <v>2073.294</v>
      </c>
      <c r="P65" s="51" t="n">
        <v>134.187</v>
      </c>
      <c r="Q65" s="66" t="n">
        <f aca="false">P65+O65</f>
        <v>2207.481</v>
      </c>
      <c r="R65" s="51" t="n">
        <v>2003.657</v>
      </c>
      <c r="S65" s="51" t="n">
        <v>286.323</v>
      </c>
      <c r="T65" s="89" t="n">
        <f aca="false">R65-S65</f>
        <v>1717.334</v>
      </c>
      <c r="U65" s="13" t="n">
        <f aca="false">75625+1671+6519</f>
        <v>83815</v>
      </c>
      <c r="V65" s="1"/>
      <c r="W65" s="2"/>
      <c r="X65" s="83" t="n">
        <f aca="false">R65/M65/1000000</f>
        <v>40.8909591836735</v>
      </c>
      <c r="Y65" s="20" t="n">
        <f aca="false">X65*1000000/(U65+M65*X65*1000000)</f>
        <v>476.480996243899</v>
      </c>
      <c r="Z65" s="51" t="n">
        <f aca="false">SUM(X60:X65)</f>
        <v>236.045973884811</v>
      </c>
      <c r="AA65" s="51" t="n">
        <f aca="false">+R65-Q65</f>
        <v>-203.824</v>
      </c>
      <c r="AB65" s="51" t="n">
        <f aca="false">AB66-AA66</f>
        <v>-1683.134</v>
      </c>
      <c r="AC65" s="51" t="e">
        <f aca="false">IF(MOD(MONTH(B65),6)=0,AB65,NA())</f>
        <v>#N/A</v>
      </c>
      <c r="AH65" s="51" t="n">
        <v>-165.906</v>
      </c>
      <c r="AI65" s="51" t="n">
        <f aca="false">AH65/1.055056+P65</f>
        <v>-23.0615251967668</v>
      </c>
    </row>
    <row r="66" customFormat="false" ht="12.75" hidden="false" customHeight="false" outlineLevel="0" collapsed="false">
      <c r="A66" s="0" t="n">
        <f aca="false">DAY((B67-1))</f>
        <v>30</v>
      </c>
      <c r="B66" s="7" t="n">
        <v>35735</v>
      </c>
      <c r="C66" s="51" t="n">
        <v>78900</v>
      </c>
      <c r="D66" s="51" t="n">
        <v>1473.5</v>
      </c>
      <c r="E66" s="51" t="n">
        <v>1804.075</v>
      </c>
      <c r="F66" s="51" t="n">
        <v>2077.177</v>
      </c>
      <c r="G66" s="51" t="n">
        <v>224.228</v>
      </c>
      <c r="H66" s="51" t="n">
        <f aca="false">E66-F66-G66</f>
        <v>-497.33</v>
      </c>
      <c r="I66" s="51" t="n">
        <f aca="false">D66-H66</f>
        <v>1970.83</v>
      </c>
      <c r="J66" s="78" t="n">
        <f aca="false">I66/C66</f>
        <v>0.0249788339670469</v>
      </c>
      <c r="K66" s="0" t="n">
        <v>520</v>
      </c>
      <c r="L66" s="88" t="n">
        <f aca="false">J66/K66</f>
        <v>4.80362191673979E-005</v>
      </c>
      <c r="M66" s="64" t="n">
        <v>4.8E-005</v>
      </c>
      <c r="N66" s="58" t="n">
        <v>7E-006</v>
      </c>
      <c r="O66" s="51" t="n">
        <v>2057.59</v>
      </c>
      <c r="P66" s="51" t="n">
        <v>-59.137</v>
      </c>
      <c r="Q66" s="66" t="n">
        <f aca="false">P66+O66</f>
        <v>1998.453</v>
      </c>
      <c r="R66" s="51" t="n">
        <v>1994.185</v>
      </c>
      <c r="S66" s="51" t="n">
        <v>283.462</v>
      </c>
      <c r="T66" s="89" t="n">
        <f aca="false">R66-S66</f>
        <v>1710.723</v>
      </c>
      <c r="U66" s="13" t="n">
        <f aca="false">77433+1629+3481</f>
        <v>82543</v>
      </c>
      <c r="V66" s="1"/>
      <c r="W66" s="2"/>
      <c r="X66" s="83" t="n">
        <f aca="false">R66/M66/1000000</f>
        <v>41.5455208333333</v>
      </c>
      <c r="Y66" s="20" t="n">
        <f aca="false">X66*1000000/(U66+M66*X66*1000000)</f>
        <v>491.44670281289</v>
      </c>
      <c r="Z66" s="51" t="n">
        <f aca="false">SUM(X61:X66)</f>
        <v>240.025311044675</v>
      </c>
      <c r="AA66" s="51" t="n">
        <f aca="false">+R66-Q66</f>
        <v>-4.26800000000026</v>
      </c>
      <c r="AB66" s="51" t="n">
        <f aca="false">AB67-AA67</f>
        <v>-1687.402</v>
      </c>
      <c r="AC66" s="51" t="e">
        <f aca="false">IF(MOD(MONTH(B66),6)=0,AB66,NA())</f>
        <v>#N/A</v>
      </c>
      <c r="AH66" s="51" t="n">
        <v>250.955</v>
      </c>
      <c r="AI66" s="51" t="n">
        <f aca="false">AH66/1.055056+P66</f>
        <v>178.722412201817</v>
      </c>
      <c r="AR66" s="75" t="n">
        <f aca="false">AVERAGE(AR68:AR101)</f>
        <v>4.35734923689139E-005</v>
      </c>
      <c r="AS66" s="75" t="n">
        <f aca="false">AVERAGE(AS68:AS101)</f>
        <v>4.41688153628142E-005</v>
      </c>
      <c r="AT66" s="75" t="n">
        <f aca="false">AVERAGE(AT68:AT101)</f>
        <v>5.95322993900259E-007</v>
      </c>
      <c r="AU66" s="75"/>
    </row>
    <row r="67" customFormat="false" ht="12.75" hidden="false" customHeight="false" outlineLevel="0" collapsed="false">
      <c r="A67" s="0" t="n">
        <f aca="false">DAY((B68-1))</f>
        <v>31</v>
      </c>
      <c r="B67" s="7" t="n">
        <v>35765</v>
      </c>
      <c r="C67" s="51" t="n">
        <v>81000</v>
      </c>
      <c r="D67" s="51" t="n">
        <v>1825</v>
      </c>
      <c r="E67" s="51" t="n">
        <v>2003.657</v>
      </c>
      <c r="F67" s="51" t="n">
        <v>1939.107</v>
      </c>
      <c r="G67" s="51" t="n">
        <v>260.714</v>
      </c>
      <c r="H67" s="51" t="n">
        <f aca="false">E67-F67-G67</f>
        <v>-196.164</v>
      </c>
      <c r="I67" s="51" t="n">
        <f aca="false">D67-H67</f>
        <v>2021.164</v>
      </c>
      <c r="J67" s="78" t="n">
        <f aca="false">I67/C67</f>
        <v>0.0249526419753086</v>
      </c>
      <c r="K67" s="0" t="n">
        <v>520</v>
      </c>
      <c r="L67" s="80" t="n">
        <f aca="false">J67/K67</f>
        <v>4.79858499525166E-005</v>
      </c>
      <c r="M67" s="64" t="n">
        <v>4.8E-005</v>
      </c>
      <c r="N67" s="58" t="n">
        <v>7E-006</v>
      </c>
      <c r="O67" s="51" t="n">
        <v>1929.14</v>
      </c>
      <c r="P67" s="51" t="n">
        <v>84.739</v>
      </c>
      <c r="Q67" s="66" t="n">
        <f aca="false">P67+O67</f>
        <v>2013.879</v>
      </c>
      <c r="R67" s="51" t="n">
        <v>1993.232</v>
      </c>
      <c r="S67" s="51" t="n">
        <v>281.865</v>
      </c>
      <c r="T67" s="89" t="n">
        <f aca="false">R67-S67</f>
        <v>1711.367</v>
      </c>
      <c r="U67" s="13" t="n">
        <f aca="false">81068+815+2162</f>
        <v>84045</v>
      </c>
      <c r="V67" s="1"/>
      <c r="W67" s="2"/>
      <c r="X67" s="83" t="n">
        <f aca="false">R67/M67/1000000</f>
        <v>41.5256666666667</v>
      </c>
      <c r="Y67" s="20" t="n">
        <f aca="false">X67*1000000/(U67+M67*X67*1000000)</f>
        <v>482.642026705833</v>
      </c>
      <c r="Z67" s="51" t="n">
        <f aca="false">SUM(X62:X67)</f>
        <v>243.548954984069</v>
      </c>
      <c r="AA67" s="51" t="n">
        <f aca="false">+R67-Q67</f>
        <v>-20.6470000000002</v>
      </c>
      <c r="AB67" s="51" t="n">
        <f aca="false">AB68-AA68</f>
        <v>-1708.049</v>
      </c>
      <c r="AC67" s="51" t="n">
        <f aca="false">IF(MOD(MONTH(B67),6)=0,AB67,NA())</f>
        <v>-1708.049</v>
      </c>
      <c r="AH67" s="51" t="n">
        <v>250.898</v>
      </c>
      <c r="AI67" s="51" t="n">
        <f aca="false">AH67/1.055056+P67</f>
        <v>322.544386633506</v>
      </c>
      <c r="AQ67" s="0" t="s">
        <v>55</v>
      </c>
      <c r="AR67" s="0" t="s">
        <v>32</v>
      </c>
      <c r="AS67" s="0" t="s">
        <v>34</v>
      </c>
      <c r="AT67" s="0" t="s">
        <v>33</v>
      </c>
    </row>
    <row r="68" customFormat="false" ht="12.75" hidden="false" customHeight="false" outlineLevel="0" collapsed="false">
      <c r="A68" s="0" t="n">
        <f aca="false">DAY((B69-1))</f>
        <v>31</v>
      </c>
      <c r="B68" s="7" t="n">
        <v>35796</v>
      </c>
      <c r="C68" s="51" t="n">
        <v>78500</v>
      </c>
      <c r="D68" s="51" t="n">
        <v>1560</v>
      </c>
      <c r="E68" s="51" t="n">
        <v>1944.185</v>
      </c>
      <c r="F68" s="51" t="n">
        <v>2116.727</v>
      </c>
      <c r="G68" s="51" t="n">
        <v>227.5</v>
      </c>
      <c r="H68" s="51" t="n">
        <f aca="false">E68-F68-G68</f>
        <v>-400.042</v>
      </c>
      <c r="I68" s="51" t="n">
        <f aca="false">D68-H68</f>
        <v>1960.042</v>
      </c>
      <c r="J68" s="78" t="n">
        <f aca="false">I68/C68</f>
        <v>0.0249686878980892</v>
      </c>
      <c r="K68" s="0" t="n">
        <v>520</v>
      </c>
      <c r="L68" s="88" t="n">
        <f aca="false">J68/K68</f>
        <v>4.80167074963253E-005</v>
      </c>
      <c r="M68" s="64" t="n">
        <v>4.8E-005</v>
      </c>
      <c r="N68" s="58" t="n">
        <v>7E-006</v>
      </c>
      <c r="O68" s="51" t="n">
        <v>1780.483</v>
      </c>
      <c r="P68" s="51" t="n">
        <v>-99.911</v>
      </c>
      <c r="Q68" s="66" t="n">
        <f aca="false">P68+O68</f>
        <v>1680.572</v>
      </c>
      <c r="R68" s="51" t="n">
        <v>1919.217</v>
      </c>
      <c r="S68" s="51" t="n">
        <f aca="false">R68*N68/M68</f>
        <v>279.8858125</v>
      </c>
      <c r="T68" s="89" t="n">
        <f aca="false">R68-S68</f>
        <v>1639.3311875</v>
      </c>
      <c r="U68" s="13" t="n">
        <f aca="false">82155+2137</f>
        <v>84292</v>
      </c>
      <c r="V68" s="1"/>
      <c r="W68" s="2"/>
      <c r="X68" s="83" t="n">
        <f aca="false">R68/M68/1000000</f>
        <v>39.9836875</v>
      </c>
      <c r="Y68" s="20" t="n">
        <f aca="false">X68*1000000/(U68+M68*X68*1000000)</f>
        <v>463.787531267538</v>
      </c>
      <c r="Z68" s="51" t="n">
        <f aca="false">SUM(X63:X68)</f>
        <v>244.089551574978</v>
      </c>
      <c r="AA68" s="51" t="n">
        <f aca="false">+R68-Q68</f>
        <v>238.645</v>
      </c>
      <c r="AB68" s="51" t="n">
        <f aca="false">AB69-AA69</f>
        <v>-1469.404</v>
      </c>
      <c r="AC68" s="51" t="e">
        <f aca="false">IF(MOD(MONTH(B68),6)=0,AB68,NA())</f>
        <v>#N/A</v>
      </c>
      <c r="AH68" s="51" t="n">
        <v>294.755</v>
      </c>
      <c r="AI68" s="51" t="n">
        <f aca="false">AH68/1.055056+P68</f>
        <v>179.462796272425</v>
      </c>
      <c r="AK68" s="26" t="n">
        <f aca="false">P68</f>
        <v>-99.911</v>
      </c>
      <c r="AL68" s="26" t="n">
        <f aca="false">R68</f>
        <v>1919.217</v>
      </c>
      <c r="AM68" s="26" t="n">
        <f aca="false">O68</f>
        <v>1780.483</v>
      </c>
      <c r="AN68" s="51" t="n">
        <v>79295.242</v>
      </c>
      <c r="AO68" s="26" t="n">
        <v>38.954819945</v>
      </c>
      <c r="AP68" s="51" t="n">
        <f aca="false">AO68/AN68*1000000</f>
        <v>491.263018593222</v>
      </c>
      <c r="AQ68" s="50" t="n">
        <f aca="false">M68</f>
        <v>4.8E-005</v>
      </c>
      <c r="AR68" s="75" t="n">
        <f aca="false">AM68/AO68/1000000</f>
        <v>4.57063593802731E-005</v>
      </c>
      <c r="AS68" s="75" t="n">
        <f aca="false">(AM68-AK68)/AO68/1000000</f>
        <v>4.82711511092828E-005</v>
      </c>
      <c r="AT68" s="75" t="n">
        <f aca="false">-AK68/AO68/1000000</f>
        <v>2.56479172900975E-006</v>
      </c>
      <c r="AU68" s="20" t="n">
        <f aca="false">Y68</f>
        <v>463.787531267538</v>
      </c>
      <c r="AV68" s="20" t="n">
        <f aca="false">AO68*1000000/(AN68+M68*AO68*1000000)</f>
        <v>479.945601397865</v>
      </c>
      <c r="AW68" s="0" t="n">
        <f aca="false">X68/AO68</f>
        <v>1.02641181646976</v>
      </c>
      <c r="AX68" s="75" t="n">
        <f aca="false">(AW68-1)/AU68</f>
        <v>5.69480951710349E-005</v>
      </c>
      <c r="AY68" s="75" t="n">
        <f aca="false">(AW68-1)/AV68</f>
        <v>5.50308543152336E-005</v>
      </c>
      <c r="AZ68" s="26" t="n">
        <f aca="false">AO68/A68</f>
        <v>1.256607095</v>
      </c>
    </row>
    <row r="69" customFormat="false" ht="12.75" hidden="false" customHeight="false" outlineLevel="0" collapsed="false">
      <c r="A69" s="0" t="n">
        <f aca="false">DAY((B70-1))</f>
        <v>28</v>
      </c>
      <c r="B69" s="7" t="n">
        <v>35827</v>
      </c>
      <c r="C69" s="51" t="n">
        <v>79500</v>
      </c>
      <c r="D69" s="51" t="n">
        <v>1810</v>
      </c>
      <c r="E69" s="51" t="n">
        <v>1933.232</v>
      </c>
      <c r="F69" s="51" t="n">
        <v>1844.401</v>
      </c>
      <c r="G69" s="51" t="n">
        <v>263.958</v>
      </c>
      <c r="H69" s="51" t="n">
        <f aca="false">E69-F69-G69</f>
        <v>-175.127</v>
      </c>
      <c r="I69" s="51" t="n">
        <f aca="false">D69-H69</f>
        <v>1985.127</v>
      </c>
      <c r="J69" s="78" t="n">
        <f aca="false">I69/C69</f>
        <v>0.0249701509433962</v>
      </c>
      <c r="K69" s="0" t="n">
        <v>520</v>
      </c>
      <c r="L69" s="88" t="n">
        <f aca="false">J69/K69</f>
        <v>4.80195210449928E-005</v>
      </c>
      <c r="M69" s="64" t="n">
        <v>4.8E-005</v>
      </c>
      <c r="N69" s="58" t="n">
        <v>7E-006</v>
      </c>
      <c r="O69" s="51" t="n">
        <v>1682.54</v>
      </c>
      <c r="P69" s="51" t="n">
        <v>-10.306</v>
      </c>
      <c r="Q69" s="66" t="n">
        <f aca="false">P69+O69</f>
        <v>1672.234</v>
      </c>
      <c r="R69" s="51" t="n">
        <v>1805.737</v>
      </c>
      <c r="S69" s="51" t="n">
        <f aca="false">R69*N69/M69</f>
        <v>263.336645833333</v>
      </c>
      <c r="T69" s="89" t="n">
        <f aca="false">R69-S69</f>
        <v>1542.40035416667</v>
      </c>
      <c r="U69" s="13" t="n">
        <f aca="false">74693+2545</f>
        <v>77238</v>
      </c>
      <c r="V69" s="1"/>
      <c r="W69" s="2"/>
      <c r="X69" s="83" t="n">
        <f aca="false">R69/M69/1000000</f>
        <v>37.6195208333333</v>
      </c>
      <c r="Y69" s="20" t="n">
        <f aca="false">X69*1000000/(U69+M69*X69*1000000)</f>
        <v>475.932974086655</v>
      </c>
      <c r="Z69" s="51" t="n">
        <f aca="false">SUM(X64:X69)</f>
        <v>240.784376756137</v>
      </c>
      <c r="AA69" s="51" t="n">
        <f aca="false">+R69-Q69</f>
        <v>133.503</v>
      </c>
      <c r="AB69" s="51" t="n">
        <f aca="false">AB70-AA70</f>
        <v>-1335.901</v>
      </c>
      <c r="AC69" s="51" t="e">
        <f aca="false">IF(MOD(MONTH(B69),6)=0,AB69,NA())</f>
        <v>#N/A</v>
      </c>
      <c r="AH69" s="51" t="n">
        <v>214.085</v>
      </c>
      <c r="AI69" s="51" t="n">
        <f aca="false">AH69/1.055056+P69</f>
        <v>192.607399857448</v>
      </c>
      <c r="AK69" s="26" t="n">
        <f aca="false">P69</f>
        <v>-10.306</v>
      </c>
      <c r="AL69" s="26" t="n">
        <f aca="false">R69</f>
        <v>1805.737</v>
      </c>
      <c r="AM69" s="26" t="n">
        <f aca="false">O69</f>
        <v>1682.54</v>
      </c>
      <c r="AN69" s="51" t="n">
        <v>72348.196</v>
      </c>
      <c r="AO69" s="26" t="n">
        <v>36.649819945</v>
      </c>
      <c r="AP69" s="51" t="n">
        <f aca="false">AO69/AN69*1000000</f>
        <v>506.575449994634</v>
      </c>
      <c r="AQ69" s="50" t="n">
        <f aca="false">M69</f>
        <v>4.8E-005</v>
      </c>
      <c r="AR69" s="75" t="n">
        <f aca="false">AM69/AO69/1000000</f>
        <v>4.59085475051438E-005</v>
      </c>
      <c r="AS69" s="75" t="n">
        <f aca="false">(AM69-AK69)/AO69/1000000</f>
        <v>4.6189749432342E-005</v>
      </c>
      <c r="AT69" s="75" t="n">
        <f aca="false">-AK69/AO69/1000000</f>
        <v>2.81201927198172E-007</v>
      </c>
      <c r="AU69" s="20" t="n">
        <f aca="false">Y69</f>
        <v>475.932974086655</v>
      </c>
      <c r="AV69" s="20" t="n">
        <f aca="false">AO69*1000000/(AN69+M69*AO69*1000000)</f>
        <v>494.550155550182</v>
      </c>
      <c r="AW69" s="0" t="n">
        <f aca="false">X69/AO69</f>
        <v>1.02645854440182</v>
      </c>
      <c r="AX69" s="75" t="n">
        <f aca="false">(AW69-1)/AU69</f>
        <v>5.55930054070982E-005</v>
      </c>
      <c r="AY69" s="75" t="n">
        <f aca="false">(AW69-1)/AV69</f>
        <v>5.35002246079184E-005</v>
      </c>
      <c r="AZ69" s="26" t="n">
        <f aca="false">AO69/A69</f>
        <v>1.30892214089286</v>
      </c>
    </row>
    <row r="70" customFormat="false" ht="12.75" hidden="false" customHeight="false" outlineLevel="0" collapsed="false">
      <c r="A70" s="0" t="n">
        <f aca="false">DAY((B71-1))</f>
        <v>31</v>
      </c>
      <c r="B70" s="7" t="n">
        <v>35855</v>
      </c>
      <c r="C70" s="51" t="n">
        <v>81250</v>
      </c>
      <c r="D70" s="51" t="n">
        <v>1700</v>
      </c>
      <c r="E70" s="51" t="n">
        <v>1919.217</v>
      </c>
      <c r="F70" s="51" t="n">
        <v>1880.394</v>
      </c>
      <c r="G70" s="51" t="n">
        <v>247.917</v>
      </c>
      <c r="H70" s="51" t="n">
        <f aca="false">E70-F70-G70</f>
        <v>-209.094</v>
      </c>
      <c r="I70" s="51" t="n">
        <f aca="false">D70-H70</f>
        <v>1909.094</v>
      </c>
      <c r="J70" s="78" t="n">
        <f aca="false">I70/C70</f>
        <v>0.0234965415384615</v>
      </c>
      <c r="K70" s="0" t="n">
        <v>520</v>
      </c>
      <c r="L70" s="80" t="n">
        <f aca="false">J70/K70</f>
        <v>4.51856568047337E-005</v>
      </c>
      <c r="M70" s="64" t="n">
        <v>4.5E-005</v>
      </c>
      <c r="N70" s="58" t="n">
        <v>7E-006</v>
      </c>
      <c r="O70" s="51" t="n">
        <v>1986.875</v>
      </c>
      <c r="P70" s="51" t="n">
        <v>-44.44</v>
      </c>
      <c r="Q70" s="51" t="n">
        <f aca="false">P70+O70</f>
        <v>1942.435</v>
      </c>
      <c r="R70" s="51" t="n">
        <v>1924.862</v>
      </c>
      <c r="S70" s="51" t="n">
        <f aca="false">R70*N70/M70</f>
        <v>299.422977777778</v>
      </c>
      <c r="T70" s="89" t="n">
        <f aca="false">R70-S70</f>
        <v>1625.43902222222</v>
      </c>
      <c r="U70" s="13" t="n">
        <f aca="false">82930+4585</f>
        <v>87515</v>
      </c>
      <c r="V70" s="1"/>
      <c r="W70" s="2"/>
      <c r="X70" s="83" t="n">
        <f aca="false">R70/M70/1000000</f>
        <v>42.7747111111111</v>
      </c>
      <c r="Y70" s="20" t="n">
        <f aca="false">X70*1000000/(U70+M70*X70*1000000)</f>
        <v>478.251085753141</v>
      </c>
      <c r="Z70" s="51" t="n">
        <f aca="false">SUM(X65:X70)</f>
        <v>244.340066128118</v>
      </c>
      <c r="AA70" s="51" t="n">
        <f aca="false">+R70-Q70</f>
        <v>-17.5729999999999</v>
      </c>
      <c r="AB70" s="51" t="n">
        <f aca="false">AB71-AA71</f>
        <v>-1353.474</v>
      </c>
      <c r="AC70" s="51" t="e">
        <f aca="false">IF(MOD(MONTH(B70),6)=0,AB70,NA())</f>
        <v>#N/A</v>
      </c>
      <c r="AH70" s="51" t="n">
        <v>237.196</v>
      </c>
      <c r="AI70" s="51" t="n">
        <f aca="false">AH70/1.055056+P70</f>
        <v>180.378398265116</v>
      </c>
      <c r="AK70" s="26" t="n">
        <f aca="false">P70</f>
        <v>-44.44</v>
      </c>
      <c r="AL70" s="26" t="n">
        <f aca="false">R70</f>
        <v>1924.862</v>
      </c>
      <c r="AM70" s="26" t="n">
        <f aca="false">O70</f>
        <v>1986.875</v>
      </c>
      <c r="AN70" s="51" t="n">
        <v>80407.682</v>
      </c>
      <c r="AO70" s="26" t="n">
        <v>41.740406018</v>
      </c>
      <c r="AP70" s="51" t="n">
        <f aca="false">AO70/AN70*1000000</f>
        <v>519.109679321436</v>
      </c>
      <c r="AQ70" s="50" t="n">
        <f aca="false">M70</f>
        <v>4.5E-005</v>
      </c>
      <c r="AR70" s="75" t="n">
        <f aca="false">AM70/AO70/1000000</f>
        <v>4.76007588221156E-005</v>
      </c>
      <c r="AS70" s="75" t="n">
        <f aca="false">(AM70-AK70)/AO70/1000000</f>
        <v>4.86654346180538E-005</v>
      </c>
      <c r="AT70" s="75" t="n">
        <f aca="false">-AK70/AO70/1000000</f>
        <v>1.06467579593825E-006</v>
      </c>
      <c r="AU70" s="20" t="n">
        <f aca="false">Y70</f>
        <v>478.251085753141</v>
      </c>
      <c r="AV70" s="20" t="n">
        <f aca="false">AO70*1000000/(AN70+M70*AO70*1000000)</f>
        <v>507.260115701685</v>
      </c>
      <c r="AW70" s="0" t="n">
        <f aca="false">X70/AO70</f>
        <v>1.02477946890754</v>
      </c>
      <c r="AX70" s="75" t="n">
        <f aca="false">(AW70-1)/AU70</f>
        <v>5.18126767417941E-005</v>
      </c>
      <c r="AY70" s="75" t="n">
        <f aca="false">(AW70-1)/AV70</f>
        <v>4.88496298851774E-005</v>
      </c>
      <c r="AZ70" s="91" t="n">
        <f aca="false">AO70/A70</f>
        <v>1.34646471025806</v>
      </c>
    </row>
    <row r="71" customFormat="false" ht="12.75" hidden="false" customHeight="false" outlineLevel="0" collapsed="false">
      <c r="A71" s="0" t="n">
        <f aca="false">DAY((B72-1))</f>
        <v>30</v>
      </c>
      <c r="B71" s="7" t="n">
        <v>35886</v>
      </c>
      <c r="C71" s="51" t="n">
        <v>76000</v>
      </c>
      <c r="D71" s="51" t="n">
        <v>1575</v>
      </c>
      <c r="E71" s="51" t="n">
        <v>1805.737</v>
      </c>
      <c r="F71" s="51" t="n">
        <v>1692.846</v>
      </c>
      <c r="G71" s="51" t="n">
        <v>239.674</v>
      </c>
      <c r="H71" s="51" t="n">
        <f aca="false">E71-F71-G71</f>
        <v>-126.783</v>
      </c>
      <c r="I71" s="51" t="n">
        <f aca="false">D71-H71</f>
        <v>1701.783</v>
      </c>
      <c r="J71" s="78" t="n">
        <f aca="false">I71/C71</f>
        <v>0.0223918815789474</v>
      </c>
      <c r="K71" s="0" t="n">
        <v>520</v>
      </c>
      <c r="L71" s="80" t="n">
        <f aca="false">J71/K71</f>
        <v>4.30613107287449E-005</v>
      </c>
      <c r="M71" s="64" t="n">
        <v>4.3E-005</v>
      </c>
      <c r="N71" s="58" t="n">
        <v>7E-006</v>
      </c>
      <c r="O71" s="51" t="n">
        <v>1942.135</v>
      </c>
      <c r="P71" s="51" t="n">
        <v>16.253</v>
      </c>
      <c r="Q71" s="51" t="n">
        <f aca="false">P71+O71</f>
        <v>1958.388</v>
      </c>
      <c r="R71" s="51" t="n">
        <v>1751.758</v>
      </c>
      <c r="S71" s="51" t="n">
        <f aca="false">R71*N71/M71</f>
        <v>285.169906976744</v>
      </c>
      <c r="T71" s="89" t="n">
        <f aca="false">R71-S71</f>
        <v>1466.58809302326</v>
      </c>
      <c r="U71" s="13" t="n">
        <f aca="false">80303+3083</f>
        <v>83386</v>
      </c>
      <c r="V71" s="1"/>
      <c r="W71" s="2"/>
      <c r="X71" s="83" t="n">
        <f aca="false">R71/M71/1000000</f>
        <v>40.7385581395349</v>
      </c>
      <c r="Y71" s="20" t="n">
        <f aca="false">X71*1000000/(U71+M71*X71*1000000)</f>
        <v>478.501655394013</v>
      </c>
      <c r="Z71" s="51" t="n">
        <f aca="false">SUM(X66:X71)</f>
        <v>244.187665083979</v>
      </c>
      <c r="AA71" s="51" t="n">
        <f aca="false">+R71-Q71</f>
        <v>-206.63</v>
      </c>
      <c r="AB71" s="51" t="n">
        <f aca="false">AB72-AA72</f>
        <v>-1560.104</v>
      </c>
      <c r="AC71" s="51" t="e">
        <f aca="false">IF(MOD(MONTH(B71),6)=0,AB71,NA())</f>
        <v>#N/A</v>
      </c>
      <c r="AH71" s="51" t="n">
        <v>137.315</v>
      </c>
      <c r="AI71" s="51" t="n">
        <f aca="false">AH71/1.055056+P71</f>
        <v>146.402489695334</v>
      </c>
      <c r="AK71" s="26" t="n">
        <f aca="false">P71</f>
        <v>16.253</v>
      </c>
      <c r="AL71" s="26" t="n">
        <f aca="false">R71</f>
        <v>1751.758</v>
      </c>
      <c r="AM71" s="26" t="n">
        <f aca="false">O71</f>
        <v>1942.135</v>
      </c>
      <c r="AN71" s="51" t="n">
        <v>75716.494</v>
      </c>
      <c r="AO71" s="26" t="n">
        <v>39.663999293</v>
      </c>
      <c r="AP71" s="51" t="n">
        <f aca="false">AO71/AN71*1000000</f>
        <v>523.848863009954</v>
      </c>
      <c r="AQ71" s="50" t="n">
        <f aca="false">M71</f>
        <v>4.3E-005</v>
      </c>
      <c r="AR71" s="75" t="n">
        <f aca="false">AM71/AO71/1000000</f>
        <v>4.89646791704828E-005</v>
      </c>
      <c r="AS71" s="75" t="n">
        <f aca="false">(AM71-AK71)/AO71/1000000</f>
        <v>4.85549121200162E-005</v>
      </c>
      <c r="AT71" s="75" t="n">
        <f aca="false">-AK71/AO71/1000000</f>
        <v>-4.09767050466552E-007</v>
      </c>
      <c r="AU71" s="20" t="n">
        <f aca="false">Y71</f>
        <v>478.501655394013</v>
      </c>
      <c r="AV71" s="20" t="n">
        <f aca="false">AO71*1000000/(AN71+M71*AO71*1000000)</f>
        <v>512.308849453226</v>
      </c>
      <c r="AW71" s="0" t="n">
        <f aca="false">X71/AO71</f>
        <v>1.02709154058311</v>
      </c>
      <c r="AX71" s="75" t="n">
        <f aca="false">(AW71-1)/AU71</f>
        <v>5.66174438013284E-005</v>
      </c>
      <c r="AY71" s="75" t="n">
        <f aca="false">(AW71-1)/AV71</f>
        <v>5.28812660800751E-005</v>
      </c>
      <c r="AZ71" s="26" t="n">
        <f aca="false">AO71/A71</f>
        <v>1.32213330976667</v>
      </c>
    </row>
    <row r="72" customFormat="false" ht="12.75" hidden="false" customHeight="false" outlineLevel="0" collapsed="false">
      <c r="A72" s="0" t="n">
        <f aca="false">DAY((B73-1))</f>
        <v>31</v>
      </c>
      <c r="B72" s="7" t="n">
        <v>35916</v>
      </c>
      <c r="C72" s="51" t="n">
        <v>81585</v>
      </c>
      <c r="D72" s="51" t="n">
        <v>1600</v>
      </c>
      <c r="E72" s="51" t="n">
        <v>1924.862</v>
      </c>
      <c r="F72" s="74" t="n">
        <v>1942.435</v>
      </c>
      <c r="G72" s="74" t="n">
        <v>248.889</v>
      </c>
      <c r="H72" s="51" t="n">
        <f aca="false">E72-F72-G72</f>
        <v>-266.462</v>
      </c>
      <c r="I72" s="51" t="n">
        <f aca="false">D72-H72</f>
        <v>1866.462</v>
      </c>
      <c r="J72" s="78" t="n">
        <f aca="false">I72/C72</f>
        <v>0.0228775142489428</v>
      </c>
      <c r="K72" s="0" t="n">
        <v>520</v>
      </c>
      <c r="L72" s="80" t="n">
        <f aca="false">J72/K72</f>
        <v>4.39952197095054E-005</v>
      </c>
      <c r="M72" s="64" t="n">
        <v>4.4E-005</v>
      </c>
      <c r="N72" s="58" t="n">
        <v>7E-006</v>
      </c>
      <c r="O72" s="51" t="n">
        <v>1786.213</v>
      </c>
      <c r="P72" s="51" t="n">
        <v>209.734</v>
      </c>
      <c r="Q72" s="51" t="n">
        <f aca="false">P72+O72</f>
        <v>1995.947</v>
      </c>
      <c r="R72" s="51" t="n">
        <v>1763.697</v>
      </c>
      <c r="S72" s="51" t="n">
        <f aca="false">R72*N72/M72</f>
        <v>280.588159090909</v>
      </c>
      <c r="T72" s="89" t="n">
        <f aca="false">R72-S72</f>
        <v>1483.10884090909</v>
      </c>
      <c r="U72" s="13" t="n">
        <f aca="false">78852+3287</f>
        <v>82139</v>
      </c>
      <c r="V72" s="1"/>
      <c r="W72" s="2"/>
      <c r="X72" s="83" t="n">
        <f aca="false">R72/M72/1000000</f>
        <v>40.0840227272727</v>
      </c>
      <c r="Y72" s="20" t="n">
        <f aca="false">X72*1000000/(U72+M72*X72*1000000)</f>
        <v>477.744150790203</v>
      </c>
      <c r="Z72" s="51" t="n">
        <f aca="false">SUM(X67:X72)</f>
        <v>242.726166977919</v>
      </c>
      <c r="AA72" s="51" t="n">
        <f aca="false">+R72-Q72</f>
        <v>-232.25</v>
      </c>
      <c r="AB72" s="51" t="n">
        <f aca="false">AB73-AA73</f>
        <v>-1792.354</v>
      </c>
      <c r="AC72" s="51" t="e">
        <f aca="false">IF(MOD(MONTH(B72),6)=0,AB72,NA())</f>
        <v>#N/A</v>
      </c>
      <c r="AH72" s="51" t="n">
        <v>-9.659</v>
      </c>
      <c r="AI72" s="51" t="n">
        <f aca="false">AH72/1.055056+P72</f>
        <v>200.579035713744</v>
      </c>
      <c r="AK72" s="26" t="n">
        <f aca="false">P72</f>
        <v>209.734</v>
      </c>
      <c r="AL72" s="26" t="n">
        <f aca="false">R72</f>
        <v>1763.697</v>
      </c>
      <c r="AM72" s="26" t="n">
        <f aca="false">O72</f>
        <v>1786.213</v>
      </c>
      <c r="AN72" s="51" t="n">
        <v>74197.85</v>
      </c>
      <c r="AO72" s="26" t="n">
        <v>39.204889408</v>
      </c>
      <c r="AP72" s="51" t="n">
        <f aca="false">AO72/AN72*1000000</f>
        <v>528.383092070727</v>
      </c>
      <c r="AQ72" s="50" t="n">
        <f aca="false">M72</f>
        <v>4.4E-005</v>
      </c>
      <c r="AR72" s="75" t="n">
        <f aca="false">AM72/AO72/1000000</f>
        <v>4.55609753521078E-005</v>
      </c>
      <c r="AS72" s="75" t="n">
        <f aca="false">(AM72-AK72)/AO72/1000000</f>
        <v>4.02112854749773E-005</v>
      </c>
      <c r="AT72" s="75" t="n">
        <f aca="false">-AK72/AO72/1000000</f>
        <v>-5.34968987713054E-006</v>
      </c>
      <c r="AU72" s="20" t="n">
        <f aca="false">Y72</f>
        <v>477.744150790203</v>
      </c>
      <c r="AV72" s="20" t="n">
        <f aca="false">AO72*1000000/(AN72+M72*AO72*1000000)</f>
        <v>516.377896682773</v>
      </c>
      <c r="AW72" s="0" t="n">
        <f aca="false">X72/AO72</f>
        <v>1.02242407343951</v>
      </c>
      <c r="AX72" s="75" t="n">
        <f aca="false">(AW72-1)/AU72</f>
        <v>4.69374107509561E-005</v>
      </c>
      <c r="AY72" s="75" t="n">
        <f aca="false">(AW72-1)/AV72</f>
        <v>4.34257035081466E-005</v>
      </c>
      <c r="AZ72" s="26" t="n">
        <f aca="false">AO72/A72</f>
        <v>1.26467385187097</v>
      </c>
    </row>
    <row r="73" customFormat="false" ht="12.75" hidden="false" customHeight="false" outlineLevel="0" collapsed="false">
      <c r="A73" s="0" t="n">
        <f aca="false">DAY((B74-1))</f>
        <v>30</v>
      </c>
      <c r="B73" s="7" t="n">
        <v>35947</v>
      </c>
      <c r="C73" s="51" t="n">
        <v>86500</v>
      </c>
      <c r="D73" s="51" t="n">
        <v>1530</v>
      </c>
      <c r="E73" s="51" t="n">
        <v>1751.758</v>
      </c>
      <c r="F73" s="74" t="n">
        <v>1958.388</v>
      </c>
      <c r="G73" s="74" t="n">
        <v>249.07</v>
      </c>
      <c r="H73" s="51" t="n">
        <f aca="false">E73-F73-G73</f>
        <v>-455.7</v>
      </c>
      <c r="I73" s="51" t="n">
        <f aca="false">D73-H73</f>
        <v>1985.7</v>
      </c>
      <c r="J73" s="78" t="n">
        <f aca="false">I73/C73</f>
        <v>0.0229560693641619</v>
      </c>
      <c r="K73" s="0" t="n">
        <v>520</v>
      </c>
      <c r="L73" s="80" t="n">
        <f aca="false">J73/K73</f>
        <v>4.41462872387728E-005</v>
      </c>
      <c r="M73" s="64" t="n">
        <v>4.4E-005</v>
      </c>
      <c r="N73" s="58" t="n">
        <v>7E-006</v>
      </c>
      <c r="O73" s="51" t="n">
        <v>1640.374</v>
      </c>
      <c r="P73" s="51" t="n">
        <v>-48.986</v>
      </c>
      <c r="Q73" s="51" t="n">
        <f aca="false">P73+O73</f>
        <v>1591.388</v>
      </c>
      <c r="R73" s="51" t="n">
        <v>1742.585</v>
      </c>
      <c r="S73" s="51" t="n">
        <f aca="false">R73*N73/M73</f>
        <v>277.229431818182</v>
      </c>
      <c r="T73" s="89" t="n">
        <f aca="false">R73-S73</f>
        <v>1465.35556818182</v>
      </c>
      <c r="U73" s="13" t="n">
        <f aca="false">77465+2439</f>
        <v>79904</v>
      </c>
      <c r="V73" s="1"/>
      <c r="W73" s="2"/>
      <c r="X73" s="83" t="n">
        <f aca="false">R73/M73/1000000</f>
        <v>39.6042045454546</v>
      </c>
      <c r="Y73" s="20" t="n">
        <f aca="false">X73*1000000/(U73+M73*X73*1000000)</f>
        <v>485.068720822243</v>
      </c>
      <c r="Z73" s="51" t="n">
        <f aca="false">SUM(X68:X73)</f>
        <v>240.804704856707</v>
      </c>
      <c r="AA73" s="51" t="n">
        <f aca="false">+R73-Q73</f>
        <v>151.197</v>
      </c>
      <c r="AB73" s="51" t="n">
        <f aca="false">AB74-AA74</f>
        <v>-1641.157</v>
      </c>
      <c r="AC73" s="51" t="n">
        <f aca="false">IF(MOD(MONTH(B73),6)=0,AB73,NA())</f>
        <v>-1641.157</v>
      </c>
      <c r="AH73" s="51" t="n">
        <v>176.625</v>
      </c>
      <c r="AI73" s="51" t="n">
        <f aca="false">AH73/1.055056+P73</f>
        <v>118.422175490211</v>
      </c>
      <c r="AK73" s="26" t="n">
        <f aca="false">P73</f>
        <v>-48.986</v>
      </c>
      <c r="AL73" s="26" t="n">
        <f aca="false">R73</f>
        <v>1742.585</v>
      </c>
      <c r="AM73" s="26" t="n">
        <f aca="false">O73</f>
        <v>1640.374</v>
      </c>
      <c r="AN73" s="51" t="n">
        <v>72757.416</v>
      </c>
      <c r="AO73" s="26" t="n">
        <v>38.627420651</v>
      </c>
      <c r="AP73" s="51" t="n">
        <f aca="false">AO73/AN73*1000000</f>
        <v>530.906988931548</v>
      </c>
      <c r="AQ73" s="50" t="n">
        <f aca="false">M73</f>
        <v>4.4E-005</v>
      </c>
      <c r="AR73" s="75" t="n">
        <f aca="false">AM73/AO73/1000000</f>
        <v>4.24665683691601E-005</v>
      </c>
      <c r="AS73" s="75" t="n">
        <f aca="false">(AM73-AK73)/AO73/1000000</f>
        <v>4.3734734847129E-005</v>
      </c>
      <c r="AT73" s="75" t="n">
        <f aca="false">-AK73/AO73/1000000</f>
        <v>1.26816647796885E-006</v>
      </c>
      <c r="AU73" s="20" t="n">
        <f aca="false">Y73</f>
        <v>485.068720822243</v>
      </c>
      <c r="AV73" s="20" t="n">
        <f aca="false">AO73*1000000/(AN73+M73*AO73*1000000)</f>
        <v>518.788145826213</v>
      </c>
      <c r="AW73" s="0" t="n">
        <f aca="false">X73/AO73</f>
        <v>1.02528731864547</v>
      </c>
      <c r="AX73" s="75" t="n">
        <f aca="false">(AW73-1)/AU73</f>
        <v>5.21314147047207E-005</v>
      </c>
      <c r="AY73" s="75" t="n">
        <f aca="false">(AW73-1)/AV73</f>
        <v>4.87430540749936E-005</v>
      </c>
      <c r="AZ73" s="26" t="n">
        <f aca="false">AO73/A73</f>
        <v>1.28758068836667</v>
      </c>
    </row>
    <row r="74" customFormat="false" ht="12.75" hidden="false" customHeight="false" outlineLevel="0" collapsed="false">
      <c r="A74" s="0" t="n">
        <f aca="false">DAY((B75-1))</f>
        <v>31</v>
      </c>
      <c r="B74" s="7" t="n">
        <v>35977</v>
      </c>
      <c r="C74" s="51" t="n">
        <v>86150</v>
      </c>
      <c r="D74" s="51" t="n">
        <v>1500</v>
      </c>
      <c r="E74" s="51" t="n">
        <v>1763.697</v>
      </c>
      <c r="F74" s="74" t="n">
        <v>1995.947</v>
      </c>
      <c r="G74" s="74" t="n">
        <v>238.636</v>
      </c>
      <c r="H74" s="51" t="n">
        <f aca="false">E74-F74-G74</f>
        <v>-470.886</v>
      </c>
      <c r="I74" s="51" t="n">
        <f aca="false">D74-H74</f>
        <v>1970.886</v>
      </c>
      <c r="J74" s="78" t="n">
        <f aca="false">I74/C74</f>
        <v>0.0228773766686013</v>
      </c>
      <c r="K74" s="0" t="n">
        <v>520</v>
      </c>
      <c r="L74" s="80" t="n">
        <f aca="false">J74/K74</f>
        <v>4.39949551319255E-005</v>
      </c>
      <c r="M74" s="64" t="n">
        <v>4.4E-005</v>
      </c>
      <c r="N74" s="58" t="n">
        <v>7E-006</v>
      </c>
      <c r="O74" s="51" t="n">
        <v>1928.029</v>
      </c>
      <c r="P74" s="51" t="n">
        <v>103.751</v>
      </c>
      <c r="Q74" s="51" t="n">
        <f aca="false">P74+O74</f>
        <v>2031.78</v>
      </c>
      <c r="R74" s="51" t="n">
        <v>1798.757</v>
      </c>
      <c r="S74" s="51" t="n">
        <v>286.182</v>
      </c>
      <c r="T74" s="89" t="n">
        <f aca="false">R74-S74</f>
        <v>1512.575</v>
      </c>
      <c r="U74" s="13" t="n">
        <f aca="false">79376+2798</f>
        <v>82174</v>
      </c>
      <c r="V74" s="1"/>
      <c r="W74" s="2"/>
      <c r="X74" s="83" t="n">
        <f aca="false">R74/M74/1000000</f>
        <v>40.8808409090909</v>
      </c>
      <c r="Y74" s="20" t="n">
        <f aca="false">X74*1000000/(U74+M74*X74*1000000)</f>
        <v>486.83456837187</v>
      </c>
      <c r="Z74" s="51" t="n">
        <f aca="false">SUM(X69:X74)</f>
        <v>241.701858265798</v>
      </c>
      <c r="AA74" s="51" t="n">
        <f aca="false">+R74-Q74</f>
        <v>-233.023</v>
      </c>
      <c r="AB74" s="51" t="n">
        <f aca="false">AB75-AA75</f>
        <v>-1874.18</v>
      </c>
      <c r="AC74" s="51" t="e">
        <f aca="false">IF(MOD(MONTH(B74),6)=0,AB74,NA())</f>
        <v>#N/A</v>
      </c>
      <c r="AH74" s="51" t="n">
        <v>298.387</v>
      </c>
      <c r="AI74" s="51" t="n">
        <f aca="false">AH74/1.055056+P74</f>
        <v>386.567267572527</v>
      </c>
      <c r="AK74" s="26" t="n">
        <f aca="false">P74</f>
        <v>103.751</v>
      </c>
      <c r="AL74" s="26" t="n">
        <f aca="false">R74</f>
        <v>1798.757</v>
      </c>
      <c r="AM74" s="26" t="n">
        <f aca="false">O74</f>
        <v>1928.029</v>
      </c>
      <c r="AN74" s="51" t="n">
        <v>73926.726</v>
      </c>
      <c r="AO74" s="26" t="n">
        <v>39.602907105</v>
      </c>
      <c r="AP74" s="51" t="n">
        <f aca="false">AO74/AN74*1000000</f>
        <v>535.704869508221</v>
      </c>
      <c r="AQ74" s="50" t="n">
        <f aca="false">M74</f>
        <v>4.4E-005</v>
      </c>
      <c r="AR74" s="75" t="n">
        <f aca="false">AM74/AO74/1000000</f>
        <v>4.86840270308485E-005</v>
      </c>
      <c r="AS74" s="75" t="n">
        <f aca="false">(AM74-AK74)/AO74/1000000</f>
        <v>4.60642446061663E-005</v>
      </c>
      <c r="AT74" s="75" t="n">
        <f aca="false">-AK74/AO74/1000000</f>
        <v>-2.61978242468218E-006</v>
      </c>
      <c r="AU74" s="20" t="n">
        <f aca="false">Y74</f>
        <v>486.83456837187</v>
      </c>
      <c r="AV74" s="20" t="n">
        <f aca="false">AO74*1000000/(AN74+M74*AO74*1000000)</f>
        <v>523.368542139083</v>
      </c>
      <c r="AW74" s="0" t="n">
        <f aca="false">X74/AO74</f>
        <v>1.03226868675834</v>
      </c>
      <c r="AX74" s="75" t="n">
        <f aca="false">(AW74-1)/AU74</f>
        <v>6.62826529887917E-005</v>
      </c>
      <c r="AY74" s="75" t="n">
        <f aca="false">(AW74-1)/AV74</f>
        <v>6.16557629284597E-005</v>
      </c>
      <c r="AZ74" s="26" t="n">
        <f aca="false">AO74/A74</f>
        <v>1.27751313241936</v>
      </c>
    </row>
    <row r="75" customFormat="false" ht="12.75" hidden="false" customHeight="false" outlineLevel="0" collapsed="false">
      <c r="A75" s="0" t="n">
        <f aca="false">DAY((B76-1))</f>
        <v>31</v>
      </c>
      <c r="B75" s="7" t="n">
        <v>36008</v>
      </c>
      <c r="C75" s="51" t="n">
        <v>70550</v>
      </c>
      <c r="D75" s="51" t="n">
        <v>1650</v>
      </c>
      <c r="E75" s="51" t="n">
        <v>1742.585</v>
      </c>
      <c r="F75" s="74" t="n">
        <v>1591.388</v>
      </c>
      <c r="G75" s="74" t="n">
        <v>262.5</v>
      </c>
      <c r="H75" s="51" t="n">
        <f aca="false">E75-F75-G75</f>
        <v>-111.303</v>
      </c>
      <c r="I75" s="51" t="n">
        <f aca="false">D75-H75</f>
        <v>1761.303</v>
      </c>
      <c r="J75" s="78" t="n">
        <f aca="false">I75/C75</f>
        <v>0.0249653153791637</v>
      </c>
      <c r="K75" s="0" t="n">
        <v>520</v>
      </c>
      <c r="L75" s="88" t="n">
        <f aca="false">J75/K75</f>
        <v>4.80102218830071E-005</v>
      </c>
      <c r="M75" s="64" t="n">
        <v>4.8E-005</v>
      </c>
      <c r="N75" s="58" t="n">
        <v>7E-006</v>
      </c>
      <c r="O75" s="51" t="n">
        <v>1939.057</v>
      </c>
      <c r="P75" s="51" t="n">
        <v>-10.227</v>
      </c>
      <c r="Q75" s="51" t="n">
        <f aca="false">P75+O75</f>
        <v>1928.83</v>
      </c>
      <c r="R75" s="51" t="n">
        <v>1947.445</v>
      </c>
      <c r="S75" s="51" t="n">
        <v>283.937</v>
      </c>
      <c r="T75" s="89" t="n">
        <f aca="false">R75-S75</f>
        <v>1663.508</v>
      </c>
      <c r="U75" s="13" t="n">
        <f aca="false">78953+3610</f>
        <v>82563</v>
      </c>
      <c r="V75" s="1"/>
      <c r="W75" s="2"/>
      <c r="X75" s="83" t="n">
        <f aca="false">R75/M75/1000000</f>
        <v>40.5717708333333</v>
      </c>
      <c r="Y75" s="20" t="n">
        <f aca="false">X75*1000000/(U75+M75*X75*1000000)</f>
        <v>480.079957374894</v>
      </c>
      <c r="Z75" s="51" t="n">
        <f aca="false">SUM(X70:X75)</f>
        <v>244.654108265798</v>
      </c>
      <c r="AA75" s="51" t="n">
        <f aca="false">+R75-Q75</f>
        <v>18.615</v>
      </c>
      <c r="AB75" s="51" t="n">
        <f aca="false">AB76-AA76</f>
        <v>-1855.565</v>
      </c>
      <c r="AC75" s="51" t="e">
        <f aca="false">IF(MOD(MONTH(B75),6)=0,AB75,NA())</f>
        <v>#N/A</v>
      </c>
      <c r="AH75" s="51" t="n">
        <v>213.473</v>
      </c>
      <c r="AI75" s="51" t="n">
        <f aca="false">AH75/1.055056+P75</f>
        <v>192.106335860845</v>
      </c>
      <c r="AK75" s="26" t="n">
        <f aca="false">P75</f>
        <v>-10.227</v>
      </c>
      <c r="AL75" s="26" t="n">
        <f aca="false">R75</f>
        <v>1947.445</v>
      </c>
      <c r="AM75" s="26" t="n">
        <f aca="false">O75</f>
        <v>1939.057</v>
      </c>
      <c r="AN75" s="51" t="n">
        <v>73829.475</v>
      </c>
      <c r="AO75" s="26" t="n">
        <v>39.277845164</v>
      </c>
      <c r="AP75" s="51" t="n">
        <f aca="false">AO75/AN75*1000000</f>
        <v>532.007645510143</v>
      </c>
      <c r="AQ75" s="50" t="n">
        <f aca="false">M75</f>
        <v>4.8E-005</v>
      </c>
      <c r="AR75" s="75" t="n">
        <f aca="false">AM75/AO75/1000000</f>
        <v>4.93677031391029E-005</v>
      </c>
      <c r="AS75" s="75" t="n">
        <f aca="false">(AM75-AK75)/AO75/1000000</f>
        <v>4.96280789300176E-005</v>
      </c>
      <c r="AT75" s="75" t="n">
        <f aca="false">-AK75/AO75/1000000</f>
        <v>2.60375790914659E-007</v>
      </c>
      <c r="AU75" s="20" t="n">
        <f aca="false">Y75</f>
        <v>480.079957374894</v>
      </c>
      <c r="AV75" s="20" t="n">
        <f aca="false">AO75*1000000/(AN75+M75*AO75*1000000)</f>
        <v>518.760389818717</v>
      </c>
      <c r="AW75" s="0" t="n">
        <f aca="false">X75/AO75</f>
        <v>1.03294288838735</v>
      </c>
      <c r="AX75" s="75" t="n">
        <f aca="false">(AW75-1)/AU75</f>
        <v>6.86195869693981E-005</v>
      </c>
      <c r="AY75" s="75" t="n">
        <f aca="false">(AW75-1)/AV75</f>
        <v>6.35030912804725E-005</v>
      </c>
      <c r="AZ75" s="26" t="n">
        <f aca="false">AO75/A75</f>
        <v>1.26702726335484</v>
      </c>
    </row>
    <row r="76" customFormat="false" ht="12.75" hidden="false" customHeight="false" outlineLevel="0" collapsed="false">
      <c r="A76" s="0" t="n">
        <f aca="false">DAY((B77-1))</f>
        <v>30</v>
      </c>
      <c r="B76" s="7" t="n">
        <v>36039</v>
      </c>
      <c r="C76" s="51" t="n">
        <v>78950</v>
      </c>
      <c r="D76" s="51" t="n">
        <v>1500</v>
      </c>
      <c r="E76" s="51" t="n">
        <v>1798.757</v>
      </c>
      <c r="F76" s="74" t="n">
        <v>2031.78</v>
      </c>
      <c r="G76" s="74" t="n">
        <v>238.636</v>
      </c>
      <c r="H76" s="51" t="n">
        <f aca="false">E76-F76-G76</f>
        <v>-471.659</v>
      </c>
      <c r="I76" s="51" t="n">
        <f aca="false">D76-H76</f>
        <v>1971.659</v>
      </c>
      <c r="J76" s="78" t="n">
        <f aca="false">I76/C76</f>
        <v>0.0249735148828372</v>
      </c>
      <c r="K76" s="0" t="n">
        <v>520</v>
      </c>
      <c r="L76" s="88" t="n">
        <f aca="false">J76/K76</f>
        <v>4.80259901593024E-005</v>
      </c>
      <c r="M76" s="64" t="n">
        <v>4.8E-005</v>
      </c>
      <c r="N76" s="58" t="n">
        <v>7E-006</v>
      </c>
      <c r="O76" s="51" t="n">
        <v>1939.432</v>
      </c>
      <c r="P76" s="92" t="n">
        <v>221.003</v>
      </c>
      <c r="Q76" s="66" t="n">
        <f aca="false">P76+O76</f>
        <v>2160.435</v>
      </c>
      <c r="R76" s="51" t="n">
        <v>1927.23</v>
      </c>
      <c r="S76" s="51" t="n">
        <v>280.99</v>
      </c>
      <c r="T76" s="89" t="n">
        <f aca="false">R76-S76</f>
        <v>1646.24</v>
      </c>
      <c r="U76" s="13" t="n">
        <f aca="false">78609+2709</f>
        <v>81318</v>
      </c>
      <c r="V76" s="1"/>
      <c r="W76" s="2"/>
      <c r="X76" s="83" t="n">
        <f aca="false">R76/M76/1000000</f>
        <v>40.150625</v>
      </c>
      <c r="Y76" s="20" t="n">
        <f aca="false">X76*1000000/(U76+M76*X76*1000000)</f>
        <v>482.317425274697</v>
      </c>
      <c r="Z76" s="51" t="n">
        <f aca="false">SUM(X71:X76)</f>
        <v>242.030022154686</v>
      </c>
      <c r="AA76" s="51" t="n">
        <f aca="false">+R76-Q76</f>
        <v>-233.205</v>
      </c>
      <c r="AB76" s="51" t="n">
        <f aca="false">AB77-AA77</f>
        <v>-2088.77</v>
      </c>
      <c r="AC76" s="51" t="e">
        <f aca="false">IF(MOD(MONTH(B76),6)=0,AB76,NA())</f>
        <v>#N/A</v>
      </c>
      <c r="AD76" s="51"/>
      <c r="AH76" s="51" t="n">
        <v>-34.922</v>
      </c>
      <c r="AI76" s="51" t="n">
        <f aca="false">AH76/1.055056+P76</f>
        <v>187.903335148087</v>
      </c>
      <c r="AK76" s="26" t="n">
        <f aca="false">P76</f>
        <v>221.003</v>
      </c>
      <c r="AL76" s="26" t="n">
        <f aca="false">R76</f>
        <v>1927.23</v>
      </c>
      <c r="AM76" s="26" t="n">
        <f aca="false">O76</f>
        <v>1939.432</v>
      </c>
      <c r="AN76" s="51" t="n">
        <v>73449.241</v>
      </c>
      <c r="AO76" s="26" t="n">
        <v>39.076429891</v>
      </c>
      <c r="AP76" s="51" t="n">
        <f aca="false">AO76/AN76*1000000</f>
        <v>532.019519316748</v>
      </c>
      <c r="AQ76" s="50" t="n">
        <f aca="false">M76</f>
        <v>4.8E-005</v>
      </c>
      <c r="AR76" s="75" t="n">
        <f aca="false">AM76/AO76/1000000</f>
        <v>4.96317602557312E-005</v>
      </c>
      <c r="AS76" s="75" t="n">
        <f aca="false">(AM76-AK76)/AO76/1000000</f>
        <v>4.39761002935374E-005</v>
      </c>
      <c r="AT76" s="75" t="n">
        <f aca="false">-AK76/AO76/1000000</f>
        <v>-5.65565996219376E-006</v>
      </c>
      <c r="AU76" s="20" t="n">
        <f aca="false">Y76</f>
        <v>482.317425274697</v>
      </c>
      <c r="AV76" s="20" t="n">
        <f aca="false">AO76*1000000/(AN76+M76*AO76*1000000)</f>
        <v>518.771679653809</v>
      </c>
      <c r="AW76" s="0" t="n">
        <f aca="false">X76/AO76</f>
        <v>1.02748959185873</v>
      </c>
      <c r="AX76" s="75" t="n">
        <f aca="false">(AW76-1)/AU76</f>
        <v>5.6994813826345E-005</v>
      </c>
      <c r="AY76" s="75" t="n">
        <f aca="false">(AW76-1)/AV76</f>
        <v>5.29897697520382E-005</v>
      </c>
      <c r="AZ76" s="26" t="n">
        <f aca="false">AO76/A76</f>
        <v>1.30254766303333</v>
      </c>
    </row>
    <row r="77" customFormat="false" ht="12.75" hidden="false" customHeight="false" outlineLevel="0" collapsed="false">
      <c r="A77" s="0" t="n">
        <f aca="false">DAY((B78-1))</f>
        <v>31</v>
      </c>
      <c r="B77" s="7" t="n">
        <v>36069</v>
      </c>
      <c r="C77" s="51" t="n">
        <v>77150.2</v>
      </c>
      <c r="D77" s="51" t="n">
        <v>1695</v>
      </c>
      <c r="E77" s="51" t="n">
        <v>1947.445</v>
      </c>
      <c r="F77" s="74" t="n">
        <v>1928.83</v>
      </c>
      <c r="G77" s="74" t="n">
        <v>247.188</v>
      </c>
      <c r="H77" s="51" t="n">
        <f aca="false">E77-F77-G77</f>
        <v>-228.573</v>
      </c>
      <c r="I77" s="51" t="n">
        <f aca="false">D77-H77</f>
        <v>1923.573</v>
      </c>
      <c r="J77" s="78" t="n">
        <f aca="false">I77/C77</f>
        <v>0.0249328323192941</v>
      </c>
      <c r="K77" s="0" t="n">
        <v>520</v>
      </c>
      <c r="L77" s="80" t="n">
        <f aca="false">J77/K77</f>
        <v>4.79477544601809E-005</v>
      </c>
      <c r="M77" s="64" t="n">
        <v>4.8E-005</v>
      </c>
      <c r="N77" s="58" t="n">
        <v>7E-006</v>
      </c>
      <c r="O77" s="51" t="n">
        <v>1855.204</v>
      </c>
      <c r="P77" s="51" t="n">
        <v>-353.259</v>
      </c>
      <c r="Q77" s="51" t="n">
        <f aca="false">P77+O77</f>
        <v>1501.945</v>
      </c>
      <c r="R77" s="51" t="n">
        <v>1920.366</v>
      </c>
      <c r="S77" s="51" t="n">
        <v>279.989</v>
      </c>
      <c r="T77" s="89" t="n">
        <f aca="false">R77-S77</f>
        <v>1640.377</v>
      </c>
      <c r="U77" s="13" t="n">
        <f aca="false">79200+2684</f>
        <v>81884</v>
      </c>
      <c r="V77" s="1"/>
      <c r="W77" s="2"/>
      <c r="X77" s="83" t="n">
        <f aca="false">R77/M77/1000000</f>
        <v>40.007625</v>
      </c>
      <c r="Y77" s="20" t="n">
        <f aca="false">X77*1000000/(U77+M77*X77*1000000)</f>
        <v>477.393087133432</v>
      </c>
      <c r="Z77" s="51" t="n">
        <f aca="false">SUM(X72:X77)</f>
        <v>241.299089015152</v>
      </c>
      <c r="AA77" s="51" t="n">
        <f aca="false">+R77-Q77</f>
        <v>418.421</v>
      </c>
      <c r="AB77" s="51" t="n">
        <f aca="false">AB78-AA78</f>
        <v>-1670.349</v>
      </c>
      <c r="AC77" s="51" t="e">
        <f aca="false">IF(MOD(MONTH(B77),6)=0,AB77,NA())</f>
        <v>#N/A</v>
      </c>
      <c r="AD77" s="51"/>
      <c r="AH77" s="51" t="n">
        <v>225.153</v>
      </c>
      <c r="AI77" s="51" t="n">
        <f aca="false">AH77/1.055056+P77</f>
        <v>-139.855161720326</v>
      </c>
      <c r="AK77" s="26" t="n">
        <f aca="false">P77</f>
        <v>-353.259</v>
      </c>
      <c r="AL77" s="26" t="n">
        <f aca="false">R77</f>
        <v>1920.366</v>
      </c>
      <c r="AM77" s="26" t="n">
        <f aca="false">O77</f>
        <v>1855.204</v>
      </c>
      <c r="AN77" s="51" t="n">
        <v>73128.619</v>
      </c>
      <c r="AO77" s="26" t="n">
        <v>39.077769139</v>
      </c>
      <c r="AP77" s="51" t="n">
        <f aca="false">AO77/AN77*1000000</f>
        <v>534.370396615858</v>
      </c>
      <c r="AQ77" s="50" t="n">
        <f aca="false">M77</f>
        <v>4.8E-005</v>
      </c>
      <c r="AR77" s="75" t="n">
        <f aca="false">AM77/AO77/1000000</f>
        <v>4.74746650301613E-005</v>
      </c>
      <c r="AS77" s="75" t="n">
        <f aca="false">(AM77-AK77)/AO77/1000000</f>
        <v>5.65145618252791E-005</v>
      </c>
      <c r="AT77" s="75" t="n">
        <f aca="false">-AK77/AO77/1000000</f>
        <v>9.03989679511782E-006</v>
      </c>
      <c r="AU77" s="20" t="n">
        <f aca="false">Y77</f>
        <v>477.393087133432</v>
      </c>
      <c r="AV77" s="20" t="n">
        <f aca="false">AO77*1000000/(AN77+M77*AO77*1000000)</f>
        <v>521.006690136759</v>
      </c>
      <c r="AW77" s="0" t="n">
        <f aca="false">X77/AO77</f>
        <v>1.0237950088116</v>
      </c>
      <c r="AX77" s="75" t="n">
        <f aca="false">(AW77-1)/AU77</f>
        <v>4.98436392417738E-005</v>
      </c>
      <c r="AY77" s="75" t="n">
        <f aca="false">(AW77-1)/AV77</f>
        <v>4.56712154796889E-005</v>
      </c>
      <c r="AZ77" s="26" t="n">
        <f aca="false">AO77/A77</f>
        <v>1.26057319803226</v>
      </c>
    </row>
    <row r="78" customFormat="false" ht="12.75" hidden="false" customHeight="false" outlineLevel="0" collapsed="false">
      <c r="A78" s="0" t="n">
        <f aca="false">DAY((B79-1))</f>
        <v>30</v>
      </c>
      <c r="B78" s="7" t="n">
        <v>36100</v>
      </c>
      <c r="C78" s="51" t="n">
        <v>76000</v>
      </c>
      <c r="D78" s="51" t="n">
        <v>1600</v>
      </c>
      <c r="E78" s="51" t="n">
        <v>1927.23</v>
      </c>
      <c r="F78" s="74" t="n">
        <v>1990.047</v>
      </c>
      <c r="G78" s="51" t="n">
        <v>233.333</v>
      </c>
      <c r="H78" s="51" t="n">
        <f aca="false">E78-F78-G78</f>
        <v>-296.15</v>
      </c>
      <c r="I78" s="51" t="n">
        <f aca="false">D78-H78</f>
        <v>1896.15</v>
      </c>
      <c r="J78" s="78" t="n">
        <f aca="false">I78/C78</f>
        <v>0.0249493421052632</v>
      </c>
      <c r="K78" s="0" t="n">
        <v>520</v>
      </c>
      <c r="L78" s="80" t="n">
        <f aca="false">J78/K78</f>
        <v>4.7979504048583E-005</v>
      </c>
      <c r="M78" s="64" t="n">
        <v>4.8E-005</v>
      </c>
      <c r="N78" s="58" t="n">
        <v>7E-006</v>
      </c>
      <c r="O78" s="51" t="n">
        <v>1792.65</v>
      </c>
      <c r="P78" s="51" t="n">
        <v>-73.004</v>
      </c>
      <c r="Q78" s="66" t="n">
        <f aca="false">P78+O78</f>
        <v>1719.646</v>
      </c>
      <c r="R78" s="51" t="n">
        <v>1907.647</v>
      </c>
      <c r="S78" s="51" t="n">
        <v>278.135</v>
      </c>
      <c r="T78" s="89" t="n">
        <f aca="false">R78-S78</f>
        <v>1629.512</v>
      </c>
      <c r="U78" s="13" t="n">
        <f aca="false">79263+1190</f>
        <v>80453</v>
      </c>
      <c r="V78" s="1"/>
      <c r="W78" s="2"/>
      <c r="X78" s="83" t="n">
        <f aca="false">R78/M78/1000000</f>
        <v>39.7426458333333</v>
      </c>
      <c r="Y78" s="20" t="n">
        <f aca="false">X78*1000000/(U78+M78*X78*1000000)</f>
        <v>482.544118835459</v>
      </c>
      <c r="Z78" s="51" t="n">
        <f aca="false">SUM(X73:X78)</f>
        <v>240.957712121212</v>
      </c>
      <c r="AA78" s="51" t="n">
        <f aca="false">+R78-Q78</f>
        <v>188.001</v>
      </c>
      <c r="AB78" s="51" t="n">
        <f aca="false">AB79-AA79</f>
        <v>-1482.348</v>
      </c>
      <c r="AC78" s="51" t="e">
        <f aca="false">IF(MOD(MONTH(B78),6)=0,AB78,NA())</f>
        <v>#N/A</v>
      </c>
      <c r="AD78" s="51"/>
      <c r="AH78" s="51" t="n">
        <v>266.868</v>
      </c>
      <c r="AI78" s="51" t="n">
        <f aca="false">AH78/1.055056+P78</f>
        <v>179.938023930483</v>
      </c>
      <c r="AK78" s="26" t="n">
        <f aca="false">P78</f>
        <v>-73.004</v>
      </c>
      <c r="AL78" s="26" t="n">
        <f aca="false">R78</f>
        <v>1907.647</v>
      </c>
      <c r="AM78" s="26" t="n">
        <f aca="false">O78</f>
        <v>1792.65</v>
      </c>
      <c r="AN78" s="51" t="n">
        <v>74122.29</v>
      </c>
      <c r="AO78" s="26" t="n">
        <v>38.695088421</v>
      </c>
      <c r="AP78" s="51" t="n">
        <f aca="false">AO78/AN78*1000000</f>
        <v>522.043887486477</v>
      </c>
      <c r="AQ78" s="50" t="n">
        <f aca="false">M78</f>
        <v>4.8E-005</v>
      </c>
      <c r="AR78" s="75" t="n">
        <f aca="false">AM78/AO78/1000000</f>
        <v>4.63275850541052E-005</v>
      </c>
      <c r="AS78" s="75" t="n">
        <f aca="false">(AM78-AK78)/AO78/1000000</f>
        <v>4.82142327651977E-005</v>
      </c>
      <c r="AT78" s="75" t="n">
        <f aca="false">-AK78/AO78/1000000</f>
        <v>1.88664771109246E-006</v>
      </c>
      <c r="AU78" s="20" t="n">
        <f aca="false">Y78</f>
        <v>482.544118835459</v>
      </c>
      <c r="AV78" s="20" t="n">
        <f aca="false">AO78*1000000/(AN78+M78*AO78*1000000)</f>
        <v>509.282238856066</v>
      </c>
      <c r="AW78" s="0" t="n">
        <f aca="false">X78/AO78</f>
        <v>1.02707210281925</v>
      </c>
      <c r="AX78" s="75" t="n">
        <f aca="false">(AW78-1)/AU78</f>
        <v>5.61028551846931E-005</v>
      </c>
      <c r="AY78" s="75" t="n">
        <f aca="false">(AW78-1)/AV78</f>
        <v>5.31573668857167E-005</v>
      </c>
      <c r="AZ78" s="26" t="n">
        <f aca="false">AO78/A78</f>
        <v>1.2898362807</v>
      </c>
    </row>
    <row r="79" customFormat="false" ht="12.75" hidden="false" customHeight="false" outlineLevel="0" collapsed="false">
      <c r="A79" s="0" t="n">
        <f aca="false">DAY((B80-1))</f>
        <v>31</v>
      </c>
      <c r="B79" s="7" t="n">
        <v>36130</v>
      </c>
      <c r="C79" s="51" t="n">
        <v>72450</v>
      </c>
      <c r="D79" s="51" t="n">
        <v>1950</v>
      </c>
      <c r="E79" s="51" t="n">
        <v>1920.366</v>
      </c>
      <c r="F79" s="74" t="n">
        <v>1501.945</v>
      </c>
      <c r="G79" s="51" t="n">
        <v>284.375</v>
      </c>
      <c r="H79" s="51" t="n">
        <f aca="false">E79-F79-G79</f>
        <v>134.046</v>
      </c>
      <c r="I79" s="51" t="n">
        <f aca="false">D79-H79</f>
        <v>1815.954</v>
      </c>
      <c r="J79" s="78" t="n">
        <f aca="false">I79/C79</f>
        <v>0.0250649275362319</v>
      </c>
      <c r="K79" s="0" t="n">
        <v>520</v>
      </c>
      <c r="L79" s="88" t="n">
        <f aca="false">J79/K79</f>
        <v>4.82017837235229E-005</v>
      </c>
      <c r="M79" s="64" t="n">
        <v>4.8E-005</v>
      </c>
      <c r="N79" s="58" t="n">
        <v>7E-006</v>
      </c>
      <c r="O79" s="51" t="n">
        <v>1811.33</v>
      </c>
      <c r="P79" s="51" t="n">
        <v>-68.061</v>
      </c>
      <c r="Q79" s="51" t="n">
        <f aca="false">P79+O79</f>
        <v>1743.269</v>
      </c>
      <c r="R79" s="51" t="n">
        <v>1970.166</v>
      </c>
      <c r="S79" s="51" t="n">
        <v>287.25</v>
      </c>
      <c r="T79" s="89" t="n">
        <f aca="false">R79-S79</f>
        <v>1682.916</v>
      </c>
      <c r="U79" s="13" t="n">
        <f aca="false">82380+1053</f>
        <v>83433</v>
      </c>
      <c r="V79" s="1"/>
      <c r="W79" s="2"/>
      <c r="X79" s="83" t="n">
        <f aca="false">R79/M79/1000000</f>
        <v>41.045125</v>
      </c>
      <c r="Y79" s="20" t="n">
        <f aca="false">X79*1000000/(U79+M79*X79*1000000)</f>
        <v>480.60425535044</v>
      </c>
      <c r="Z79" s="51" t="n">
        <f aca="false">SUM(X74:X79)</f>
        <v>242.398632575758</v>
      </c>
      <c r="AA79" s="51" t="n">
        <f aca="false">+R79-Q79</f>
        <v>226.897</v>
      </c>
      <c r="AB79" s="51" t="n">
        <f aca="false">AB80-AA80</f>
        <v>-1255.451</v>
      </c>
      <c r="AC79" s="51" t="n">
        <f aca="false">IF(MOD(MONTH(B79),6)=0,AB79,NA())</f>
        <v>-1255.451</v>
      </c>
      <c r="AD79" s="51"/>
      <c r="AH79" s="51" t="n">
        <v>261.503</v>
      </c>
      <c r="AI79" s="51" t="n">
        <f aca="false">AH79/1.055056+P79</f>
        <v>179.795985790328</v>
      </c>
      <c r="AK79" s="26" t="n">
        <f aca="false">P79</f>
        <v>-68.061</v>
      </c>
      <c r="AL79" s="26" t="n">
        <f aca="false">R79</f>
        <v>1970.166</v>
      </c>
      <c r="AM79" s="26" t="n">
        <f aca="false">O79</f>
        <v>1811.33</v>
      </c>
      <c r="AN79" s="51" t="n">
        <v>78529.511</v>
      </c>
      <c r="AO79" s="26" t="n">
        <v>39.799214189</v>
      </c>
      <c r="AP79" s="51" t="n">
        <f aca="false">AO79/AN79*1000000</f>
        <v>506.805832383192</v>
      </c>
      <c r="AQ79" s="50" t="n">
        <f aca="false">M79</f>
        <v>4.8E-005</v>
      </c>
      <c r="AR79" s="75" t="n">
        <f aca="false">AM79/AO79/1000000</f>
        <v>4.5511702602928E-005</v>
      </c>
      <c r="AS79" s="75" t="n">
        <f aca="false">(AM79-AK79)/AO79/1000000</f>
        <v>4.72218117441987E-005</v>
      </c>
      <c r="AT79" s="75" t="n">
        <f aca="false">-AK79/AO79/1000000</f>
        <v>1.71010914127071E-006</v>
      </c>
      <c r="AU79" s="20" t="n">
        <f aca="false">Y79</f>
        <v>480.60425535044</v>
      </c>
      <c r="AV79" s="20" t="n">
        <f aca="false">AO79*1000000/(AN79+M79*AO79*1000000)</f>
        <v>494.769727569486</v>
      </c>
      <c r="AW79" s="0" t="n">
        <f aca="false">X79/AO79</f>
        <v>1.03130490981765</v>
      </c>
      <c r="AX79" s="75" t="n">
        <f aca="false">(AW79-1)/AU79</f>
        <v>6.51365639591021E-005</v>
      </c>
      <c r="AY79" s="75" t="n">
        <f aca="false">(AW79-1)/AV79</f>
        <v>6.32716758388457E-005</v>
      </c>
      <c r="AZ79" s="26" t="n">
        <f aca="false">AO79/A79</f>
        <v>1.283845619</v>
      </c>
    </row>
    <row r="80" customFormat="false" ht="12.75" hidden="false" customHeight="false" outlineLevel="0" collapsed="false">
      <c r="A80" s="0" t="n">
        <f aca="false">DAY((B81-1))</f>
        <v>31</v>
      </c>
      <c r="B80" s="7" t="n">
        <v>36161</v>
      </c>
      <c r="C80" s="51" t="n">
        <v>77500</v>
      </c>
      <c r="D80" s="51" t="n">
        <v>1875</v>
      </c>
      <c r="E80" s="51" t="n">
        <v>1907.647</v>
      </c>
      <c r="F80" s="74" t="n">
        <v>1693.404</v>
      </c>
      <c r="G80" s="51" t="n">
        <v>273.438</v>
      </c>
      <c r="H80" s="51" t="n">
        <f aca="false">E80-F80-G80</f>
        <v>-59.1950000000001</v>
      </c>
      <c r="I80" s="51" t="n">
        <f aca="false">D80-H80</f>
        <v>1934.195</v>
      </c>
      <c r="J80" s="78" t="n">
        <f aca="false">I80/C80</f>
        <v>0.0249573548387097</v>
      </c>
      <c r="K80" s="0" t="n">
        <v>520</v>
      </c>
      <c r="L80" s="80" t="n">
        <f aca="false">J80/K80</f>
        <v>4.79949131513648E-005</v>
      </c>
      <c r="M80" s="64" t="n">
        <v>4.8E-005</v>
      </c>
      <c r="N80" s="58" t="n">
        <v>9E-006</v>
      </c>
      <c r="O80" s="51" t="n">
        <v>1485.582</v>
      </c>
      <c r="P80" s="51" t="n">
        <v>-157.213</v>
      </c>
      <c r="Q80" s="51" t="n">
        <f aca="false">P80+O80</f>
        <v>1328.369</v>
      </c>
      <c r="R80" s="51" t="n">
        <v>1876.355</v>
      </c>
      <c r="S80" s="51" t="n">
        <v>351.817</v>
      </c>
      <c r="T80" s="89" t="n">
        <f aca="false">R80-S80</f>
        <v>1524.538</v>
      </c>
      <c r="U80" s="13" t="n">
        <f aca="false">78958+55</f>
        <v>79013</v>
      </c>
      <c r="V80" s="1"/>
      <c r="W80" s="2"/>
      <c r="X80" s="83" t="n">
        <f aca="false">R80/M80/1000000</f>
        <v>39.0907291666667</v>
      </c>
      <c r="Y80" s="20" t="n">
        <f aca="false">X80*1000000/(U80+M80*X80*1000000)</f>
        <v>483.261724199268</v>
      </c>
      <c r="Z80" s="51" t="n">
        <f aca="false">SUM(X75:X80)</f>
        <v>240.608520833333</v>
      </c>
      <c r="AA80" s="51" t="n">
        <f aca="false">+R80-Q80</f>
        <v>547.986</v>
      </c>
      <c r="AB80" s="51" t="n">
        <f aca="false">AB81-AA81</f>
        <v>-707.465</v>
      </c>
      <c r="AC80" s="51" t="e">
        <f aca="false">IF(MOD(MONTH(B80),6)=0,AB80,NA())</f>
        <v>#N/A</v>
      </c>
      <c r="AD80" s="51"/>
      <c r="AH80" s="51" t="n">
        <v>237.51</v>
      </c>
      <c r="AI80" s="51" t="n">
        <f aca="false">AH80/1.055056+P80</f>
        <v>67.9030127993206</v>
      </c>
      <c r="AK80" s="26" t="n">
        <f aca="false">P80</f>
        <v>-157.213</v>
      </c>
      <c r="AL80" s="26" t="n">
        <f aca="false">R80</f>
        <v>1876.355</v>
      </c>
      <c r="AM80" s="26" t="n">
        <f aca="false">O80</f>
        <v>1485.582</v>
      </c>
      <c r="AN80" s="51" t="n">
        <v>76928.159</v>
      </c>
      <c r="AO80" s="26" t="n">
        <v>38.407438072</v>
      </c>
      <c r="AP80" s="51" t="n">
        <f aca="false">AO80/AN80*1000000</f>
        <v>499.263710080466</v>
      </c>
      <c r="AQ80" s="50" t="n">
        <f aca="false">M80</f>
        <v>4.8E-005</v>
      </c>
      <c r="AR80" s="75" t="n">
        <f aca="false">AM80/AO80/1000000</f>
        <v>3.86795390313479E-005</v>
      </c>
      <c r="AS80" s="75" t="n">
        <f aca="false">(AM80-AK80)/AO80/1000000</f>
        <v>4.27728347024958E-005</v>
      </c>
      <c r="AT80" s="75" t="n">
        <f aca="false">-AK80/AO80/1000000</f>
        <v>4.09329567114794E-006</v>
      </c>
      <c r="AU80" s="20" t="n">
        <f aca="false">Y80</f>
        <v>483.261724199268</v>
      </c>
      <c r="AV80" s="20" t="n">
        <f aca="false">AO80*1000000/(AN80+M80*AO80*1000000)</f>
        <v>487.579044978696</v>
      </c>
      <c r="AW80" s="0" t="n">
        <f aca="false">X80/AO80</f>
        <v>1.01779059288947</v>
      </c>
      <c r="AX80" s="75" t="n">
        <f aca="false">(AW80-1)/AU80</f>
        <v>3.68135774024989E-005</v>
      </c>
      <c r="AY80" s="75" t="n">
        <f aca="false">(AW80-1)/AV80</f>
        <v>3.64876076457555E-005</v>
      </c>
      <c r="AZ80" s="26" t="n">
        <f aca="false">AO80/A80</f>
        <v>1.23894961522581</v>
      </c>
    </row>
    <row r="81" customFormat="false" ht="12.75" hidden="false" customHeight="false" outlineLevel="0" collapsed="false">
      <c r="A81" s="0" t="n">
        <f aca="false">DAY((B82-1))</f>
        <v>28</v>
      </c>
      <c r="B81" s="7" t="n">
        <v>36192</v>
      </c>
      <c r="C81" s="51" t="n">
        <v>66000</v>
      </c>
      <c r="D81" s="51" t="n">
        <v>1455</v>
      </c>
      <c r="E81" s="51" t="n">
        <v>1970.166</v>
      </c>
      <c r="F81" s="74" t="n">
        <v>1743.269</v>
      </c>
      <c r="G81" s="51" t="n">
        <v>212.188</v>
      </c>
      <c r="H81" s="51" t="n">
        <f aca="false">E81-F81-G81</f>
        <v>14.7089999999999</v>
      </c>
      <c r="I81" s="51" t="n">
        <f aca="false">D81-H81</f>
        <v>1440.291</v>
      </c>
      <c r="J81" s="78" t="n">
        <f aca="false">I81/C81</f>
        <v>0.0218225909090909</v>
      </c>
      <c r="K81" s="0" t="n">
        <v>520</v>
      </c>
      <c r="L81" s="80" t="n">
        <f aca="false">J81/K81</f>
        <v>4.1966520979021E-005</v>
      </c>
      <c r="M81" s="64" t="n">
        <v>4.2E-005</v>
      </c>
      <c r="N81" s="58" t="n">
        <v>9E-006</v>
      </c>
      <c r="O81" s="51" t="n">
        <v>1271.339</v>
      </c>
      <c r="P81" s="51" t="n">
        <v>-340.498</v>
      </c>
      <c r="Q81" s="51" t="n">
        <f aca="false">P81+O81</f>
        <v>930.841</v>
      </c>
      <c r="R81" s="51" t="n">
        <v>1467.979</v>
      </c>
      <c r="S81" s="51" t="n">
        <v>314.588</v>
      </c>
      <c r="T81" s="89" t="n">
        <f aca="false">R81-S81</f>
        <v>1153.391</v>
      </c>
      <c r="U81" s="13" t="n">
        <f aca="false">69876+76</f>
        <v>69952</v>
      </c>
      <c r="V81" s="1"/>
      <c r="W81" s="2"/>
      <c r="X81" s="83" t="n">
        <f aca="false">R81/M81/1000000</f>
        <v>34.951880952381</v>
      </c>
      <c r="Y81" s="20" t="n">
        <f aca="false">X81*1000000/(U81+M81*X81*1000000)</f>
        <v>489.385203436996</v>
      </c>
      <c r="Z81" s="51" t="n">
        <f aca="false">SUM(X76:X81)</f>
        <v>234.988630952381</v>
      </c>
      <c r="AA81" s="51" t="n">
        <f aca="false">+R81-Q81</f>
        <v>537.138</v>
      </c>
      <c r="AB81" s="51" t="n">
        <f aca="false">AB82-AA82</f>
        <v>-170.327</v>
      </c>
      <c r="AC81" s="51" t="e">
        <f aca="false">IF(MOD(MONTH(B81),6)=0,AB81,NA())</f>
        <v>#N/A</v>
      </c>
      <c r="AD81" s="51"/>
      <c r="AH81" s="51" t="n">
        <v>226.618</v>
      </c>
      <c r="AI81" s="51" t="n">
        <f aca="false">AH81/1.055056+P81</f>
        <v>-125.705609833033</v>
      </c>
      <c r="AK81" s="26" t="n">
        <f aca="false">P81</f>
        <v>-340.498</v>
      </c>
      <c r="AL81" s="26" t="n">
        <f aca="false">R81</f>
        <v>1467.979</v>
      </c>
      <c r="AM81" s="26" t="n">
        <f aca="false">O81</f>
        <v>1271.339</v>
      </c>
      <c r="AN81" s="51" t="n">
        <v>66622.834</v>
      </c>
      <c r="AO81" s="26" t="n">
        <v>34.224950606</v>
      </c>
      <c r="AP81" s="51" t="n">
        <f aca="false">AO81/AN81*1000000</f>
        <v>513.712019605771</v>
      </c>
      <c r="AQ81" s="50" t="n">
        <f aca="false">M81</f>
        <v>4.2E-005</v>
      </c>
      <c r="AR81" s="75" t="n">
        <f aca="false">AM81/AO81/1000000</f>
        <v>3.7146554706119E-005</v>
      </c>
      <c r="AS81" s="75" t="n">
        <f aca="false">(AM81-AK81)/AO81/1000000</f>
        <v>4.70953784142913E-005</v>
      </c>
      <c r="AT81" s="75" t="n">
        <f aca="false">-AK81/AO81/1000000</f>
        <v>9.94882370817234E-006</v>
      </c>
      <c r="AU81" s="20" t="n">
        <f aca="false">Y81</f>
        <v>489.385203436996</v>
      </c>
      <c r="AV81" s="20" t="n">
        <f aca="false">AO81*1000000/(AN81+M81*AO81*1000000)</f>
        <v>502.862310260298</v>
      </c>
      <c r="AW81" s="0" t="n">
        <f aca="false">X81/AO81</f>
        <v>1.02123977780858</v>
      </c>
      <c r="AX81" s="75" t="n">
        <f aca="false">(AW81-1)/AU81</f>
        <v>4.34009399127882E-005</v>
      </c>
      <c r="AY81" s="75" t="n">
        <f aca="false">(AW81-1)/AV81</f>
        <v>4.22377604668408E-005</v>
      </c>
      <c r="AZ81" s="26" t="n">
        <f aca="false">AO81/A81</f>
        <v>1.2223196645</v>
      </c>
    </row>
    <row r="82" customFormat="false" ht="12.75" hidden="false" customHeight="false" outlineLevel="0" collapsed="false">
      <c r="A82" s="0" t="n">
        <f aca="false">DAY((B83-1))</f>
        <v>31</v>
      </c>
      <c r="B82" s="7" t="n">
        <v>36220</v>
      </c>
      <c r="C82" s="51" t="n">
        <v>64000</v>
      </c>
      <c r="D82" s="51" t="n">
        <v>1470</v>
      </c>
      <c r="E82" s="51" t="n">
        <v>1876.355</v>
      </c>
      <c r="F82" s="74" t="n">
        <v>1328.369</v>
      </c>
      <c r="G82" s="51" t="n">
        <v>275.625</v>
      </c>
      <c r="H82" s="51" t="n">
        <f aca="false">E82-F82-G82</f>
        <v>272.361</v>
      </c>
      <c r="I82" s="51" t="n">
        <f aca="false">D82-H82</f>
        <v>1197.639</v>
      </c>
      <c r="J82" s="78" t="n">
        <f aca="false">I82/C82</f>
        <v>0.018713109375</v>
      </c>
      <c r="K82" s="0" t="n">
        <v>520</v>
      </c>
      <c r="L82" s="80" t="n">
        <f aca="false">J82/K82</f>
        <v>3.59867487980769E-005</v>
      </c>
      <c r="M82" s="64" t="n">
        <v>3.6E-005</v>
      </c>
      <c r="N82" s="58" t="n">
        <v>9E-006</v>
      </c>
      <c r="O82" s="51" t="n">
        <v>1185.685</v>
      </c>
      <c r="P82" s="51" t="n">
        <v>-305.107</v>
      </c>
      <c r="Q82" s="51" t="n">
        <f aca="false">P82+O82</f>
        <v>880.578</v>
      </c>
      <c r="R82" s="51" t="n">
        <v>1297.914</v>
      </c>
      <c r="S82" s="51" t="n">
        <v>324.479</v>
      </c>
      <c r="T82" s="89" t="n">
        <f aca="false">R82-S82</f>
        <v>973.435</v>
      </c>
      <c r="U82" s="13" t="n">
        <f aca="false">73538+336</f>
        <v>73874</v>
      </c>
      <c r="V82" s="1"/>
      <c r="W82" s="2"/>
      <c r="X82" s="83" t="n">
        <f aca="false">R82/M82/1000000</f>
        <v>36.0531666666667</v>
      </c>
      <c r="Y82" s="20" t="n">
        <f aca="false">X82*1000000/(U82+M82*X82*1000000)</f>
        <v>479.609534309139</v>
      </c>
      <c r="Z82" s="51" t="n">
        <f aca="false">SUM(X77:X82)</f>
        <v>230.891172619048</v>
      </c>
      <c r="AA82" s="51" t="n">
        <f aca="false">+R82-Q82</f>
        <v>417.336</v>
      </c>
      <c r="AB82" s="51" t="n">
        <f aca="false">AB83-AA83</f>
        <v>247.009</v>
      </c>
      <c r="AC82" s="51" t="e">
        <f aca="false">IF(MOD(MONTH(B82),6)=0,AB82,NA())</f>
        <v>#N/A</v>
      </c>
      <c r="AD82" s="51"/>
      <c r="AH82" s="51" t="n">
        <v>186.771</v>
      </c>
      <c r="AI82" s="51" t="n">
        <f aca="false">AH82/1.055056+P82</f>
        <v>-128.082273350419</v>
      </c>
      <c r="AK82" s="26" t="n">
        <f aca="false">P82</f>
        <v>-305.107</v>
      </c>
      <c r="AL82" s="26" t="n">
        <f aca="false">R82</f>
        <v>1297.914</v>
      </c>
      <c r="AM82" s="26" t="n">
        <f aca="false">O82</f>
        <v>1185.685</v>
      </c>
      <c r="AN82" s="51" t="n">
        <v>65059.238</v>
      </c>
      <c r="AO82" s="26" t="n">
        <v>35.355015015</v>
      </c>
      <c r="AP82" s="51" t="n">
        <f aca="false">AO82/AN82*1000000</f>
        <v>543.428052677162</v>
      </c>
      <c r="AQ82" s="50" t="n">
        <f aca="false">M82</f>
        <v>3.6E-005</v>
      </c>
      <c r="AR82" s="75" t="n">
        <f aca="false">AM82/AO82/1000000</f>
        <v>3.35365435284627E-005</v>
      </c>
      <c r="AS82" s="75" t="n">
        <f aca="false">(AM82-AK82)/AO82/1000000</f>
        <v>4.21663517712411E-005</v>
      </c>
      <c r="AT82" s="75" t="n">
        <f aca="false">-AK82/AO82/1000000</f>
        <v>8.62980824277837E-006</v>
      </c>
      <c r="AU82" s="20" t="n">
        <f aca="false">Y82</f>
        <v>479.609534309139</v>
      </c>
      <c r="AV82" s="20" t="n">
        <f aca="false">AO82*1000000/(AN82+M82*AO82*1000000)</f>
        <v>533.000740711549</v>
      </c>
      <c r="AW82" s="0" t="n">
        <f aca="false">X82/AO82</f>
        <v>1.01974689167493</v>
      </c>
      <c r="AX82" s="75" t="n">
        <f aca="false">(AW82-1)/AU82</f>
        <v>4.1172850542625E-005</v>
      </c>
      <c r="AY82" s="75" t="n">
        <f aca="false">(AW82-1)/AV82</f>
        <v>3.70485257648354E-005</v>
      </c>
      <c r="AZ82" s="26" t="n">
        <f aca="false">AO82/A82</f>
        <v>1.14048435532258</v>
      </c>
    </row>
    <row r="83" customFormat="false" ht="12.75" hidden="false" customHeight="false" outlineLevel="0" collapsed="false">
      <c r="A83" s="0" t="n">
        <f aca="false">DAY((B84-1))</f>
        <v>30</v>
      </c>
      <c r="B83" s="7" t="n">
        <v>36251</v>
      </c>
      <c r="C83" s="51" t="n">
        <v>79000</v>
      </c>
      <c r="D83" s="51" t="n">
        <v>1635</v>
      </c>
      <c r="E83" s="51" t="n">
        <v>1467.979</v>
      </c>
      <c r="F83" s="74" t="n">
        <v>930.824</v>
      </c>
      <c r="G83" s="51" t="n">
        <v>350.357</v>
      </c>
      <c r="H83" s="51" t="n">
        <f aca="false">E83-F83-G83</f>
        <v>186.798</v>
      </c>
      <c r="I83" s="51" t="n">
        <f aca="false">D83-H83</f>
        <v>1448.202</v>
      </c>
      <c r="J83" s="78" t="n">
        <f aca="false">I83/C83</f>
        <v>0.018331670886076</v>
      </c>
      <c r="K83" s="0" t="n">
        <v>520</v>
      </c>
      <c r="L83" s="80" t="n">
        <f aca="false">J83/K83</f>
        <v>3.52532132424538E-005</v>
      </c>
      <c r="M83" s="64" t="n">
        <v>3.5E-005</v>
      </c>
      <c r="N83" s="58" t="n">
        <v>9E-006</v>
      </c>
      <c r="O83" s="51" t="n">
        <v>1517.31</v>
      </c>
      <c r="P83" s="51" t="n">
        <v>63.145</v>
      </c>
      <c r="Q83" s="66" t="n">
        <f aca="false">P83+O83</f>
        <v>1580.455</v>
      </c>
      <c r="R83" s="51" t="n">
        <v>1318.643</v>
      </c>
      <c r="S83" s="51" t="n">
        <v>339.023</v>
      </c>
      <c r="T83" s="89" t="n">
        <f aca="false">R83-S83</f>
        <v>979.62</v>
      </c>
      <c r="U83" s="13" t="n">
        <f aca="false">73725+1278</f>
        <v>75003</v>
      </c>
      <c r="V83" s="1"/>
      <c r="W83" s="2"/>
      <c r="X83" s="83" t="n">
        <f aca="false">R83/M83/1000000</f>
        <v>37.6755142857143</v>
      </c>
      <c r="Y83" s="20" t="n">
        <f aca="false">X83*1000000/(U83+M83*X83*1000000)</f>
        <v>493.641289741552</v>
      </c>
      <c r="Z83" s="51" t="n">
        <f aca="false">SUM(X78:X83)</f>
        <v>228.559061904762</v>
      </c>
      <c r="AA83" s="51" t="n">
        <f aca="false">+R83-Q83</f>
        <v>-261.812</v>
      </c>
      <c r="AB83" s="51" t="n">
        <f aca="false">AB84-AA84</f>
        <v>-14.8030000000001</v>
      </c>
      <c r="AC83" s="51" t="e">
        <f aca="false">IF(MOD(MONTH(B83),6)=0,AB83,NA())</f>
        <v>#N/A</v>
      </c>
      <c r="AD83" s="51"/>
      <c r="AH83" s="51" t="n">
        <v>270.844</v>
      </c>
      <c r="AI83" s="51" t="n">
        <f aca="false">AH83/1.055056+P83</f>
        <v>319.855544274427</v>
      </c>
      <c r="AK83" s="26" t="n">
        <f aca="false">P83</f>
        <v>63.145</v>
      </c>
      <c r="AL83" s="26" t="n">
        <f aca="false">R83</f>
        <v>1318.643</v>
      </c>
      <c r="AM83" s="26" t="n">
        <f aca="false">O83</f>
        <v>1517.31</v>
      </c>
      <c r="AN83" s="51" t="n">
        <v>66565.529</v>
      </c>
      <c r="AO83" s="26" t="n">
        <v>36.773742467</v>
      </c>
      <c r="AP83" s="51" t="n">
        <f aca="false">AO83/AN83*1000000</f>
        <v>552.444230812017</v>
      </c>
      <c r="AQ83" s="50" t="n">
        <f aca="false">M83</f>
        <v>3.5E-005</v>
      </c>
      <c r="AR83" s="75" t="n">
        <f aca="false">AM83/AO83/1000000</f>
        <v>4.12606903243966E-005</v>
      </c>
      <c r="AS83" s="75" t="n">
        <f aca="false">(AM83-AK83)/AO83/1000000</f>
        <v>3.95435683845597E-005</v>
      </c>
      <c r="AT83" s="75" t="n">
        <f aca="false">-AK83/AO83/1000000</f>
        <v>-1.71712193983696E-006</v>
      </c>
      <c r="AU83" s="20" t="n">
        <f aca="false">Y83</f>
        <v>493.641289741552</v>
      </c>
      <c r="AV83" s="20" t="n">
        <f aca="false">AO83*1000000/(AN83+M83*AO83*1000000)</f>
        <v>541.965039729504</v>
      </c>
      <c r="AW83" s="0" t="n">
        <f aca="false">X83/AO83</f>
        <v>1.02452216604072</v>
      </c>
      <c r="AX83" s="75" t="n">
        <f aca="false">(AW83-1)/AU83</f>
        <v>4.96760837278309E-005</v>
      </c>
      <c r="AY83" s="75" t="n">
        <f aca="false">(AW83-1)/AV83</f>
        <v>4.52467673061621E-005</v>
      </c>
      <c r="AZ83" s="26" t="n">
        <f aca="false">AO83/A83</f>
        <v>1.22579141556667</v>
      </c>
    </row>
    <row r="84" customFormat="false" ht="12.75" hidden="false" customHeight="false" outlineLevel="0" collapsed="false">
      <c r="A84" s="0" t="n">
        <f aca="false">DAY((B85-1))</f>
        <v>31</v>
      </c>
      <c r="B84" s="7" t="n">
        <v>36281</v>
      </c>
      <c r="C84" s="51" t="n">
        <v>67000</v>
      </c>
      <c r="D84" s="51" t="n">
        <v>1300</v>
      </c>
      <c r="E84" s="51" t="n">
        <v>1297.914</v>
      </c>
      <c r="F84" s="74" t="n">
        <v>880.578</v>
      </c>
      <c r="G84" s="51" t="n">
        <v>325</v>
      </c>
      <c r="H84" s="51" t="n">
        <f aca="false">E84-F84-G84</f>
        <v>92.336</v>
      </c>
      <c r="I84" s="51" t="n">
        <f aca="false">D84-H84</f>
        <v>1207.664</v>
      </c>
      <c r="J84" s="78" t="n">
        <f aca="false">I84/C84</f>
        <v>0.0180248358208955</v>
      </c>
      <c r="K84" s="0" t="n">
        <v>520</v>
      </c>
      <c r="L84" s="80" t="n">
        <f aca="false">J84/K84</f>
        <v>3.46631458094145E-005</v>
      </c>
      <c r="M84" s="64" t="n">
        <v>3.5E-005</v>
      </c>
      <c r="N84" s="58" t="n">
        <v>9E-006</v>
      </c>
      <c r="O84" s="51" t="n">
        <v>1417.01</v>
      </c>
      <c r="P84" s="51" t="n">
        <v>-73.617</v>
      </c>
      <c r="Q84" s="51" t="n">
        <f aca="false">P84+O84</f>
        <v>1343.393</v>
      </c>
      <c r="R84" s="51" t="n">
        <v>1283.991</v>
      </c>
      <c r="S84" s="51" t="n">
        <v>330.114</v>
      </c>
      <c r="T84" s="89" t="n">
        <f aca="false">R84-S84</f>
        <v>953.877</v>
      </c>
      <c r="U84" s="13" t="n">
        <f aca="false">73742+1007</f>
        <v>74749</v>
      </c>
      <c r="V84" s="1"/>
      <c r="W84" s="2"/>
      <c r="X84" s="83" t="n">
        <f aca="false">R84/M84/1000000</f>
        <v>36.6854571428571</v>
      </c>
      <c r="Y84" s="20" t="n">
        <f aca="false">X84*1000000/(U84+M84*X84*1000000)</f>
        <v>482.49393664991</v>
      </c>
      <c r="Z84" s="51" t="n">
        <f aca="false">SUM(X79:X84)</f>
        <v>225.501873214286</v>
      </c>
      <c r="AA84" s="51" t="n">
        <f aca="false">+R84-Q84</f>
        <v>-59.402</v>
      </c>
      <c r="AB84" s="51" t="n">
        <f aca="false">AB85-AA85</f>
        <v>-74.2050000000002</v>
      </c>
      <c r="AC84" s="51" t="e">
        <f aca="false">IF(MOD(MONTH(B84),6)=0,AB84,NA())</f>
        <v>#N/A</v>
      </c>
      <c r="AD84" s="51"/>
      <c r="AH84" s="51" t="n">
        <v>260.348</v>
      </c>
      <c r="AI84" s="51" t="n">
        <f aca="false">AH84/1.055056+P84</f>
        <v>173.145257169288</v>
      </c>
      <c r="AK84" s="26" t="n">
        <f aca="false">P84</f>
        <v>-73.617</v>
      </c>
      <c r="AL84" s="26" t="n">
        <f aca="false">R84</f>
        <v>1283.991</v>
      </c>
      <c r="AM84" s="26" t="n">
        <f aca="false">O84</f>
        <v>1417.01</v>
      </c>
      <c r="AN84" s="51" t="n">
        <v>63363.238</v>
      </c>
      <c r="AO84" s="26" t="n">
        <v>35.873494198</v>
      </c>
      <c r="AP84" s="51" t="n">
        <f aca="false">AO84/AN84*1000000</f>
        <v>566.156265530496</v>
      </c>
      <c r="AQ84" s="50" t="n">
        <f aca="false">M84</f>
        <v>3.5E-005</v>
      </c>
      <c r="AR84" s="75" t="n">
        <f aca="false">AM84/AO84/1000000</f>
        <v>3.95001945497409E-005</v>
      </c>
      <c r="AS84" s="75" t="n">
        <f aca="false">(AM84-AK84)/AO84/1000000</f>
        <v>4.15523224967337E-005</v>
      </c>
      <c r="AT84" s="75" t="n">
        <f aca="false">-AK84/AO84/1000000</f>
        <v>2.0521279469928E-006</v>
      </c>
      <c r="AU84" s="20" t="n">
        <f aca="false">Y84</f>
        <v>482.49393664991</v>
      </c>
      <c r="AV84" s="20" t="n">
        <f aca="false">AO84*1000000/(AN84+M84*AO84*1000000)</f>
        <v>555.155596848002</v>
      </c>
      <c r="AW84" s="0" t="n">
        <f aca="false">X84/AO84</f>
        <v>1.02263406347805</v>
      </c>
      <c r="AX84" s="75" t="n">
        <f aca="false">(AW84-1)/AU84</f>
        <v>4.69105656232881E-005</v>
      </c>
      <c r="AY84" s="75" t="n">
        <f aca="false">(AW84-1)/AV84</f>
        <v>4.07706661097596E-005</v>
      </c>
      <c r="AZ84" s="26" t="n">
        <f aca="false">AO84/A84</f>
        <v>1.15720949025806</v>
      </c>
    </row>
    <row r="85" customFormat="false" ht="12.75" hidden="false" customHeight="false" outlineLevel="0" collapsed="false">
      <c r="A85" s="0" t="n">
        <f aca="false">DAY((B86-1))</f>
        <v>30</v>
      </c>
      <c r="B85" s="7" t="n">
        <v>36312</v>
      </c>
      <c r="C85" s="51" t="n">
        <v>70000</v>
      </c>
      <c r="D85" s="51" t="n">
        <v>1000</v>
      </c>
      <c r="E85" s="51" t="n">
        <v>1318.643</v>
      </c>
      <c r="F85" s="74" t="n">
        <v>1454.165</v>
      </c>
      <c r="G85" s="51" t="n">
        <v>257.143</v>
      </c>
      <c r="H85" s="51" t="n">
        <f aca="false">E85-F85-G85</f>
        <v>-392.665</v>
      </c>
      <c r="I85" s="51" t="n">
        <f aca="false">D85-H85</f>
        <v>1392.665</v>
      </c>
      <c r="J85" s="78" t="n">
        <f aca="false">I85/C85</f>
        <v>0.0198952142857143</v>
      </c>
      <c r="K85" s="0" t="n">
        <v>520</v>
      </c>
      <c r="L85" s="80" t="n">
        <f aca="false">J85/K85</f>
        <v>3.82600274725275E-005</v>
      </c>
      <c r="M85" s="64" t="n">
        <v>3.8E-005</v>
      </c>
      <c r="N85" s="58" t="n">
        <v>9E-006</v>
      </c>
      <c r="O85" s="51" t="n">
        <v>1059.406</v>
      </c>
      <c r="P85" s="51" t="n">
        <v>-87.925</v>
      </c>
      <c r="Q85" s="51" t="n">
        <f aca="false">P85+O85</f>
        <v>971.481</v>
      </c>
      <c r="R85" s="51" t="n">
        <v>1284.601</v>
      </c>
      <c r="S85" s="51" t="n">
        <v>304.194</v>
      </c>
      <c r="T85" s="89" t="n">
        <f aca="false">R85-S85</f>
        <v>980.407</v>
      </c>
      <c r="U85" s="13" t="n">
        <f aca="false">66138+879</f>
        <v>67017</v>
      </c>
      <c r="V85" s="1"/>
      <c r="W85" s="2"/>
      <c r="X85" s="83" t="n">
        <f aca="false">R85/M85/1000000</f>
        <v>33.8052894736842</v>
      </c>
      <c r="Y85" s="20" t="n">
        <f aca="false">X85*1000000/(U85+M85*X85*1000000)</f>
        <v>494.941391984124</v>
      </c>
      <c r="Z85" s="51" t="n">
        <f aca="false">SUM(X80:X85)</f>
        <v>218.26203768797</v>
      </c>
      <c r="AA85" s="51" t="n">
        <f aca="false">+R85-Q85</f>
        <v>313.12</v>
      </c>
      <c r="AB85" s="51" t="n">
        <f aca="false">AB86-AA86</f>
        <v>238.915</v>
      </c>
      <c r="AC85" s="51" t="n">
        <f aca="false">IF(MOD(MONTH(B85),6)=0,AB85,NA())</f>
        <v>238.915</v>
      </c>
      <c r="AD85" s="51"/>
      <c r="AH85" s="51" t="n">
        <v>219.474</v>
      </c>
      <c r="AI85" s="51" t="n">
        <f aca="false">AH85/1.055056+P85</f>
        <v>120.096185605314</v>
      </c>
      <c r="AK85" s="26" t="n">
        <f aca="false">P85</f>
        <v>-87.925</v>
      </c>
      <c r="AL85" s="26" t="n">
        <f aca="false">R85</f>
        <v>1284.601</v>
      </c>
      <c r="AM85" s="26" t="n">
        <f aca="false">O85</f>
        <v>1059.406</v>
      </c>
      <c r="AN85" s="51" t="n">
        <v>57158.596</v>
      </c>
      <c r="AO85" s="26" t="n">
        <v>33.181924352</v>
      </c>
      <c r="AP85" s="51" t="n">
        <f aca="false">AO85/AN85*1000000</f>
        <v>580.523782494588</v>
      </c>
      <c r="AQ85" s="50" t="n">
        <f aca="false">M85</f>
        <v>3.8E-005</v>
      </c>
      <c r="AR85" s="75" t="n">
        <f aca="false">AM85/AO85/1000000</f>
        <v>3.19272019537392E-005</v>
      </c>
      <c r="AS85" s="75" t="n">
        <f aca="false">(AM85-AK85)/AO85/1000000</f>
        <v>3.4576987995901E-005</v>
      </c>
      <c r="AT85" s="75" t="n">
        <f aca="false">-AK85/AO85/1000000</f>
        <v>2.64978604216185E-006</v>
      </c>
      <c r="AU85" s="20" t="n">
        <f aca="false">Y85</f>
        <v>494.941391984124</v>
      </c>
      <c r="AV85" s="20" t="n">
        <f aca="false">AO85*1000000/(AN85+M85*AO85*1000000)</f>
        <v>567.993891916949</v>
      </c>
      <c r="AW85" s="0" t="n">
        <f aca="false">X85/AO85</f>
        <v>1.01878628602342</v>
      </c>
      <c r="AX85" s="75" t="n">
        <f aca="false">(AW85-1)/AU85</f>
        <v>3.79565870377319E-005</v>
      </c>
      <c r="AY85" s="75" t="n">
        <f aca="false">(AW85-1)/AV85</f>
        <v>3.30748028997616E-005</v>
      </c>
      <c r="AZ85" s="26" t="n">
        <f aca="false">AO85/A85</f>
        <v>1.10606414506667</v>
      </c>
    </row>
    <row r="86" customFormat="false" ht="12.75" hidden="false" customHeight="false" outlineLevel="0" collapsed="false">
      <c r="A86" s="0" t="n">
        <f aca="false">DAY((B87-1))</f>
        <v>31</v>
      </c>
      <c r="B86" s="7" t="n">
        <v>36342</v>
      </c>
      <c r="C86" s="51" t="n">
        <v>79500</v>
      </c>
      <c r="D86" s="51" t="n">
        <v>925</v>
      </c>
      <c r="E86" s="51" t="n">
        <v>1283.991</v>
      </c>
      <c r="F86" s="74" t="n">
        <v>1343.393</v>
      </c>
      <c r="G86" s="51" t="n">
        <v>237.857</v>
      </c>
      <c r="H86" s="51" t="n">
        <f aca="false">E86-F86-G86</f>
        <v>-297.259</v>
      </c>
      <c r="I86" s="51" t="n">
        <f aca="false">D86-H86</f>
        <v>1222.259</v>
      </c>
      <c r="J86" s="78" t="n">
        <f aca="false">I86/C86</f>
        <v>0.0153743270440252</v>
      </c>
      <c r="K86" s="0" t="n">
        <v>520</v>
      </c>
      <c r="L86" s="80" t="n">
        <f aca="false">J86/K86</f>
        <v>2.95660135462022E-005</v>
      </c>
      <c r="M86" s="64" t="n">
        <v>3E-005</v>
      </c>
      <c r="N86" s="58" t="n">
        <v>-1E-006</v>
      </c>
      <c r="O86" s="51" t="n">
        <v>1325.959</v>
      </c>
      <c r="P86" s="92" t="n">
        <v>-99.841</v>
      </c>
      <c r="Q86" s="66" t="n">
        <f aca="false">P86+O86</f>
        <v>1226.118</v>
      </c>
      <c r="R86" s="51" t="n">
        <v>1096.718</v>
      </c>
      <c r="S86" s="51" t="n">
        <v>-36.521</v>
      </c>
      <c r="T86" s="89" t="n">
        <f aca="false">R86-S86</f>
        <v>1133.239</v>
      </c>
      <c r="U86" s="13" t="n">
        <f aca="false">72741+664</f>
        <v>73405</v>
      </c>
      <c r="V86" s="1"/>
      <c r="W86" s="2"/>
      <c r="X86" s="83" t="n">
        <f aca="false">R86/M86/1000000</f>
        <v>36.5572666666667</v>
      </c>
      <c r="Y86" s="20" t="n">
        <f aca="false">X86*1000000/(U86+M86*X86*1000000)</f>
        <v>490.690250480756</v>
      </c>
      <c r="Z86" s="51" t="n">
        <f aca="false">SUM(X81:X86)</f>
        <v>215.72857518797</v>
      </c>
      <c r="AA86" s="51" t="n">
        <f aca="false">+R86-Q86</f>
        <v>-129.4</v>
      </c>
      <c r="AB86" s="51" t="n">
        <f aca="false">AB87-AA87</f>
        <v>109.515</v>
      </c>
      <c r="AC86" s="51" t="e">
        <f aca="false">IF(MOD(MONTH(B86),6)=0,AB86,NA())</f>
        <v>#N/A</v>
      </c>
      <c r="AD86" s="51"/>
      <c r="AH86" s="51" t="n">
        <v>225.621</v>
      </c>
      <c r="AI86" s="51" t="n">
        <f aca="false">AH86/1.055056+P86</f>
        <v>114.006416630018</v>
      </c>
      <c r="AK86" s="26" t="n">
        <f aca="false">P86</f>
        <v>-99.841</v>
      </c>
      <c r="AL86" s="26" t="n">
        <f aca="false">R86</f>
        <v>1096.718</v>
      </c>
      <c r="AM86" s="26" t="n">
        <f aca="false">O86</f>
        <v>1325.959</v>
      </c>
      <c r="AN86" s="51" t="n">
        <v>63284.052</v>
      </c>
      <c r="AO86" s="26" t="n">
        <v>35.86567094</v>
      </c>
      <c r="AP86" s="51" t="n">
        <f aca="false">AO86/AN86*1000000</f>
        <v>566.741063609517</v>
      </c>
      <c r="AQ86" s="50" t="n">
        <f aca="false">M86</f>
        <v>3E-005</v>
      </c>
      <c r="AR86" s="75" t="n">
        <f aca="false">AM86/AO86/1000000</f>
        <v>3.69701434616463E-005</v>
      </c>
      <c r="AS86" s="75" t="n">
        <f aca="false">(AM86-AK86)/AO86/1000000</f>
        <v>3.9753891747494E-005</v>
      </c>
      <c r="AT86" s="75" t="n">
        <f aca="false">-AK86/AO86/1000000</f>
        <v>2.78374828584763E-006</v>
      </c>
      <c r="AU86" s="20" t="n">
        <f aca="false">Y86</f>
        <v>490.690250480756</v>
      </c>
      <c r="AV86" s="20" t="n">
        <f aca="false">AO86*1000000/(AN86+M86*AO86*1000000)</f>
        <v>557.26629286358</v>
      </c>
      <c r="AW86" s="0" t="n">
        <f aca="false">X86/AO86</f>
        <v>1.01928294406715</v>
      </c>
      <c r="AX86" s="75" t="n">
        <f aca="false">(AW86-1)/AU86</f>
        <v>3.92975895654194E-005</v>
      </c>
      <c r="AY86" s="75" t="n">
        <f aca="false">(AW86-1)/AV86</f>
        <v>3.46027461450393E-005</v>
      </c>
      <c r="AZ86" s="26" t="n">
        <f aca="false">AO86/A86</f>
        <v>1.15695712709677</v>
      </c>
    </row>
    <row r="87" customFormat="false" ht="12.75" hidden="false" customHeight="false" outlineLevel="0" collapsed="false">
      <c r="A87" s="0" t="n">
        <f aca="false">DAY((B88-1))</f>
        <v>31</v>
      </c>
      <c r="B87" s="7" t="n">
        <v>36373</v>
      </c>
      <c r="C87" s="51" t="n">
        <v>68000</v>
      </c>
      <c r="D87" s="51" t="n">
        <v>1100</v>
      </c>
      <c r="E87" s="51" t="n">
        <v>1284.601</v>
      </c>
      <c r="F87" s="74" t="n">
        <v>971.481</v>
      </c>
      <c r="G87" s="51" t="n">
        <v>260.526</v>
      </c>
      <c r="H87" s="51" t="n">
        <f aca="false">E87-F87-G87</f>
        <v>52.5940000000001</v>
      </c>
      <c r="I87" s="51" t="n">
        <f aca="false">D87-H87</f>
        <v>1047.406</v>
      </c>
      <c r="J87" s="78" t="n">
        <f aca="false">I87/C87</f>
        <v>0.0154030294117647</v>
      </c>
      <c r="K87" s="0" t="n">
        <v>520</v>
      </c>
      <c r="L87" s="80" t="n">
        <f aca="false">J87/K87</f>
        <v>2.96212104072398E-005</v>
      </c>
      <c r="M87" s="64" t="n">
        <v>3E-005</v>
      </c>
      <c r="N87" s="58" t="n">
        <v>-1E-006</v>
      </c>
      <c r="O87" s="51" t="n">
        <v>1506.546</v>
      </c>
      <c r="P87" s="51" t="n">
        <v>-70.756</v>
      </c>
      <c r="Q87" s="51" t="n">
        <f aca="false">P87+O87</f>
        <v>1435.79</v>
      </c>
      <c r="R87" s="51" t="n">
        <v>1134.819</v>
      </c>
      <c r="S87" s="51" t="n">
        <v>-37.789</v>
      </c>
      <c r="T87" s="89" t="n">
        <f aca="false">R87-S87</f>
        <v>1172.608</v>
      </c>
      <c r="U87" s="13" t="n">
        <f aca="false">76407+1070</f>
        <v>77477</v>
      </c>
      <c r="V87" s="1"/>
      <c r="W87" s="2"/>
      <c r="X87" s="83" t="n">
        <f aca="false">R87/M87/1000000</f>
        <v>37.8273</v>
      </c>
      <c r="Y87" s="20" t="n">
        <f aca="false">X87*1000000/(U87+M87*X87*1000000)</f>
        <v>481.191002589572</v>
      </c>
      <c r="Z87" s="51" t="n">
        <f aca="false">SUM(X82:X87)</f>
        <v>218.603994235589</v>
      </c>
      <c r="AA87" s="51" t="n">
        <f aca="false">+R87-Q87</f>
        <v>-300.971</v>
      </c>
      <c r="AB87" s="51" t="n">
        <f aca="false">AB88-AA88</f>
        <v>-191.456</v>
      </c>
      <c r="AC87" s="51" t="e">
        <f aca="false">IF(MOD(MONTH(B87),6)=0,AB87,NA())</f>
        <v>#N/A</v>
      </c>
      <c r="AD87" s="51"/>
      <c r="AH87" s="51" t="n">
        <v>204.888</v>
      </c>
      <c r="AI87" s="51" t="n">
        <f aca="false">AH87/1.055056+P87</f>
        <v>123.440327019608</v>
      </c>
      <c r="AK87" s="26" t="n">
        <f aca="false">P87</f>
        <v>-70.756</v>
      </c>
      <c r="AL87" s="26" t="n">
        <f aca="false">R87</f>
        <v>1134.819</v>
      </c>
      <c r="AM87" s="26" t="n">
        <f aca="false">O87</f>
        <v>1506.546</v>
      </c>
      <c r="AN87" s="51" t="n">
        <v>65945.43</v>
      </c>
      <c r="AO87" s="26" t="n">
        <v>37.18621863</v>
      </c>
      <c r="AP87" s="51" t="n">
        <f aca="false">AO87/AN87*1000000</f>
        <v>563.89379264037</v>
      </c>
      <c r="AQ87" s="50" t="n">
        <f aca="false">M87</f>
        <v>3E-005</v>
      </c>
      <c r="AR87" s="75" t="n">
        <f aca="false">AM87/AO87/1000000</f>
        <v>4.05135573205229E-005</v>
      </c>
      <c r="AS87" s="75" t="n">
        <f aca="false">(AM87-AK87)/AO87/1000000</f>
        <v>4.2416305236465E-005</v>
      </c>
      <c r="AT87" s="75" t="n">
        <f aca="false">-AK87/AO87/1000000</f>
        <v>1.90274791594211E-006</v>
      </c>
      <c r="AU87" s="20" t="n">
        <f aca="false">Y87</f>
        <v>481.191002589572</v>
      </c>
      <c r="AV87" s="20" t="n">
        <f aca="false">AO87*1000000/(AN87+M87*AO87*1000000)</f>
        <v>554.513196162769</v>
      </c>
      <c r="AW87" s="0" t="n">
        <f aca="false">X87/AO87</f>
        <v>1.01723975692121</v>
      </c>
      <c r="AX87" s="75" t="n">
        <f aca="false">(AW87-1)/AU87</f>
        <v>3.58272636612659E-005</v>
      </c>
      <c r="AY87" s="75" t="n">
        <f aca="false">(AW87-1)/AV87</f>
        <v>3.10898947770849E-005</v>
      </c>
      <c r="AZ87" s="26" t="n">
        <f aca="false">AO87/A87</f>
        <v>1.19955543967742</v>
      </c>
    </row>
    <row r="88" customFormat="false" ht="12.75" hidden="false" customHeight="false" outlineLevel="0" collapsed="false">
      <c r="A88" s="0" t="n">
        <f aca="false">DAY((B89-1))</f>
        <v>30</v>
      </c>
      <c r="B88" s="7" t="n">
        <v>36404</v>
      </c>
      <c r="C88" s="51" t="n">
        <v>70000</v>
      </c>
      <c r="D88" s="51" t="n">
        <v>1410</v>
      </c>
      <c r="E88" s="51" t="n">
        <v>1096.718</v>
      </c>
      <c r="F88" s="74" t="n">
        <v>1181.142</v>
      </c>
      <c r="G88" s="51" t="n">
        <v>-47</v>
      </c>
      <c r="H88" s="51" t="n">
        <f aca="false">E88-F88-G88</f>
        <v>-37.424</v>
      </c>
      <c r="I88" s="51" t="n">
        <f aca="false">D88-H88</f>
        <v>1447.424</v>
      </c>
      <c r="J88" s="78" t="n">
        <f aca="false">I88/C88</f>
        <v>0.0206774857142857</v>
      </c>
      <c r="K88" s="0" t="n">
        <v>520</v>
      </c>
      <c r="L88" s="80" t="n">
        <f aca="false">J88/K88</f>
        <v>3.97643956043956E-005</v>
      </c>
      <c r="M88" s="64" t="n">
        <v>4E-005</v>
      </c>
      <c r="N88" s="58" t="n">
        <v>-1E-006</v>
      </c>
      <c r="O88" s="51" t="n">
        <v>1808.964</v>
      </c>
      <c r="P88" s="92" t="n">
        <v>81.646</v>
      </c>
      <c r="Q88" s="66" t="n">
        <f aca="false">P88+O88</f>
        <v>1890.61</v>
      </c>
      <c r="R88" s="51" t="n">
        <v>1544.004</v>
      </c>
      <c r="S88" s="51" t="n">
        <v>-38.6</v>
      </c>
      <c r="T88" s="89" t="n">
        <f aca="false">R88-S88</f>
        <v>1582.604</v>
      </c>
      <c r="U88" s="13" t="n">
        <f aca="false">75950+1614</f>
        <v>77564</v>
      </c>
      <c r="V88" s="1"/>
      <c r="W88" s="2"/>
      <c r="X88" s="83" t="n">
        <f aca="false">R88/M88/1000000</f>
        <v>38.6001</v>
      </c>
      <c r="Y88" s="20" t="n">
        <f aca="false">X88*1000000/(U88+M88*X88*1000000)</f>
        <v>487.941776409881</v>
      </c>
      <c r="Z88" s="51" t="n">
        <f aca="false">SUM(X83:X88)</f>
        <v>221.150927568922</v>
      </c>
      <c r="AA88" s="51" t="n">
        <f aca="false">+R88-Q88</f>
        <v>-346.606</v>
      </c>
      <c r="AB88" s="51" t="n">
        <f aca="false">AB89-AA89</f>
        <v>-538.062</v>
      </c>
      <c r="AC88" s="51" t="e">
        <f aca="false">IF(MOD(MONTH(B88),6)=0,AB88,NA())</f>
        <v>#N/A</v>
      </c>
      <c r="AD88" s="51"/>
      <c r="AH88" s="51" t="n">
        <v>170.767</v>
      </c>
      <c r="AI88" s="51" t="n">
        <f aca="false">AH88/1.055056+P88</f>
        <v>243.501863575014</v>
      </c>
      <c r="AK88" s="26" t="n">
        <f aca="false">P88</f>
        <v>81.646</v>
      </c>
      <c r="AL88" s="26" t="n">
        <f aca="false">R88</f>
        <v>1544.004</v>
      </c>
      <c r="AM88" s="26" t="n">
        <f aca="false">O88</f>
        <v>1808.964</v>
      </c>
      <c r="AN88" s="51" t="n">
        <v>67190.941</v>
      </c>
      <c r="AO88" s="26" t="n">
        <v>37.594505313</v>
      </c>
      <c r="AP88" s="51" t="n">
        <f aca="false">AO88/AN88*1000000</f>
        <v>559.517469966673</v>
      </c>
      <c r="AQ88" s="50" t="n">
        <f aca="false">M88</f>
        <v>4E-005</v>
      </c>
      <c r="AR88" s="75" t="n">
        <f aca="false">AM88/AO88/1000000</f>
        <v>4.81177763861803E-005</v>
      </c>
      <c r="AS88" s="75" t="n">
        <f aca="false">(AM88-AK88)/AO88/1000000</f>
        <v>4.59460228461286E-005</v>
      </c>
      <c r="AT88" s="75" t="n">
        <f aca="false">-AK88/AO88/1000000</f>
        <v>-2.17175354005169E-006</v>
      </c>
      <c r="AU88" s="20" t="n">
        <f aca="false">Y88</f>
        <v>487.941776409881</v>
      </c>
      <c r="AV88" s="20" t="n">
        <f aca="false">AO88*1000000/(AN88+M88*AO88*1000000)</f>
        <v>547.269202777523</v>
      </c>
      <c r="AW88" s="0" t="n">
        <f aca="false">X88/AO88</f>
        <v>1.02674844844021</v>
      </c>
      <c r="AX88" s="75" t="n">
        <f aca="false">(AW88-1)/AU88</f>
        <v>5.48189348266442E-005</v>
      </c>
      <c r="AY88" s="75" t="n">
        <f aca="false">(AW88-1)/AV88</f>
        <v>4.88762172335945E-005</v>
      </c>
      <c r="AZ88" s="26" t="n">
        <f aca="false">AO88/A88</f>
        <v>1.2531501771</v>
      </c>
    </row>
    <row r="89" customFormat="false" ht="12.75" hidden="false" customHeight="false" outlineLevel="0" collapsed="false">
      <c r="A89" s="0" t="n">
        <f aca="false">DAY((B90-1))</f>
        <v>31</v>
      </c>
      <c r="B89" s="7" t="n">
        <v>36434</v>
      </c>
      <c r="C89" s="51" t="n">
        <v>71125</v>
      </c>
      <c r="D89" s="51" t="n">
        <v>1210</v>
      </c>
      <c r="E89" s="51" t="n">
        <v>1134.819</v>
      </c>
      <c r="F89" s="74" t="n">
        <v>1435.79</v>
      </c>
      <c r="G89" s="51" t="n">
        <v>-40.333</v>
      </c>
      <c r="H89" s="51" t="n">
        <f aca="false">E89-F89-G89</f>
        <v>-260.638</v>
      </c>
      <c r="I89" s="51" t="n">
        <f aca="false">D89-H89</f>
        <v>1470.638</v>
      </c>
      <c r="J89" s="78" t="n">
        <f aca="false">I89/C89</f>
        <v>0.0206768084358524</v>
      </c>
      <c r="K89" s="0" t="n">
        <v>520</v>
      </c>
      <c r="L89" s="80" t="n">
        <f aca="false">J89/K89</f>
        <v>3.976309314587E-005</v>
      </c>
      <c r="M89" s="64" t="n">
        <v>4E-005</v>
      </c>
      <c r="N89" s="58" t="n">
        <v>-1E-006</v>
      </c>
      <c r="O89" s="51" t="n">
        <v>1919.318</v>
      </c>
      <c r="P89" s="51" t="n">
        <v>224.085</v>
      </c>
      <c r="Q89" s="51" t="n">
        <f aca="false">P89+O89</f>
        <v>2143.403</v>
      </c>
      <c r="R89" s="51" t="n">
        <v>1594.875</v>
      </c>
      <c r="S89" s="51" t="n">
        <v>-39.872</v>
      </c>
      <c r="T89" s="89" t="n">
        <f aca="false">R89-S89</f>
        <v>1634.747</v>
      </c>
      <c r="U89" s="13" t="n">
        <f aca="false">80725+1097</f>
        <v>81822</v>
      </c>
      <c r="V89" s="1"/>
      <c r="W89" s="2"/>
      <c r="X89" s="83" t="n">
        <f aca="false">R89/M89/1000000</f>
        <v>39.871875</v>
      </c>
      <c r="Y89" s="20" t="n">
        <f aca="false">X89*1000000/(U89+M89*X89*1000000)</f>
        <v>477.983321719976</v>
      </c>
      <c r="Z89" s="51" t="n">
        <f aca="false">SUM(X84:X89)</f>
        <v>223.347288283208</v>
      </c>
      <c r="AA89" s="51" t="n">
        <f aca="false">+R89-Q89</f>
        <v>-548.528</v>
      </c>
      <c r="AB89" s="51" t="n">
        <f aca="false">AB90-AA90</f>
        <v>-1086.59</v>
      </c>
      <c r="AC89" s="51" t="e">
        <f aca="false">IF(MOD(MONTH(B89),6)=0,AB89,NA())</f>
        <v>#N/A</v>
      </c>
      <c r="AD89" s="51"/>
      <c r="AH89" s="51" t="n">
        <v>187.973</v>
      </c>
      <c r="AI89" s="51" t="n">
        <f aca="false">AH89/1.055056+P89</f>
        <v>402.249002669053</v>
      </c>
      <c r="AK89" s="26" t="n">
        <f aca="false">P89</f>
        <v>224.085</v>
      </c>
      <c r="AL89" s="26" t="n">
        <f aca="false">R89</f>
        <v>1594.875</v>
      </c>
      <c r="AM89" s="26" t="n">
        <f aca="false">O89</f>
        <v>1919.318</v>
      </c>
      <c r="AN89" s="51" t="n">
        <v>69824.066</v>
      </c>
      <c r="AO89" s="26" t="n">
        <v>38.730142853</v>
      </c>
      <c r="AP89" s="51" t="n">
        <f aca="false">AO89/AN89*1000000</f>
        <v>554.681860735523</v>
      </c>
      <c r="AQ89" s="50" t="n">
        <f aca="false">M89</f>
        <v>4E-005</v>
      </c>
      <c r="AR89" s="75" t="n">
        <f aca="false">AM89/AO89/1000000</f>
        <v>4.95561817906213E-005</v>
      </c>
      <c r="AS89" s="75" t="n">
        <f aca="false">(AM89-AK89)/AO89/1000000</f>
        <v>4.37703781892632E-005</v>
      </c>
      <c r="AT89" s="75" t="n">
        <f aca="false">-AK89/AO89/1000000</f>
        <v>-5.78580360135807E-006</v>
      </c>
      <c r="AU89" s="20" t="n">
        <f aca="false">Y89</f>
        <v>477.983321719976</v>
      </c>
      <c r="AV89" s="20" t="n">
        <f aca="false">AO89*1000000/(AN89+M89*AO89*1000000)</f>
        <v>542.642111295255</v>
      </c>
      <c r="AW89" s="0" t="n">
        <f aca="false">X89/AO89</f>
        <v>1.02947916178191</v>
      </c>
      <c r="AX89" s="75" t="n">
        <f aca="false">(AW89-1)/AU89</f>
        <v>6.16740384911978E-005</v>
      </c>
      <c r="AY89" s="75" t="n">
        <f aca="false">(AW89-1)/AV89</f>
        <v>5.43252378838482E-005</v>
      </c>
      <c r="AZ89" s="26" t="n">
        <f aca="false">AO89/A89</f>
        <v>1.24935944687097</v>
      </c>
    </row>
    <row r="90" customFormat="false" ht="12.75" hidden="false" customHeight="false" outlineLevel="0" collapsed="false">
      <c r="A90" s="0" t="n">
        <f aca="false">DAY((B91-1))</f>
        <v>30</v>
      </c>
      <c r="B90" s="7" t="n">
        <v>36465</v>
      </c>
      <c r="C90" s="51" t="n">
        <v>72500</v>
      </c>
      <c r="D90" s="51" t="n">
        <v>1300</v>
      </c>
      <c r="E90" s="51" t="n">
        <v>1544.004</v>
      </c>
      <c r="F90" s="74" t="n">
        <v>1795.828</v>
      </c>
      <c r="G90" s="51" t="n">
        <v>-32.5</v>
      </c>
      <c r="H90" s="51" t="n">
        <f aca="false">E90-F90-G90</f>
        <v>-219.324</v>
      </c>
      <c r="I90" s="51" t="n">
        <f aca="false">D90-H90</f>
        <v>1519.324</v>
      </c>
      <c r="J90" s="78" t="n">
        <f aca="false">I90/C90</f>
        <v>0.0209561931034483</v>
      </c>
      <c r="K90" s="0" t="n">
        <v>520</v>
      </c>
      <c r="L90" s="88" t="n">
        <f aca="false">J90/K90</f>
        <v>4.03003713527852E-005</v>
      </c>
      <c r="M90" s="64" t="n">
        <v>4E-005</v>
      </c>
      <c r="N90" s="58" t="n">
        <v>-1E-006</v>
      </c>
      <c r="O90" s="51" t="n">
        <v>1659.502</v>
      </c>
      <c r="P90" s="51" t="n">
        <v>0.934</v>
      </c>
      <c r="Q90" s="51" t="n">
        <f aca="false">P90+O90</f>
        <v>1660.436</v>
      </c>
      <c r="R90" s="51" t="n">
        <v>1542.469</v>
      </c>
      <c r="S90" s="51" t="n">
        <v>-38.562</v>
      </c>
      <c r="T90" s="89" t="n">
        <f aca="false">R90-S90</f>
        <v>1581.031</v>
      </c>
      <c r="U90" s="13" t="n">
        <f aca="false">76466+1570</f>
        <v>78036</v>
      </c>
      <c r="V90" s="1"/>
      <c r="W90" s="2"/>
      <c r="X90" s="83" t="n">
        <f aca="false">R90/M90/1000000</f>
        <v>38.561725</v>
      </c>
      <c r="Y90" s="20" t="n">
        <f aca="false">X90*1000000/(U90+M90*X90*1000000)</f>
        <v>484.574854034953</v>
      </c>
      <c r="Z90" s="51" t="n">
        <f aca="false">SUM(X85:X90)</f>
        <v>225.223556140351</v>
      </c>
      <c r="AA90" s="51" t="n">
        <f aca="false">+R90-Q90</f>
        <v>-117.967</v>
      </c>
      <c r="AB90" s="51" t="n">
        <f aca="false">AB91-AA91</f>
        <v>-1204.557</v>
      </c>
      <c r="AC90" s="51" t="e">
        <f aca="false">IF(MOD(MONTH(B90),6)=0,AB90,NA())</f>
        <v>#N/A</v>
      </c>
      <c r="AD90" s="51"/>
      <c r="AH90" s="51" t="n">
        <v>246.006</v>
      </c>
      <c r="AI90" s="51" t="n">
        <f aca="false">AH90/1.055056+P90</f>
        <v>234.102665928633</v>
      </c>
      <c r="AK90" s="26" t="n">
        <f aca="false">P90</f>
        <v>0.934</v>
      </c>
      <c r="AL90" s="26" t="n">
        <f aca="false">R90</f>
        <v>1542.469</v>
      </c>
      <c r="AM90" s="26" t="n">
        <f aca="false">O90</f>
        <v>1659.502</v>
      </c>
      <c r="AN90" s="51" t="n">
        <v>71181.736</v>
      </c>
      <c r="AO90" s="26" t="n">
        <v>37.734274574</v>
      </c>
      <c r="AP90" s="51" t="n">
        <f aca="false">AO90/AN90*1000000</f>
        <v>530.111749086872</v>
      </c>
      <c r="AQ90" s="50" t="n">
        <f aca="false">M90</f>
        <v>4E-005</v>
      </c>
      <c r="AR90" s="75" t="n">
        <f aca="false">AM90/AO90/1000000</f>
        <v>4.39786379554106E-005</v>
      </c>
      <c r="AS90" s="75" t="n">
        <f aca="false">(AM90-AK90)/AO90/1000000</f>
        <v>4.3953885922662E-005</v>
      </c>
      <c r="AT90" s="75" t="n">
        <f aca="false">-AK90/AO90/1000000</f>
        <v>-2.47520327485917E-008</v>
      </c>
      <c r="AU90" s="20" t="n">
        <f aca="false">Y90</f>
        <v>484.574854034953</v>
      </c>
      <c r="AV90" s="20" t="n">
        <f aca="false">AO90*1000000/(AN90+M90*AO90*1000000)</f>
        <v>519.104415108791</v>
      </c>
      <c r="AW90" s="0" t="n">
        <f aca="false">X90/AO90</f>
        <v>1.0219283512229</v>
      </c>
      <c r="AX90" s="75" t="n">
        <f aca="false">(AW90-1)/AU90</f>
        <v>4.52527634075661E-005</v>
      </c>
      <c r="AY90" s="75" t="n">
        <f aca="false">(AW90-1)/AV90</f>
        <v>4.2242659828474E-005</v>
      </c>
      <c r="AZ90" s="26" t="n">
        <f aca="false">AO90/A90</f>
        <v>1.25780915246667</v>
      </c>
    </row>
    <row r="91" customFormat="false" ht="12.75" hidden="false" customHeight="false" outlineLevel="0" collapsed="false">
      <c r="A91" s="0" t="n">
        <f aca="false">DAY((B92-1))</f>
        <v>31</v>
      </c>
      <c r="B91" s="7" t="n">
        <v>36495</v>
      </c>
      <c r="C91" s="51" t="n">
        <v>83000</v>
      </c>
      <c r="D91" s="51" t="n">
        <v>1225</v>
      </c>
      <c r="E91" s="51" t="n">
        <v>1594.875</v>
      </c>
      <c r="F91" s="74" t="n">
        <v>2143.383</v>
      </c>
      <c r="G91" s="51" t="n">
        <v>-30.625</v>
      </c>
      <c r="H91" s="51" t="n">
        <f aca="false">E91-F91-G91</f>
        <v>-517.883</v>
      </c>
      <c r="I91" s="51" t="n">
        <f aca="false">D91-H91</f>
        <v>1742.883</v>
      </c>
      <c r="J91" s="78" t="n">
        <f aca="false">I91/C91</f>
        <v>0.0209985903614458</v>
      </c>
      <c r="K91" s="0" t="n">
        <v>520</v>
      </c>
      <c r="L91" s="88" t="n">
        <f aca="false">J91/K91</f>
        <v>4.03819045412419E-005</v>
      </c>
      <c r="M91" s="64" t="n">
        <v>4E-005</v>
      </c>
      <c r="N91" s="58" t="n">
        <v>-1E-006</v>
      </c>
      <c r="O91" s="51" t="n">
        <v>1933.872</v>
      </c>
      <c r="P91" s="51" t="n">
        <v>-94.383</v>
      </c>
      <c r="Q91" s="51" t="n">
        <f aca="false">P91+O91</f>
        <v>1839.489</v>
      </c>
      <c r="R91" s="51" t="n">
        <v>1647.16</v>
      </c>
      <c r="S91" s="51" t="n">
        <v>-41.179</v>
      </c>
      <c r="T91" s="89" t="n">
        <f aca="false">R91-S91</f>
        <v>1688.339</v>
      </c>
      <c r="U91" s="13" t="n">
        <f aca="false">83100+614</f>
        <v>83714</v>
      </c>
      <c r="V91" s="1"/>
      <c r="W91" s="2"/>
      <c r="X91" s="83" t="n">
        <f aca="false">R91/M91/1000000</f>
        <v>41.179</v>
      </c>
      <c r="Y91" s="20" t="n">
        <f aca="false">X91*1000000/(U91+M91*X91*1000000)</f>
        <v>482.409095658962</v>
      </c>
      <c r="Z91" s="51" t="n">
        <f aca="false">SUM(X86:X91)</f>
        <v>232.597266666667</v>
      </c>
      <c r="AA91" s="51" t="n">
        <f aca="false">+R91-Q91</f>
        <v>-192.329</v>
      </c>
      <c r="AB91" s="51" t="n">
        <f aca="false">AB92-AA92</f>
        <v>-1396.886</v>
      </c>
      <c r="AC91" s="51" t="n">
        <f aca="false">IF(MOD(MONTH(B91),6)=0,AB91,NA())</f>
        <v>-1396.886</v>
      </c>
      <c r="AD91" s="51"/>
      <c r="AH91" s="51" t="n">
        <v>324.414</v>
      </c>
      <c r="AI91" s="51" t="n">
        <f aca="false">AH91/1.055056+P91</f>
        <v>213.10210031695</v>
      </c>
      <c r="AK91" s="26" t="n">
        <f aca="false">P91</f>
        <v>-94.383</v>
      </c>
      <c r="AL91" s="26" t="n">
        <f aca="false">R91</f>
        <v>1647.16</v>
      </c>
      <c r="AM91" s="26" t="n">
        <f aca="false">O91</f>
        <v>1933.872</v>
      </c>
      <c r="AN91" s="51" t="n">
        <v>78265.972</v>
      </c>
      <c r="AO91" s="26" t="n">
        <v>40.36966232</v>
      </c>
      <c r="AP91" s="51" t="n">
        <f aca="false">AO91/AN91*1000000</f>
        <v>515.800945013498</v>
      </c>
      <c r="AQ91" s="50" t="n">
        <f aca="false">M91</f>
        <v>4E-005</v>
      </c>
      <c r="AR91" s="75" t="n">
        <f aca="false">AM91/AO91/1000000</f>
        <v>4.79040915594164E-005</v>
      </c>
      <c r="AS91" s="75" t="n">
        <f aca="false">(AM91-AK91)/AO91/1000000</f>
        <v>5.02420600876604E-005</v>
      </c>
      <c r="AT91" s="75" t="n">
        <f aca="false">-AK91/AO91/1000000</f>
        <v>2.33796852824406E-006</v>
      </c>
      <c r="AU91" s="20" t="n">
        <f aca="false">Y91</f>
        <v>482.409095658962</v>
      </c>
      <c r="AV91" s="20" t="n">
        <f aca="false">AO91*1000000/(AN91+M91*AO91*1000000)</f>
        <v>505.374048540597</v>
      </c>
      <c r="AW91" s="0" t="n">
        <f aca="false">X91/AO91</f>
        <v>1.02004816571376</v>
      </c>
      <c r="AX91" s="75" t="n">
        <f aca="false">(AW91-1)/AU91</f>
        <v>4.15584322397096E-005</v>
      </c>
      <c r="AY91" s="75" t="n">
        <f aca="false">(AW91-1)/AV91</f>
        <v>3.96699549010421E-005</v>
      </c>
      <c r="AZ91" s="26" t="n">
        <f aca="false">AO91/A91</f>
        <v>1.3022471716129</v>
      </c>
    </row>
    <row r="92" customFormat="false" ht="12.75" hidden="false" customHeight="false" outlineLevel="0" collapsed="false">
      <c r="A92" s="0" t="n">
        <f aca="false">DAY((B93-1))</f>
        <v>31</v>
      </c>
      <c r="B92" s="7" t="n">
        <v>36526</v>
      </c>
      <c r="C92" s="93" t="n">
        <v>78000</v>
      </c>
      <c r="D92" s="93" t="n">
        <v>1800</v>
      </c>
      <c r="E92" s="51" t="n">
        <v>1542.469</v>
      </c>
      <c r="F92" s="74" t="n">
        <v>1660.436</v>
      </c>
      <c r="G92" s="51" t="n">
        <v>-45</v>
      </c>
      <c r="H92" s="51" t="n">
        <f aca="false">E92-F92-G92</f>
        <v>-72.9669999999999</v>
      </c>
      <c r="I92" s="51" t="n">
        <f aca="false">D92-H92</f>
        <v>1872.967</v>
      </c>
      <c r="J92" s="78" t="n">
        <f aca="false">I92/C92</f>
        <v>0.0240123974358974</v>
      </c>
      <c r="K92" s="0" t="n">
        <v>520</v>
      </c>
      <c r="L92" s="88" t="n">
        <f aca="false">J92/K92</f>
        <v>4.61776873767258E-005</v>
      </c>
      <c r="M92" s="64" t="n">
        <v>4.6E-005</v>
      </c>
      <c r="N92" s="58" t="n">
        <v>5E-006</v>
      </c>
      <c r="O92" s="51" t="n">
        <v>1783.065</v>
      </c>
      <c r="P92" s="51" t="n">
        <v>-178.281</v>
      </c>
      <c r="Q92" s="51" t="n">
        <f aca="false">P92+O92</f>
        <v>1604.784</v>
      </c>
      <c r="R92" s="51" t="n">
        <v>1872.09</v>
      </c>
      <c r="S92" s="51" t="n">
        <v>203.496</v>
      </c>
      <c r="T92" s="89" t="n">
        <f aca="false">R92-S92</f>
        <v>1668.594</v>
      </c>
      <c r="U92" s="13" t="n">
        <f aca="false">81426+939</f>
        <v>82365</v>
      </c>
      <c r="V92" s="1"/>
      <c r="W92" s="2"/>
      <c r="X92" s="83" t="n">
        <f aca="false">R92/M92/1000000</f>
        <v>40.6976086956522</v>
      </c>
      <c r="Y92" s="20" t="n">
        <f aca="false">X92*1000000/(U92+M92*X92*1000000)</f>
        <v>483.131702384925</v>
      </c>
      <c r="Z92" s="51" t="n">
        <f aca="false">SUM(X87:X92)</f>
        <v>236.737608695652</v>
      </c>
      <c r="AA92" s="51" t="n">
        <f aca="false">+R92-Q92</f>
        <v>267.306</v>
      </c>
      <c r="AB92" s="51" t="n">
        <f aca="false">AB93-AA93</f>
        <v>-1129.58</v>
      </c>
      <c r="AC92" s="51" t="e">
        <f aca="false">IF(MOD(MONTH(B92),6)=0,AB92,NA())</f>
        <v>#N/A</v>
      </c>
      <c r="AD92" s="51"/>
      <c r="AH92" s="51" t="n">
        <v>387.281</v>
      </c>
      <c r="AI92" s="51" t="n">
        <f aca="false">AH92/1.055056+P92</f>
        <v>188.790510896104</v>
      </c>
      <c r="AK92" s="26" t="n">
        <f aca="false">P92</f>
        <v>-178.281</v>
      </c>
      <c r="AL92" s="26" t="n">
        <f aca="false">R92</f>
        <v>1872.09</v>
      </c>
      <c r="AM92" s="26" t="n">
        <f aca="false">O92</f>
        <v>1783.065</v>
      </c>
      <c r="AN92" s="51" t="n">
        <v>78146.507</v>
      </c>
      <c r="AO92" s="26" t="n">
        <v>39.723552884</v>
      </c>
      <c r="AP92" s="51" t="n">
        <f aca="false">AO92/AN92*1000000</f>
        <v>508.321541281429</v>
      </c>
      <c r="AQ92" s="50" t="n">
        <f aca="false">M92</f>
        <v>4.6E-005</v>
      </c>
      <c r="AR92" s="75" t="n">
        <f aca="false">AM92/AO92/1000000</f>
        <v>4.48868459779233E-005</v>
      </c>
      <c r="AS92" s="75" t="n">
        <f aca="false">(AM92-AK92)/AO92/1000000</f>
        <v>4.9374888639178E-005</v>
      </c>
      <c r="AT92" s="75" t="n">
        <f aca="false">-AK92/AO92/1000000</f>
        <v>4.48804266125472E-006</v>
      </c>
      <c r="AU92" s="20" t="n">
        <f aca="false">Y92</f>
        <v>483.131702384925</v>
      </c>
      <c r="AV92" s="20" t="n">
        <f aca="false">AO92*1000000/(AN92+M92*AO92*1000000)</f>
        <v>496.70714204107</v>
      </c>
      <c r="AW92" s="0" t="n">
        <f aca="false">X92/AO92</f>
        <v>1.02452086334011</v>
      </c>
      <c r="AX92" s="75" t="n">
        <f aca="false">(AW92-1)/AU92</f>
        <v>5.07539936192653E-005</v>
      </c>
      <c r="AY92" s="75" t="n">
        <f aca="false">(AW92-1)/AV92</f>
        <v>4.93668426818831E-005</v>
      </c>
      <c r="AZ92" s="26" t="n">
        <f aca="false">AO92/A92</f>
        <v>1.28140493174194</v>
      </c>
    </row>
    <row r="93" customFormat="false" ht="12.75" hidden="false" customHeight="false" outlineLevel="0" collapsed="false">
      <c r="A93" s="0" t="n">
        <f aca="false">DAY((B94-1))</f>
        <v>29</v>
      </c>
      <c r="B93" s="7" t="n">
        <v>36557</v>
      </c>
      <c r="C93" s="51" t="n">
        <v>74500</v>
      </c>
      <c r="D93" s="51" t="n">
        <v>1635</v>
      </c>
      <c r="E93" s="51" t="n">
        <v>1647.16</v>
      </c>
      <c r="F93" s="74" t="n">
        <v>1839.489</v>
      </c>
      <c r="G93" s="51" t="n">
        <v>-40.875</v>
      </c>
      <c r="H93" s="51" t="n">
        <f aca="false">E93-F93-G93</f>
        <v>-151.454</v>
      </c>
      <c r="I93" s="51" t="n">
        <f aca="false">D93-H93</f>
        <v>1786.454</v>
      </c>
      <c r="J93" s="78" t="n">
        <f aca="false">I93/C93</f>
        <v>0.0239792483221477</v>
      </c>
      <c r="K93" s="0" t="n">
        <v>520</v>
      </c>
      <c r="L93" s="88" t="n">
        <f aca="false">J93/K93</f>
        <v>4.61139390810532E-005</v>
      </c>
      <c r="M93" s="64" t="n">
        <v>4.6E-005</v>
      </c>
      <c r="N93" s="58" t="n">
        <v>5E-006</v>
      </c>
      <c r="O93" s="51" t="n">
        <v>1483.834</v>
      </c>
      <c r="P93" s="51" t="n">
        <v>-101.388</v>
      </c>
      <c r="Q93" s="51" t="n">
        <f aca="false">P93+O93</f>
        <v>1382.446</v>
      </c>
      <c r="R93" s="51" t="n">
        <v>1765.445</v>
      </c>
      <c r="S93" s="51" t="n">
        <v>191.904</v>
      </c>
      <c r="T93" s="89" t="n">
        <f aca="false">R93-S93</f>
        <v>1573.541</v>
      </c>
      <c r="U93" s="13" t="n">
        <f aca="false">76940+1328</f>
        <v>78268</v>
      </c>
      <c r="V93" s="1"/>
      <c r="W93" s="2"/>
      <c r="X93" s="83" t="n">
        <f aca="false">R93/M93/1000000</f>
        <v>38.3792391304348</v>
      </c>
      <c r="Y93" s="20" t="n">
        <f aca="false">X93*1000000/(U93+M93*X93*1000000)</f>
        <v>479.540011434404</v>
      </c>
      <c r="Z93" s="51" t="n">
        <f aca="false">SUM(X88:X93)</f>
        <v>237.289547826087</v>
      </c>
      <c r="AA93" s="51" t="n">
        <f aca="false">+R93-Q93</f>
        <v>382.999</v>
      </c>
      <c r="AB93" s="51" t="n">
        <f aca="false">AB94-AA94</f>
        <v>-746.581</v>
      </c>
      <c r="AC93" s="51" t="e">
        <f aca="false">IF(MOD(MONTH(B93),6)=0,AB93,NA())</f>
        <v>#N/A</v>
      </c>
      <c r="AD93" s="51"/>
      <c r="AH93" s="51" t="n">
        <v>314.413</v>
      </c>
      <c r="AI93" s="51" t="n">
        <f aca="false">AH93/1.055056+P93</f>
        <v>196.617982620828</v>
      </c>
      <c r="AK93" s="26" t="n">
        <f aca="false">P93</f>
        <v>-101.388</v>
      </c>
      <c r="AL93" s="26" t="n">
        <f aca="false">R93</f>
        <v>1765.445</v>
      </c>
      <c r="AM93" s="26" t="n">
        <f aca="false">O93</f>
        <v>1483.834</v>
      </c>
      <c r="AN93" s="51" t="n">
        <v>71984.678</v>
      </c>
      <c r="AO93" s="26" t="n">
        <v>37.448161821</v>
      </c>
      <c r="AP93" s="51" t="n">
        <f aca="false">AO93/AN93*1000000</f>
        <v>520.224065196207</v>
      </c>
      <c r="AQ93" s="50" t="n">
        <f aca="false">M93</f>
        <v>4.6E-005</v>
      </c>
      <c r="AR93" s="75" t="n">
        <f aca="false">AM93/AO93/1000000</f>
        <v>3.96236805184895E-005</v>
      </c>
      <c r="AS93" s="75" t="n">
        <f aca="false">(AM93-AK93)/AO93/1000000</f>
        <v>4.23311031280325E-005</v>
      </c>
      <c r="AT93" s="75" t="n">
        <f aca="false">-AK93/AO93/1000000</f>
        <v>2.70742260954299E-006</v>
      </c>
      <c r="AU93" s="20" t="n">
        <f aca="false">Y93</f>
        <v>479.540011434404</v>
      </c>
      <c r="AV93" s="20" t="n">
        <f aca="false">AO93*1000000/(AN93+M93*AO93*1000000)</f>
        <v>508.065892414983</v>
      </c>
      <c r="AW93" s="0" t="n">
        <f aca="false">X93/AO93</f>
        <v>1.02486309779063</v>
      </c>
      <c r="AX93" s="75" t="n">
        <f aca="false">(AW93-1)/AU93</f>
        <v>5.18478066434064E-005</v>
      </c>
      <c r="AY93" s="75" t="n">
        <f aca="false">(AW93-1)/AV93</f>
        <v>4.893675832567E-005</v>
      </c>
      <c r="AZ93" s="26" t="n">
        <f aca="false">AO93/A93</f>
        <v>1.29131592486207</v>
      </c>
    </row>
    <row r="94" customFormat="false" ht="12.75" hidden="false" customHeight="false" outlineLevel="0" collapsed="false">
      <c r="A94" s="0" t="n">
        <f aca="false">DAY((B95-1))</f>
        <v>31</v>
      </c>
      <c r="B94" s="7" t="n">
        <v>36586</v>
      </c>
      <c r="C94" s="51" t="n">
        <v>70000</v>
      </c>
      <c r="D94" s="51" t="n">
        <v>1350</v>
      </c>
      <c r="E94" s="51" t="n">
        <v>1872.09</v>
      </c>
      <c r="F94" s="51" t="n">
        <v>1604.784</v>
      </c>
      <c r="G94" s="51" t="n">
        <v>146.739</v>
      </c>
      <c r="H94" s="51" t="n">
        <f aca="false">E94-F94-G94</f>
        <v>120.567</v>
      </c>
      <c r="I94" s="51" t="n">
        <f aca="false">D94-H94</f>
        <v>1229.433</v>
      </c>
      <c r="J94" s="78" t="n">
        <f aca="false">I94/C94</f>
        <v>0.0175633285714286</v>
      </c>
      <c r="K94" s="0" t="n">
        <v>520</v>
      </c>
      <c r="L94" s="80" t="n">
        <f aca="false">J94/K94</f>
        <v>3.37756318681319E-005</v>
      </c>
      <c r="M94" s="64" t="n">
        <v>3.4E-005</v>
      </c>
      <c r="N94" s="58" t="n">
        <v>5E-006</v>
      </c>
      <c r="O94" s="51" t="n">
        <v>1468.965</v>
      </c>
      <c r="P94" s="51" t="n">
        <v>132.413</v>
      </c>
      <c r="Q94" s="51" t="n">
        <f aca="false">P94+O94</f>
        <v>1601.378</v>
      </c>
      <c r="R94" s="51" t="n">
        <v>1348.708</v>
      </c>
      <c r="S94" s="51" t="n">
        <v>198.395</v>
      </c>
      <c r="T94" s="89" t="n">
        <f aca="false">R94-S94</f>
        <v>1150.313</v>
      </c>
      <c r="U94" s="13" t="n">
        <f aca="false">78399+1632</f>
        <v>80031</v>
      </c>
      <c r="V94" s="1"/>
      <c r="W94" s="2"/>
      <c r="X94" s="83" t="n">
        <f aca="false">R94/M94/1000000</f>
        <v>39.6678823529412</v>
      </c>
      <c r="Y94" s="20" t="n">
        <f aca="false">X94*1000000/(U94+M94*X94*1000000)</f>
        <v>487.441935192753</v>
      </c>
      <c r="Z94" s="51" t="n">
        <f aca="false">SUM(X89:X94)</f>
        <v>238.357330179028</v>
      </c>
      <c r="AA94" s="51" t="n">
        <f aca="false">+R94-Q94</f>
        <v>-252.67</v>
      </c>
      <c r="AB94" s="51" t="n">
        <f aca="false">AB95-AA95</f>
        <v>-999.251</v>
      </c>
      <c r="AC94" s="51" t="e">
        <f aca="false">IF(MOD(MONTH(B94),6)=0,AB94,NA())</f>
        <v>#N/A</v>
      </c>
      <c r="AD94" s="51"/>
      <c r="AH94" s="51" t="n">
        <v>-9.723</v>
      </c>
      <c r="AI94" s="51" t="n">
        <f aca="false">AH94/1.055056+P94</f>
        <v>123.197375426518</v>
      </c>
      <c r="AK94" s="26" t="n">
        <f aca="false">P94</f>
        <v>132.413</v>
      </c>
      <c r="AL94" s="26" t="n">
        <f aca="false">R94</f>
        <v>1348.708</v>
      </c>
      <c r="AM94" s="26" t="n">
        <f aca="false">O94</f>
        <v>1468.965</v>
      </c>
      <c r="AN94" s="51" t="n">
        <v>71503.174</v>
      </c>
      <c r="AO94" s="26" t="n">
        <v>38.959437311</v>
      </c>
      <c r="AP94" s="51" t="n">
        <f aca="false">AO94/AN94*1000000</f>
        <v>544.863047771837</v>
      </c>
      <c r="AQ94" s="50" t="n">
        <f aca="false">M94</f>
        <v>3.4E-005</v>
      </c>
      <c r="AR94" s="75" t="n">
        <f aca="false">AM94/AO94/1000000</f>
        <v>3.77049850148951E-005</v>
      </c>
      <c r="AS94" s="75" t="n">
        <f aca="false">(AM94-AK94)/AO94/1000000</f>
        <v>3.43062449626969E-005</v>
      </c>
      <c r="AT94" s="75" t="n">
        <f aca="false">-AK94/AO94/1000000</f>
        <v>-3.39874005219818E-006</v>
      </c>
      <c r="AU94" s="20" t="n">
        <f aca="false">Y94</f>
        <v>487.441935192753</v>
      </c>
      <c r="AV94" s="20" t="n">
        <f aca="false">AO94*1000000/(AN94+M94*AO94*1000000)</f>
        <v>534.952862177232</v>
      </c>
      <c r="AW94" s="0" t="n">
        <f aca="false">X94/AO94</f>
        <v>1.01818417027653</v>
      </c>
      <c r="AX94" s="75" t="n">
        <f aca="false">(AW94-1)/AU94</f>
        <v>3.73053054398023E-005</v>
      </c>
      <c r="AY94" s="75" t="n">
        <f aca="false">(AW94-1)/AV94</f>
        <v>3.39920982991385E-005</v>
      </c>
      <c r="AZ94" s="26" t="n">
        <f aca="false">AO94/A94</f>
        <v>1.25675604229032</v>
      </c>
    </row>
    <row r="95" customFormat="false" ht="12.75" hidden="false" customHeight="false" outlineLevel="0" collapsed="false">
      <c r="A95" s="0" t="n">
        <f aca="false">DAY((B96-1))</f>
        <v>30</v>
      </c>
      <c r="B95" s="7" t="n">
        <v>36617</v>
      </c>
      <c r="C95" s="93" t="n">
        <v>73269</v>
      </c>
      <c r="D95" s="93" t="n">
        <v>1450</v>
      </c>
      <c r="E95" s="51" t="n">
        <v>1765.445</v>
      </c>
      <c r="F95" s="51" t="n">
        <v>1382.446</v>
      </c>
      <c r="G95" s="51" t="n">
        <v>157.609</v>
      </c>
      <c r="H95" s="51" t="n">
        <f aca="false">E95-F95-G95</f>
        <v>225.39</v>
      </c>
      <c r="I95" s="51" t="n">
        <f aca="false">D95-H95</f>
        <v>1224.61</v>
      </c>
      <c r="J95" s="78" t="n">
        <f aca="false">I95/C95</f>
        <v>0.0167138899125142</v>
      </c>
      <c r="K95" s="0" t="n">
        <v>520</v>
      </c>
      <c r="L95" s="80" t="n">
        <f aca="false">J95/K95</f>
        <v>3.21420959856042E-005</v>
      </c>
      <c r="M95" s="64" t="n">
        <v>3.2E-005</v>
      </c>
      <c r="N95" s="58" t="n">
        <v>5E-006</v>
      </c>
      <c r="O95" s="51" t="n">
        <v>1235.547</v>
      </c>
      <c r="P95" s="51" t="n">
        <v>13.686</v>
      </c>
      <c r="Q95" s="51" t="n">
        <f aca="false">P95+O95</f>
        <v>1249.233</v>
      </c>
      <c r="R95" s="51" t="n">
        <v>1133.626</v>
      </c>
      <c r="S95" s="51" t="n">
        <v>177.186</v>
      </c>
      <c r="T95" s="89" t="n">
        <f aca="false">R95-S95</f>
        <v>956.44</v>
      </c>
      <c r="U95" s="13" t="n">
        <f aca="false">68606+1849</f>
        <v>70455</v>
      </c>
      <c r="V95" s="1"/>
      <c r="W95" s="2"/>
      <c r="X95" s="83" t="n">
        <f aca="false">R95/M95/1000000</f>
        <v>35.4258125</v>
      </c>
      <c r="Y95" s="20" t="n">
        <f aca="false">X95*1000000/(U95+M95*X95*1000000)</f>
        <v>494.852527271581</v>
      </c>
      <c r="Z95" s="51" t="n">
        <f aca="false">SUM(X90:X95)</f>
        <v>233.911267679028</v>
      </c>
      <c r="AA95" s="51" t="n">
        <f aca="false">+R95-Q95</f>
        <v>-115.607</v>
      </c>
      <c r="AB95" s="51" t="n">
        <f aca="false">AB96-AA96</f>
        <v>-1114.858</v>
      </c>
      <c r="AC95" s="51" t="e">
        <f aca="false">IF(MOD(MONTH(B95),6)=0,AB95,NA())</f>
        <v>#N/A</v>
      </c>
      <c r="AD95" s="51"/>
      <c r="AH95" s="51" t="n">
        <v>172.627</v>
      </c>
      <c r="AI95" s="51" t="n">
        <f aca="false">AH95/1.055056+P95</f>
        <v>177.304803172533</v>
      </c>
      <c r="AK95" s="26" t="n">
        <f aca="false">P95</f>
        <v>13.686</v>
      </c>
      <c r="AL95" s="26" t="n">
        <f aca="false">R95</f>
        <v>1133.626</v>
      </c>
      <c r="AM95" s="26" t="n">
        <f aca="false">O95</f>
        <v>1235.547</v>
      </c>
      <c r="AN95" s="51" t="n">
        <v>62048.022</v>
      </c>
      <c r="AO95" s="26" t="n">
        <v>34.812370277</v>
      </c>
      <c r="AP95" s="51" t="n">
        <f aca="false">AO95/AN95*1000000</f>
        <v>561.055278716218</v>
      </c>
      <c r="AQ95" s="50" t="n">
        <f aca="false">M95</f>
        <v>3.2E-005</v>
      </c>
      <c r="AR95" s="75" t="n">
        <f aca="false">AM95/AO95/1000000</f>
        <v>3.54916080165994E-005</v>
      </c>
      <c r="AS95" s="75" t="n">
        <f aca="false">(AM95-AK95)/AO95/1000000</f>
        <v>3.50984719017327E-005</v>
      </c>
      <c r="AT95" s="75" t="n">
        <f aca="false">-AK95/AO95/1000000</f>
        <v>-3.93136114866678E-007</v>
      </c>
      <c r="AU95" s="20" t="n">
        <f aca="false">Y95</f>
        <v>494.852527271581</v>
      </c>
      <c r="AV95" s="20" t="n">
        <f aca="false">AO95*1000000/(AN95+M95*AO95*1000000)</f>
        <v>551.159881565217</v>
      </c>
      <c r="AW95" s="0" t="n">
        <f aca="false">X95/AO95</f>
        <v>1.01762138625204</v>
      </c>
      <c r="AX95" s="75" t="n">
        <f aca="false">(AW95-1)/AU95</f>
        <v>3.56093690158475E-005</v>
      </c>
      <c r="AY95" s="75" t="n">
        <f aca="false">(AW95-1)/AV95</f>
        <v>3.19714602630297E-005</v>
      </c>
      <c r="AZ95" s="26" t="n">
        <f aca="false">AO95/A95</f>
        <v>1.16041234256667</v>
      </c>
    </row>
    <row r="96" customFormat="false" ht="12.75" hidden="false" customHeight="false" outlineLevel="0" collapsed="false">
      <c r="A96" s="0" t="n">
        <f aca="false">DAY((B97-1))</f>
        <v>31</v>
      </c>
      <c r="B96" s="7" t="n">
        <v>36647</v>
      </c>
      <c r="C96" s="51" t="n">
        <v>70000</v>
      </c>
      <c r="D96" s="51" t="n">
        <v>800</v>
      </c>
      <c r="E96" s="94" t="n">
        <v>1348.708</v>
      </c>
      <c r="F96" s="94" t="n">
        <v>1601.378</v>
      </c>
      <c r="G96" s="94" t="n">
        <v>125</v>
      </c>
      <c r="H96" s="51" t="n">
        <f aca="false">E96-F96-G96</f>
        <v>-377.67</v>
      </c>
      <c r="I96" s="51" t="n">
        <f aca="false">D96-H96</f>
        <v>1177.67</v>
      </c>
      <c r="J96" s="78" t="n">
        <f aca="false">I96/C96</f>
        <v>0.0168238571428571</v>
      </c>
      <c r="K96" s="0" t="n">
        <v>520</v>
      </c>
      <c r="L96" s="80" t="n">
        <f aca="false">J96/K96</f>
        <v>3.23535714285714E-005</v>
      </c>
      <c r="M96" s="64" t="n">
        <v>3.2E-005</v>
      </c>
      <c r="N96" s="58" t="n">
        <v>5E-006</v>
      </c>
      <c r="O96" s="51" t="n">
        <v>1539.122</v>
      </c>
      <c r="P96" s="51" t="n">
        <v>-2.943</v>
      </c>
      <c r="Q96" s="51" t="n">
        <f aca="false">P96+O96</f>
        <v>1536.179</v>
      </c>
      <c r="R96" s="51" t="n">
        <v>1241.247</v>
      </c>
      <c r="S96" s="51" t="n">
        <v>194.007</v>
      </c>
      <c r="T96" s="89" t="n">
        <f aca="false">R96-S96</f>
        <v>1047.24</v>
      </c>
      <c r="U96" s="13" t="n">
        <f aca="false">75289+2475</f>
        <v>77764</v>
      </c>
      <c r="V96" s="1"/>
      <c r="W96" s="2"/>
      <c r="X96" s="83" t="n">
        <f aca="false">R96/M96/1000000</f>
        <v>38.78896875</v>
      </c>
      <c r="Y96" s="20" t="n">
        <f aca="false">X96*1000000/(U96+M96*X96*1000000)</f>
        <v>490.966995521196</v>
      </c>
      <c r="Z96" s="51" t="n">
        <f aca="false">SUM(X91:X96)</f>
        <v>234.138511429028</v>
      </c>
      <c r="AA96" s="51" t="n">
        <f aca="false">+R96-Q96</f>
        <v>-294.932</v>
      </c>
      <c r="AB96" s="51" t="n">
        <f aca="false">AB97-AA97</f>
        <v>-1409.79</v>
      </c>
      <c r="AC96" s="51" t="e">
        <f aca="false">IF(MOD(MONTH(B96),6)=0,AB96,NA())</f>
        <v>#N/A</v>
      </c>
      <c r="AD96" s="51"/>
      <c r="AH96" s="51" t="n">
        <v>137.145</v>
      </c>
      <c r="AI96" s="51" t="n">
        <f aca="false">AH96/1.055056+P96</f>
        <v>127.045360807388</v>
      </c>
      <c r="AK96" s="26" t="n">
        <f aca="false">P96</f>
        <v>-2.943</v>
      </c>
      <c r="AL96" s="26" t="n">
        <f aca="false">R96</f>
        <v>1241.247</v>
      </c>
      <c r="AM96" s="26" t="n">
        <f aca="false">O96</f>
        <v>1539.122</v>
      </c>
      <c r="AN96" s="51" t="n">
        <v>64629.056</v>
      </c>
      <c r="AO96" s="26" t="n">
        <v>38.129240154</v>
      </c>
      <c r="AP96" s="51" t="n">
        <f aca="false">AO96/AN96*1000000</f>
        <v>589.970556803429</v>
      </c>
      <c r="AQ96" s="50" t="n">
        <f aca="false">M96</f>
        <v>3.2E-005</v>
      </c>
      <c r="AR96" s="75" t="n">
        <f aca="false">AM96/AO96/1000000</f>
        <v>4.03659237315941E-005</v>
      </c>
      <c r="AS96" s="75" t="n">
        <f aca="false">(AM96-AK96)/AO96/1000000</f>
        <v>4.04431085899368E-005</v>
      </c>
      <c r="AT96" s="75" t="n">
        <f aca="false">-AK96/AO96/1000000</f>
        <v>7.71848583426665E-008</v>
      </c>
      <c r="AU96" s="20" t="n">
        <f aca="false">Y96</f>
        <v>490.966995521196</v>
      </c>
      <c r="AV96" s="20" t="n">
        <f aca="false">AO96*1000000/(AN96+M96*AO96*1000000)</f>
        <v>579.038848896414</v>
      </c>
      <c r="AW96" s="0" t="n">
        <f aca="false">X96/AO96</f>
        <v>1.01730243228912</v>
      </c>
      <c r="AX96" s="75" t="n">
        <f aca="false">(AW96-1)/AU96</f>
        <v>3.52415385289754E-005</v>
      </c>
      <c r="AY96" s="75" t="n">
        <f aca="false">(AW96-1)/AV96</f>
        <v>2.98812978129052E-005</v>
      </c>
      <c r="AZ96" s="26" t="n">
        <f aca="false">AO96/A96</f>
        <v>1.22997548883871</v>
      </c>
    </row>
    <row r="97" customFormat="false" ht="12.75" hidden="false" customHeight="false" outlineLevel="0" collapsed="false">
      <c r="A97" s="0" t="n">
        <f aca="false">DAY((B98-1))</f>
        <v>30</v>
      </c>
      <c r="B97" s="7" t="n">
        <v>36678</v>
      </c>
      <c r="C97" s="51" t="n">
        <v>73000</v>
      </c>
      <c r="D97" s="51" t="n">
        <v>1025</v>
      </c>
      <c r="E97" s="94" t="n">
        <v>1133.626</v>
      </c>
      <c r="F97" s="94" t="n">
        <v>1249.233</v>
      </c>
      <c r="G97" s="94" t="n">
        <v>160.156</v>
      </c>
      <c r="H97" s="51" t="n">
        <f aca="false">E97-F97-G97</f>
        <v>-275.763</v>
      </c>
      <c r="I97" s="51" t="n">
        <f aca="false">D97-H97</f>
        <v>1300.763</v>
      </c>
      <c r="J97" s="78" t="n">
        <f aca="false">I97/C97</f>
        <v>0.0178186712328767</v>
      </c>
      <c r="K97" s="0" t="n">
        <v>520</v>
      </c>
      <c r="L97" s="80" t="n">
        <f aca="false">J97/K97</f>
        <v>3.42666754478398E-005</v>
      </c>
      <c r="M97" s="64" t="n">
        <v>3.4E-005</v>
      </c>
      <c r="N97" s="58" t="n">
        <v>5E-006</v>
      </c>
      <c r="O97" s="51" t="n">
        <v>1685.465</v>
      </c>
      <c r="P97" s="51" t="n">
        <v>38.534</v>
      </c>
      <c r="Q97" s="51" t="n">
        <f aca="false">P97+O97</f>
        <v>1723.999</v>
      </c>
      <c r="R97" s="51" t="n">
        <v>1312.478</v>
      </c>
      <c r="S97" s="51" t="n">
        <v>193.066</v>
      </c>
      <c r="T97" s="89" t="n">
        <f aca="false">R97-S97</f>
        <v>1119.412</v>
      </c>
      <c r="U97" s="13" t="n">
        <f aca="false">75352+1981</f>
        <v>77333</v>
      </c>
      <c r="V97" s="1"/>
      <c r="W97" s="2"/>
      <c r="X97" s="83" t="n">
        <f aca="false">R97/M97/1000000</f>
        <v>38.6022941176471</v>
      </c>
      <c r="Y97" s="20" t="n">
        <f aca="false">X97*1000000/(U97+M97*X97*1000000)</f>
        <v>490.839334941127</v>
      </c>
      <c r="Z97" s="51" t="n">
        <f aca="false">SUM(X92:X97)</f>
        <v>231.561805546675</v>
      </c>
      <c r="AA97" s="51" t="n">
        <f aca="false">+R97-Q97</f>
        <v>-411.521</v>
      </c>
      <c r="AB97" s="51" t="n">
        <f aca="false">AB98-AA98</f>
        <v>-1821.311</v>
      </c>
      <c r="AC97" s="51" t="n">
        <f aca="false">IF(MOD(MONTH(B97),6)=0,AB97,NA())</f>
        <v>-1821.311</v>
      </c>
      <c r="AD97" s="51"/>
      <c r="AH97" s="51"/>
      <c r="AK97" s="26" t="n">
        <f aca="false">P97</f>
        <v>38.534</v>
      </c>
      <c r="AL97" s="26" t="n">
        <f aca="false">R97</f>
        <v>1312.478</v>
      </c>
      <c r="AM97" s="26" t="n">
        <f aca="false">O97</f>
        <v>1685.465</v>
      </c>
      <c r="AN97" s="51" t="n">
        <v>71529.087</v>
      </c>
      <c r="AO97" s="26" t="n">
        <v>37.892592877</v>
      </c>
      <c r="AP97" s="51" t="n">
        <f aca="false">AO97/AN97*1000000</f>
        <v>529.750825381009</v>
      </c>
      <c r="AQ97" s="50" t="n">
        <f aca="false">M97</f>
        <v>3.4E-005</v>
      </c>
      <c r="AR97" s="75" t="n">
        <f aca="false">AM97/AO97/1000000</f>
        <v>4.44800651533942E-005</v>
      </c>
      <c r="AS97" s="75" t="n">
        <f aca="false">(AM97-AK97)/AO97/1000000</f>
        <v>4.34631381744175E-005</v>
      </c>
      <c r="AT97" s="75" t="n">
        <f aca="false">-AK97/AO97/1000000</f>
        <v>-1.01692697897666E-006</v>
      </c>
      <c r="AU97" s="20" t="n">
        <f aca="false">Y97</f>
        <v>490.839334941127</v>
      </c>
      <c r="AV97" s="20" t="n">
        <f aca="false">AO97*1000000/(AN97+M97*AO97*1000000)</f>
        <v>520.378022033803</v>
      </c>
      <c r="AW97" s="0" t="n">
        <f aca="false">X97/AO97</f>
        <v>1.01872928682792</v>
      </c>
      <c r="AX97" s="75" t="n">
        <f aca="false">(AW97-1)/AU97</f>
        <v>3.81576729790204E-005</v>
      </c>
      <c r="AY97" s="75" t="n">
        <f aca="false">(AW97-1)/AV97</f>
        <v>3.59916945660453E-005</v>
      </c>
      <c r="AZ97" s="26" t="n">
        <f aca="false">AO97/A97</f>
        <v>1.26308642923333</v>
      </c>
    </row>
    <row r="98" customFormat="false" ht="12.75" hidden="false" customHeight="false" outlineLevel="0" collapsed="false">
      <c r="A98" s="0" t="n">
        <f aca="false">DAY((B99-1))</f>
        <v>31</v>
      </c>
      <c r="B98" s="7" t="n">
        <v>36708</v>
      </c>
      <c r="C98" s="51" t="n">
        <v>75000</v>
      </c>
      <c r="D98" s="51" t="n">
        <v>1178.5</v>
      </c>
      <c r="E98" s="94" t="n">
        <v>1241.247</v>
      </c>
      <c r="F98" s="94" t="n">
        <v>1536.179</v>
      </c>
      <c r="G98" s="51" t="n">
        <v>184.141</v>
      </c>
      <c r="H98" s="51" t="n">
        <f aca="false">E98-F98-G98</f>
        <v>-479.073</v>
      </c>
      <c r="I98" s="51" t="n">
        <f aca="false">D98-H98</f>
        <v>1657.573</v>
      </c>
      <c r="J98" s="78" t="n">
        <f aca="false">I98/C98</f>
        <v>0.0221009733333333</v>
      </c>
      <c r="K98" s="0" t="n">
        <v>520</v>
      </c>
      <c r="L98" s="80" t="n">
        <f aca="false">J98/K98</f>
        <v>4.25018717948718E-005</v>
      </c>
      <c r="M98" s="64" t="n">
        <v>4.3E-005</v>
      </c>
      <c r="N98" s="58" t="n">
        <v>6E-006</v>
      </c>
      <c r="O98" s="51" t="n">
        <v>1935.295</v>
      </c>
      <c r="P98" s="51" t="n">
        <v>143.068</v>
      </c>
      <c r="Q98" s="51" t="n">
        <f aca="false">P98+O98</f>
        <v>2078.363</v>
      </c>
      <c r="R98" s="51" t="n">
        <v>1750.294</v>
      </c>
      <c r="S98" s="51" t="n">
        <v>244.166</v>
      </c>
      <c r="T98" s="89" t="n">
        <f aca="false">R98-S98</f>
        <v>1506.128</v>
      </c>
      <c r="U98" s="13" t="n">
        <f aca="false">79100+1457</f>
        <v>80557</v>
      </c>
      <c r="V98" s="1"/>
      <c r="W98" s="2"/>
      <c r="X98" s="83" t="n">
        <f aca="false">R98/M98/1000000</f>
        <v>40.704511627907</v>
      </c>
      <c r="Y98" s="20" t="n">
        <f aca="false">X98*1000000/(U98+M98*X98*1000000)</f>
        <v>494.543188698525</v>
      </c>
      <c r="Z98" s="51" t="n">
        <f aca="false">SUM(X93:X98)</f>
        <v>231.56870847893</v>
      </c>
      <c r="AA98" s="51" t="n">
        <f aca="false">+R98-Q98</f>
        <v>-328.069</v>
      </c>
      <c r="AB98" s="51" t="n">
        <f aca="false">AB99-AA99</f>
        <v>-2149.38</v>
      </c>
      <c r="AC98" s="51" t="e">
        <f aca="false">IF(MOD(MONTH(B98),6)=0,AB98,NA())</f>
        <v>#N/A</v>
      </c>
      <c r="AD98" s="51"/>
      <c r="AH98" s="51"/>
      <c r="AK98" s="26" t="n">
        <f aca="false">P98</f>
        <v>143.068</v>
      </c>
      <c r="AL98" s="26" t="n">
        <f aca="false">R98</f>
        <v>1750.294</v>
      </c>
      <c r="AM98" s="26" t="n">
        <f aca="false">O98</f>
        <v>1935.295</v>
      </c>
      <c r="AN98" s="51" t="n">
        <v>72127.389</v>
      </c>
      <c r="AO98" s="26" t="n">
        <v>39.768278474</v>
      </c>
      <c r="AP98" s="51" t="n">
        <f aca="false">AO98/AN98*1000000</f>
        <v>551.361681399558</v>
      </c>
      <c r="AQ98" s="50" t="n">
        <f aca="false">M98</f>
        <v>4.3E-005</v>
      </c>
      <c r="AR98" s="75" t="n">
        <f aca="false">AM98/AO98/1000000</f>
        <v>4.86642890832016E-005</v>
      </c>
      <c r="AS98" s="75" t="n">
        <f aca="false">(AM98-AK98)/AO98/1000000</f>
        <v>4.50667483927356E-005</v>
      </c>
      <c r="AT98" s="75" t="n">
        <f aca="false">-AK98/AO98/1000000</f>
        <v>-3.59754069046605E-006</v>
      </c>
      <c r="AU98" s="20" t="n">
        <f aca="false">Y98</f>
        <v>494.543188698525</v>
      </c>
      <c r="AV98" s="20" t="n">
        <f aca="false">AO98*1000000/(AN98+M98*AO98*1000000)</f>
        <v>538.592434497786</v>
      </c>
      <c r="AW98" s="0" t="n">
        <f aca="false">X98/AO98</f>
        <v>1.02354220976699</v>
      </c>
      <c r="AX98" s="75" t="n">
        <f aca="false">(AW98-1)/AU98</f>
        <v>4.76039510905919E-005</v>
      </c>
      <c r="AY98" s="75" t="n">
        <f aca="false">(AW98-1)/AV98</f>
        <v>4.3710620979929E-005</v>
      </c>
      <c r="AZ98" s="26" t="n">
        <f aca="false">AO98/A98</f>
        <v>1.28284769270968</v>
      </c>
    </row>
    <row r="99" customFormat="false" ht="12.75" hidden="false" customHeight="false" outlineLevel="0" collapsed="false">
      <c r="A99" s="0" t="n">
        <f aca="false">DAY((B100-1))</f>
        <v>31</v>
      </c>
      <c r="B99" s="7" t="n">
        <v>36739</v>
      </c>
      <c r="C99" s="51" t="n">
        <v>71000</v>
      </c>
      <c r="D99" s="51" t="n">
        <v>1165</v>
      </c>
      <c r="E99" s="94" t="n">
        <v>1312.478</v>
      </c>
      <c r="F99" s="94" t="n">
        <v>1723.999</v>
      </c>
      <c r="G99" s="94" t="n">
        <v>171.324</v>
      </c>
      <c r="H99" s="51" t="n">
        <f aca="false">E99-F99-G99</f>
        <v>-582.845</v>
      </c>
      <c r="I99" s="51" t="n">
        <f aca="false">D99-H99</f>
        <v>1747.845</v>
      </c>
      <c r="J99" s="78" t="n">
        <f aca="false">I99/C99</f>
        <v>0.0246175352112676</v>
      </c>
      <c r="K99" s="0" t="n">
        <v>520</v>
      </c>
      <c r="L99" s="88" t="n">
        <f aca="false">J99/K99</f>
        <v>4.73414138678223E-005</v>
      </c>
      <c r="M99" s="64" t="n">
        <v>4.7E-005</v>
      </c>
      <c r="N99" s="58" t="n">
        <v>6E-006</v>
      </c>
      <c r="O99" s="51" t="n">
        <v>1772.638</v>
      </c>
      <c r="P99" s="51" t="n">
        <v>219.155</v>
      </c>
      <c r="Q99" s="51" t="n">
        <f aca="false">P99+O99</f>
        <v>1991.793</v>
      </c>
      <c r="R99" s="51" t="n">
        <v>1808.959</v>
      </c>
      <c r="S99" s="51" t="n">
        <v>231.004</v>
      </c>
      <c r="T99" s="89" t="n">
        <f aca="false">R99-S99</f>
        <v>1577.955</v>
      </c>
      <c r="U99" s="13" t="n">
        <f aca="false">74094+874</f>
        <v>74968</v>
      </c>
      <c r="V99" s="1"/>
      <c r="W99" s="2"/>
      <c r="X99" s="83" t="n">
        <f aca="false">R99/M99/1000000</f>
        <v>38.4884893617021</v>
      </c>
      <c r="Y99" s="20" t="n">
        <f aca="false">X99*1000000/(U99+M99*X99*1000000)</f>
        <v>501.302602538636</v>
      </c>
      <c r="Z99" s="51" t="n">
        <f aca="false">SUM(X94:X99)</f>
        <v>231.677958710197</v>
      </c>
      <c r="AA99" s="51" t="n">
        <f aca="false">+R99-Q99</f>
        <v>-182.834</v>
      </c>
      <c r="AB99" s="51" t="n">
        <f aca="false">AB100-AA100</f>
        <v>-2332.214</v>
      </c>
      <c r="AC99" s="51" t="e">
        <f aca="false">IF(MOD(MONTH(B99),6)=0,AB99,NA())</f>
        <v>#N/A</v>
      </c>
      <c r="AH99" s="51"/>
      <c r="AK99" s="26" t="n">
        <f aca="false">P99</f>
        <v>219.155</v>
      </c>
      <c r="AL99" s="26" t="n">
        <f aca="false">R99</f>
        <v>1808.959</v>
      </c>
      <c r="AM99" s="26" t="n">
        <f aca="false">O99</f>
        <v>1772.638</v>
      </c>
      <c r="AN99" s="51" t="n">
        <v>63830.94</v>
      </c>
      <c r="AO99" s="26" t="n">
        <v>37.510185486</v>
      </c>
      <c r="AP99" s="51" t="n">
        <f aca="false">AO99/AN99*1000000</f>
        <v>587.648959673788</v>
      </c>
      <c r="AQ99" s="50" t="n">
        <f aca="false">M99</f>
        <v>4.7E-005</v>
      </c>
      <c r="AR99" s="75" t="n">
        <f aca="false">AM99/AO99/1000000</f>
        <v>4.7257510914245E-005</v>
      </c>
      <c r="AS99" s="75" t="n">
        <f aca="false">(AM99-AK99)/AO99/1000000</f>
        <v>4.14149644922393E-005</v>
      </c>
      <c r="AT99" s="75" t="n">
        <f aca="false">-AK99/AO99/1000000</f>
        <v>-5.84254642200572E-006</v>
      </c>
      <c r="AU99" s="20" t="n">
        <f aca="false">Y99</f>
        <v>501.302602538636</v>
      </c>
      <c r="AV99" s="20" t="n">
        <f aca="false">AO99*1000000/(AN99+M99*AO99*1000000)</f>
        <v>571.854620355179</v>
      </c>
      <c r="AW99" s="0" t="n">
        <f aca="false">X99/AO99</f>
        <v>1.02608101940918</v>
      </c>
      <c r="AX99" s="75" t="n">
        <f aca="false">(AW99-1)/AU99</f>
        <v>5.20264991186941E-005</v>
      </c>
      <c r="AY99" s="75" t="n">
        <f aca="false">(AW99-1)/AV99</f>
        <v>4.56077794614591E-005</v>
      </c>
      <c r="AZ99" s="26" t="n">
        <f aca="false">AO99/A99</f>
        <v>1.21000598341935</v>
      </c>
    </row>
    <row r="100" customFormat="false" ht="12.75" hidden="false" customHeight="false" outlineLevel="0" collapsed="false">
      <c r="A100" s="0" t="n">
        <f aca="false">DAY((B101-1))</f>
        <v>30</v>
      </c>
      <c r="B100" s="7" t="n">
        <v>36770</v>
      </c>
      <c r="C100" s="0" t="n">
        <v>72000</v>
      </c>
      <c r="D100" s="0" t="n">
        <v>1250</v>
      </c>
      <c r="E100" s="94" t="n">
        <v>1750.924</v>
      </c>
      <c r="F100" s="94" t="n">
        <v>2078.363</v>
      </c>
      <c r="G100" s="94" t="n">
        <v>174.419</v>
      </c>
      <c r="H100" s="51" t="n">
        <f aca="false">E100-F100-G100</f>
        <v>-501.858</v>
      </c>
      <c r="I100" s="51" t="n">
        <f aca="false">D100-H100</f>
        <v>1751.858</v>
      </c>
      <c r="J100" s="78" t="n">
        <f aca="false">I100/C100</f>
        <v>0.0243313611111111</v>
      </c>
      <c r="K100" s="0" t="n">
        <v>520</v>
      </c>
      <c r="L100" s="80" t="n">
        <f aca="false">J100/K100</f>
        <v>4.67910790598291E-005</v>
      </c>
      <c r="M100" s="64" t="n">
        <v>4.7E-005</v>
      </c>
      <c r="N100" s="58" t="n">
        <v>6E-006</v>
      </c>
      <c r="O100" s="51" t="n">
        <v>1710.653</v>
      </c>
      <c r="P100" s="51" t="n">
        <v>126.595</v>
      </c>
      <c r="Q100" s="51" t="n">
        <f aca="false">P100+O100</f>
        <v>1837.248</v>
      </c>
      <c r="R100" s="51" t="n">
        <v>1795.718</v>
      </c>
      <c r="S100" s="51" t="n">
        <v>229.313</v>
      </c>
      <c r="T100" s="89" t="n">
        <f aca="false">R100-S100</f>
        <v>1566.405</v>
      </c>
      <c r="U100" s="0" t="n">
        <f aca="false">75579+988</f>
        <v>76567</v>
      </c>
      <c r="W100" s="2"/>
      <c r="X100" s="83" t="n">
        <f aca="false">R100/M100/1000000</f>
        <v>38.2067659574468</v>
      </c>
      <c r="Y100" s="20" t="n">
        <f aca="false">X100*1000000/(U100+M100*X100*1000000)</f>
        <v>487.563052081052</v>
      </c>
      <c r="Z100" s="51" t="n">
        <f aca="false">SUM(X95:X100)</f>
        <v>230.216842314703</v>
      </c>
      <c r="AA100" s="51" t="n">
        <f aca="false">+R100-Q100</f>
        <v>-41.53</v>
      </c>
      <c r="AB100" s="51" t="n">
        <f aca="false">AB101-AA101</f>
        <v>-2373.744</v>
      </c>
      <c r="AC100" s="51" t="e">
        <f aca="false">IF(MOD(MONTH(B100),6)=0,AB100,NA())</f>
        <v>#N/A</v>
      </c>
      <c r="AH100" s="51"/>
      <c r="AK100" s="26" t="n">
        <f aca="false">P100</f>
        <v>126.595</v>
      </c>
      <c r="AL100" s="26" t="n">
        <f aca="false">R100</f>
        <v>1795.718</v>
      </c>
      <c r="AM100" s="26" t="n">
        <f aca="false">O100</f>
        <v>1710.653</v>
      </c>
      <c r="AN100" s="51" t="n">
        <v>66303.998</v>
      </c>
      <c r="AO100" s="26" t="n">
        <v>37.249099964</v>
      </c>
      <c r="AP100" s="51" t="n">
        <f aca="false">AO100/AN100*1000000</f>
        <v>561.79266843004</v>
      </c>
      <c r="AQ100" s="50" t="n">
        <f aca="false">M100</f>
        <v>4.7E-005</v>
      </c>
      <c r="AR100" s="75" t="n">
        <f aca="false">AM100/AO100/1000000</f>
        <v>4.59246801037686E-005</v>
      </c>
      <c r="AS100" s="75" t="n">
        <f aca="false">(AM100-AK100)/AO100/1000000</f>
        <v>4.25260744965902E-005</v>
      </c>
      <c r="AT100" s="75" t="n">
        <f aca="false">-AK100/AO100/1000000</f>
        <v>-3.39860560717842E-006</v>
      </c>
      <c r="AU100" s="20" t="n">
        <f aca="false">Y100</f>
        <v>487.563052081052</v>
      </c>
      <c r="AV100" s="20" t="n">
        <f aca="false">AO100*1000000/(AN100+M100*AO100*1000000)</f>
        <v>547.340548780392</v>
      </c>
      <c r="AW100" s="0" t="n">
        <f aca="false">X100/AO100</f>
        <v>1.02570977538712</v>
      </c>
      <c r="AX100" s="75" t="n">
        <f aca="false">(AW100-1)/AU100</f>
        <v>5.27311806696252E-005</v>
      </c>
      <c r="AY100" s="75" t="n">
        <f aca="false">(AW100-1)/AV100</f>
        <v>4.69721738036903E-005</v>
      </c>
      <c r="AZ100" s="26" t="n">
        <f aca="false">AO100/A100</f>
        <v>1.24163666546667</v>
      </c>
    </row>
    <row r="101" customFormat="false" ht="12.75" hidden="false" customHeight="false" outlineLevel="0" collapsed="false">
      <c r="A101" s="0" t="n">
        <f aca="false">DAY((B102-1))</f>
        <v>31</v>
      </c>
      <c r="B101" s="7" t="n">
        <v>36800</v>
      </c>
      <c r="C101" s="0" t="n">
        <v>68000</v>
      </c>
      <c r="D101" s="0" t="n">
        <v>1325</v>
      </c>
      <c r="E101" s="94" t="n">
        <v>1808.959</v>
      </c>
      <c r="F101" s="94" t="n">
        <v>1991.793</v>
      </c>
      <c r="G101" s="94" t="n">
        <v>169.149</v>
      </c>
      <c r="H101" s="51" t="n">
        <f aca="false">E101-F101-G101</f>
        <v>-351.983</v>
      </c>
      <c r="I101" s="51" t="n">
        <f aca="false">D101-H101</f>
        <v>1676.983</v>
      </c>
      <c r="J101" s="78" t="n">
        <f aca="false">I101/C101</f>
        <v>0.0246615147058823</v>
      </c>
      <c r="K101" s="0" t="n">
        <v>520</v>
      </c>
      <c r="L101" s="88" t="n">
        <f aca="false">J101/K101</f>
        <v>4.74259898190045E-005</v>
      </c>
      <c r="M101" s="64" t="n">
        <v>4.7E-005</v>
      </c>
      <c r="N101" s="58" t="n">
        <v>6E-006</v>
      </c>
      <c r="O101" s="51" t="n">
        <v>1747.199</v>
      </c>
      <c r="P101" s="51" t="n">
        <v>-73.159</v>
      </c>
      <c r="Q101" s="51" t="n">
        <f aca="false">P101+O101</f>
        <v>1674.04</v>
      </c>
      <c r="R101" s="51" t="n">
        <v>1879.284</v>
      </c>
      <c r="S101" s="51" t="n">
        <v>239.985</v>
      </c>
      <c r="T101" s="89" t="n">
        <f aca="false">R101-S101</f>
        <v>1639.299</v>
      </c>
      <c r="U101" s="0" t="n">
        <f aca="false">82107+519</f>
        <v>82626</v>
      </c>
      <c r="W101" s="2"/>
      <c r="X101" s="83" t="n">
        <f aca="false">R101/M101/1000000</f>
        <v>39.9847659574468</v>
      </c>
      <c r="Y101" s="20" t="n">
        <f aca="false">X101*1000000/(U101+M101*X101*1000000)</f>
        <v>473.162908457261</v>
      </c>
      <c r="Z101" s="51" t="n">
        <f aca="false">SUM(X96:X101)</f>
        <v>234.77579577215</v>
      </c>
      <c r="AA101" s="51" t="n">
        <f aca="false">+R101-Q101</f>
        <v>205.244</v>
      </c>
      <c r="AB101" s="95" t="n">
        <v>-2168.5</v>
      </c>
      <c r="AC101" s="51" t="e">
        <f aca="false">IF(MOD(MONTH(B101),6)=0,AB101,NA())</f>
        <v>#N/A</v>
      </c>
      <c r="AH101" s="51"/>
      <c r="AK101" s="26" t="n">
        <f aca="false">P101</f>
        <v>-73.159</v>
      </c>
      <c r="AL101" s="26" t="n">
        <f aca="false">R101</f>
        <v>1879.284</v>
      </c>
      <c r="AM101" s="26" t="n">
        <f aca="false">O101</f>
        <v>1747.199</v>
      </c>
      <c r="AN101" s="51" t="n">
        <v>72189.254</v>
      </c>
      <c r="AO101" s="26" t="n">
        <v>38.99762063</v>
      </c>
      <c r="AP101" s="51" t="n">
        <f aca="false">AO101/AN101*1000000</f>
        <v>540.213653267563</v>
      </c>
      <c r="AQ101" s="50" t="n">
        <f aca="false">M101</f>
        <v>4.7E-005</v>
      </c>
      <c r="AR101" s="75" t="n">
        <f aca="false">AM101/AO101/1000000</f>
        <v>4.48027077491984E-005</v>
      </c>
      <c r="AS101" s="75" t="n">
        <f aca="false">(AM101-AK101)/AO101/1000000</f>
        <v>4.66786939970291E-005</v>
      </c>
      <c r="AT101" s="75" t="n">
        <f aca="false">-AK101/AO101/1000000</f>
        <v>1.87598624783073E-006</v>
      </c>
      <c r="AU101" s="75"/>
      <c r="AV101" s="20" t="n">
        <f aca="false">AO101*1000000/(AN101+M101*AO101*1000000)</f>
        <v>526.837233927156</v>
      </c>
      <c r="AW101" s="0" t="n">
        <f aca="false">X101/AO101</f>
        <v>1.02531296298337</v>
      </c>
      <c r="AX101" s="75" t="e">
        <f aca="false">(AW101-1)/AU101</f>
        <v>#DIV/0!</v>
      </c>
      <c r="AY101" s="75" t="n">
        <f aca="false">(AW101-1)/AV101</f>
        <v>4.80470273421734E-005</v>
      </c>
      <c r="AZ101" s="26" t="n">
        <f aca="false">AO101/A101</f>
        <v>1.25798776225806</v>
      </c>
    </row>
    <row r="102" customFormat="false" ht="12.75" hidden="false" customHeight="false" outlineLevel="0" collapsed="false">
      <c r="A102" s="0" t="n">
        <f aca="false">DAY((B103-1))</f>
        <v>30</v>
      </c>
      <c r="B102" s="7" t="n">
        <v>36831</v>
      </c>
      <c r="E102" s="81" t="n">
        <f aca="false">R100</f>
        <v>1795.718</v>
      </c>
      <c r="F102" s="81" t="n">
        <f aca="false">Q100</f>
        <v>1837.248</v>
      </c>
      <c r="G102" s="81" t="n">
        <f aca="false">E102*N100/M100</f>
        <v>229.240595744681</v>
      </c>
      <c r="M102" s="64" t="n">
        <v>4.7E-005</v>
      </c>
      <c r="N102" s="58" t="n">
        <v>6E-006</v>
      </c>
      <c r="U102" s="0" t="n">
        <f aca="false">79584+805</f>
        <v>80389</v>
      </c>
      <c r="X102" s="96"/>
      <c r="Z102" s="51" t="n">
        <f aca="false">SUM(X97:X102)</f>
        <v>195.98682702215</v>
      </c>
      <c r="AH102" s="51"/>
      <c r="AN102" s="51"/>
      <c r="AO102" s="26"/>
      <c r="AP102" s="51"/>
      <c r="AQ102" s="50" t="n">
        <f aca="false">M102</f>
        <v>4.7E-005</v>
      </c>
    </row>
    <row r="103" customFormat="false" ht="12.75" hidden="false" customHeight="false" outlineLevel="0" collapsed="false">
      <c r="A103" s="0" t="n">
        <f aca="false">DAY((B104-1))</f>
        <v>31</v>
      </c>
      <c r="B103" s="7" t="n">
        <v>36861</v>
      </c>
      <c r="E103" s="81" t="n">
        <f aca="false">R101</f>
        <v>1879.284</v>
      </c>
      <c r="F103" s="81" t="n">
        <f aca="false">Q101</f>
        <v>1674.04</v>
      </c>
      <c r="G103" s="81" t="n">
        <f aca="false">E103*N101/M101</f>
        <v>239.908595744681</v>
      </c>
      <c r="M103" s="64" t="n">
        <v>4.7E-005</v>
      </c>
      <c r="N103" s="58" t="n">
        <v>6E-006</v>
      </c>
      <c r="U103" s="0" t="n">
        <f aca="false">86749+1993</f>
        <v>88742</v>
      </c>
      <c r="X103" s="96"/>
      <c r="Z103" s="51" t="n">
        <f aca="false">SUM(X98:X103)</f>
        <v>157.384532904503</v>
      </c>
      <c r="AH103" s="51"/>
      <c r="AN103" s="51"/>
      <c r="AO103" s="26"/>
      <c r="AP103" s="51"/>
      <c r="AQ103" s="50" t="n">
        <f aca="false">M103</f>
        <v>4.7E-005</v>
      </c>
    </row>
    <row r="104" customFormat="false" ht="12.75" hidden="false" customHeight="false" outlineLevel="0" collapsed="false">
      <c r="A104" s="0" t="n">
        <f aca="false">DAY((B105-1))</f>
        <v>31</v>
      </c>
      <c r="B104" s="7" t="n">
        <v>36892</v>
      </c>
      <c r="E104" s="81"/>
      <c r="F104" s="81"/>
      <c r="G104" s="81"/>
      <c r="M104" s="64" t="n">
        <v>5.1E-005</v>
      </c>
      <c r="N104" s="58" t="n">
        <v>1.2E-005</v>
      </c>
      <c r="X104" s="96"/>
      <c r="Z104" s="51" t="n">
        <f aca="false">SUM(X99:X104)</f>
        <v>116.680021276596</v>
      </c>
      <c r="AH104" s="51"/>
      <c r="AN104" s="51"/>
      <c r="AO104" s="26"/>
      <c r="AP104" s="51"/>
      <c r="AQ104" s="50"/>
    </row>
    <row r="105" customFormat="false" ht="12.75" hidden="false" customHeight="false" outlineLevel="0" collapsed="false">
      <c r="A105" s="0" t="n">
        <f aca="false">DAY((B106-1))</f>
        <v>28</v>
      </c>
      <c r="B105" s="7" t="n">
        <v>36923</v>
      </c>
      <c r="E105" s="81"/>
      <c r="F105" s="81"/>
      <c r="G105" s="81"/>
      <c r="M105" s="64" t="n">
        <v>5.8E-005</v>
      </c>
      <c r="N105" s="58" t="n">
        <v>1.2E-005</v>
      </c>
      <c r="X105" s="96"/>
      <c r="Z105" s="51" t="n">
        <f aca="false">SUM(X100:X105)</f>
        <v>78.1915319148936</v>
      </c>
      <c r="AH105" s="51"/>
      <c r="AN105" s="51"/>
      <c r="AO105" s="26"/>
      <c r="AP105" s="51"/>
      <c r="AQ105" s="50"/>
    </row>
    <row r="106" customFormat="false" ht="12.75" hidden="false" customHeight="false" outlineLevel="0" collapsed="false">
      <c r="A106" s="0" t="n">
        <f aca="false">DAY((B107-1))</f>
        <v>31</v>
      </c>
      <c r="B106" s="7" t="n">
        <v>36951</v>
      </c>
      <c r="E106" s="81"/>
      <c r="F106" s="81"/>
      <c r="G106" s="81"/>
      <c r="M106" s="64" t="n">
        <v>5.6E-005</v>
      </c>
      <c r="N106" s="58" t="n">
        <v>1.2E-005</v>
      </c>
      <c r="X106" s="96"/>
      <c r="Z106" s="51"/>
      <c r="AH106" s="51"/>
      <c r="AN106" s="51"/>
      <c r="AO106" s="26"/>
      <c r="AP106" s="51"/>
      <c r="AQ106" s="50"/>
    </row>
    <row r="107" customFormat="false" ht="12.75" hidden="false" customHeight="false" outlineLevel="0" collapsed="false">
      <c r="A107" s="0" t="n">
        <f aca="false">DAY((B108-1))</f>
        <v>30</v>
      </c>
      <c r="B107" s="7" t="n">
        <v>36982</v>
      </c>
      <c r="E107" s="81"/>
      <c r="F107" s="81"/>
      <c r="G107" s="81"/>
      <c r="M107" s="64" t="n">
        <v>5.1E-005</v>
      </c>
      <c r="N107" s="58" t="n">
        <v>1.2E-005</v>
      </c>
      <c r="X107" s="96"/>
      <c r="Z107" s="51"/>
      <c r="AH107" s="51"/>
      <c r="AN107" s="51"/>
      <c r="AO107" s="26"/>
      <c r="AP107" s="51"/>
      <c r="AQ107" s="50"/>
    </row>
    <row r="108" customFormat="false" ht="12.75" hidden="false" customHeight="false" outlineLevel="0" collapsed="false">
      <c r="A108" s="0" t="n">
        <f aca="false">DAY((B109-1))</f>
        <v>31</v>
      </c>
      <c r="B108" s="7" t="n">
        <v>37012</v>
      </c>
      <c r="E108" s="81"/>
      <c r="F108" s="81"/>
      <c r="G108" s="81"/>
      <c r="M108" s="64" t="n">
        <v>4.3E-005</v>
      </c>
      <c r="N108" s="58" t="n">
        <v>1.2E-005</v>
      </c>
      <c r="X108" s="96"/>
      <c r="Z108" s="51"/>
      <c r="AH108" s="51"/>
      <c r="AN108" s="51"/>
      <c r="AO108" s="26"/>
      <c r="AP108" s="51"/>
      <c r="AQ108" s="50"/>
    </row>
    <row r="109" customFormat="false" ht="12.75" hidden="false" customHeight="false" outlineLevel="0" collapsed="false">
      <c r="A109" s="0" t="n">
        <f aca="false">DAY((B110-1))</f>
        <v>30</v>
      </c>
      <c r="B109" s="7" t="n">
        <v>37043</v>
      </c>
      <c r="E109" s="81"/>
      <c r="F109" s="81"/>
      <c r="G109" s="81"/>
      <c r="M109" s="64"/>
      <c r="N109" s="58" t="n">
        <v>1.2E-005</v>
      </c>
      <c r="X109" s="96"/>
      <c r="Z109" s="51"/>
      <c r="AH109" s="51"/>
      <c r="AN109" s="51"/>
      <c r="AO109" s="26"/>
      <c r="AP109" s="51"/>
      <c r="AQ109" s="50"/>
    </row>
    <row r="110" customFormat="false" ht="12.75" hidden="false" customHeight="false" outlineLevel="0" collapsed="false">
      <c r="A110" s="0" t="n">
        <f aca="false">DAY((B111-1))</f>
        <v>31</v>
      </c>
      <c r="B110" s="7" t="n">
        <v>37073</v>
      </c>
      <c r="E110" s="81"/>
      <c r="F110" s="81"/>
      <c r="G110" s="81"/>
      <c r="M110" s="64"/>
      <c r="N110" s="58"/>
      <c r="X110" s="96"/>
      <c r="Z110" s="51"/>
      <c r="AH110" s="51"/>
      <c r="AN110" s="51"/>
      <c r="AO110" s="26"/>
      <c r="AP110" s="51"/>
      <c r="AQ110" s="50"/>
    </row>
    <row r="111" customFormat="false" ht="12.75" hidden="false" customHeight="false" outlineLevel="0" collapsed="false">
      <c r="A111" s="0" t="n">
        <f aca="false">DAY((B112-1))</f>
        <v>31</v>
      </c>
      <c r="B111" s="7" t="n">
        <v>37104</v>
      </c>
      <c r="E111" s="81"/>
      <c r="F111" s="81"/>
      <c r="G111" s="81"/>
      <c r="M111" s="64"/>
      <c r="N111" s="58"/>
      <c r="X111" s="96"/>
      <c r="Z111" s="51"/>
      <c r="AH111" s="51"/>
      <c r="AN111" s="51"/>
      <c r="AO111" s="26"/>
      <c r="AP111" s="51"/>
      <c r="AQ111" s="50"/>
    </row>
    <row r="112" customFormat="false" ht="12.75" hidden="false" customHeight="false" outlineLevel="0" collapsed="false">
      <c r="A112" s="0" t="n">
        <f aca="false">DAY((B113-1))</f>
        <v>30</v>
      </c>
      <c r="B112" s="7" t="n">
        <v>37135</v>
      </c>
      <c r="E112" s="81"/>
      <c r="F112" s="81"/>
      <c r="G112" s="81"/>
      <c r="M112" s="64"/>
      <c r="N112" s="58"/>
      <c r="X112" s="96"/>
      <c r="Z112" s="51"/>
      <c r="AH112" s="51"/>
      <c r="AN112" s="51"/>
      <c r="AO112" s="26"/>
      <c r="AP112" s="51"/>
      <c r="AQ112" s="50"/>
    </row>
    <row r="113" customFormat="false" ht="12.75" hidden="false" customHeight="false" outlineLevel="0" collapsed="false">
      <c r="A113" s="0" t="n">
        <f aca="false">DAY((B114-1))</f>
        <v>31</v>
      </c>
      <c r="B113" s="7" t="n">
        <v>37165</v>
      </c>
      <c r="E113" s="81"/>
      <c r="F113" s="81"/>
      <c r="G113" s="81"/>
      <c r="M113" s="64"/>
      <c r="N113" s="58"/>
      <c r="X113" s="96"/>
      <c r="Z113" s="51"/>
      <c r="AH113" s="51"/>
      <c r="AN113" s="51"/>
      <c r="AO113" s="26"/>
      <c r="AP113" s="51"/>
      <c r="AQ113" s="50"/>
    </row>
    <row r="114" customFormat="false" ht="12.75" hidden="false" customHeight="false" outlineLevel="0" collapsed="false">
      <c r="A114" s="0" t="n">
        <f aca="false">DAY((B115-1))</f>
        <v>30</v>
      </c>
      <c r="B114" s="7" t="n">
        <v>37196</v>
      </c>
      <c r="E114" s="81"/>
      <c r="F114" s="81"/>
      <c r="G114" s="81"/>
      <c r="M114" s="64"/>
      <c r="N114" s="58"/>
      <c r="X114" s="96"/>
      <c r="Z114" s="51"/>
      <c r="AH114" s="51"/>
      <c r="AN114" s="51"/>
      <c r="AO114" s="26"/>
      <c r="AP114" s="51"/>
      <c r="AQ114" s="50"/>
    </row>
    <row r="115" customFormat="false" ht="12.75" hidden="false" customHeight="false" outlineLevel="0" collapsed="false">
      <c r="B115" s="7" t="n">
        <v>37226</v>
      </c>
      <c r="M115" s="64"/>
      <c r="N115" s="58"/>
      <c r="X115" s="96"/>
      <c r="Z115" s="51"/>
      <c r="AH115" s="51"/>
      <c r="AO115" s="26"/>
      <c r="AP115" s="51"/>
    </row>
    <row r="116" customFormat="false" ht="12.75" hidden="false" customHeight="false" outlineLevel="0" collapsed="false">
      <c r="B116" s="7"/>
      <c r="M116" s="64"/>
      <c r="N116" s="58"/>
      <c r="X116" s="96"/>
      <c r="Z116" s="51"/>
      <c r="AH116" s="51"/>
      <c r="AO116" s="26"/>
      <c r="AP116" s="51"/>
    </row>
    <row r="117" customFormat="false" ht="12.75" hidden="false" customHeight="false" outlineLevel="0" collapsed="false">
      <c r="B117" s="7"/>
      <c r="M117" s="64"/>
      <c r="N117" s="58"/>
      <c r="X117" s="96"/>
      <c r="Z117" s="51"/>
      <c r="AH117" s="51"/>
      <c r="AP117" s="51"/>
    </row>
    <row r="118" customFormat="false" ht="12.75" hidden="false" customHeight="false" outlineLevel="0" collapsed="false">
      <c r="B118" s="7"/>
      <c r="M118" s="58"/>
      <c r="N118" s="58"/>
      <c r="X118" s="96"/>
      <c r="Z118" s="51"/>
      <c r="AH118" s="51"/>
      <c r="AP118" s="51"/>
    </row>
    <row r="119" customFormat="false" ht="12.75" hidden="false" customHeight="false" outlineLevel="0" collapsed="false">
      <c r="B119" s="7"/>
      <c r="M119" s="58"/>
      <c r="N119" s="58"/>
      <c r="X119" s="96"/>
      <c r="Z119" s="51"/>
      <c r="AH119" s="51"/>
    </row>
    <row r="120" customFormat="false" ht="12.75" hidden="false" customHeight="false" outlineLevel="0" collapsed="false">
      <c r="B120" s="7"/>
      <c r="M120" s="58"/>
      <c r="N120" s="58"/>
      <c r="X120" s="96"/>
      <c r="Z120" s="51"/>
      <c r="AH120" s="51"/>
    </row>
    <row r="121" customFormat="false" ht="12.75" hidden="false" customHeight="false" outlineLevel="0" collapsed="false">
      <c r="B121" s="7"/>
      <c r="N121" s="58"/>
    </row>
  </sheetData>
  <conditionalFormatting sqref="AS68:AS101">
    <cfRule type="cellIs" priority="2" operator="greaterThanOrEqual" aboveAverage="0" equalAverage="0" bottom="0" percent="0" rank="0" text="" dxfId="2">
      <formula>$AR$2</formula>
    </cfRule>
  </conditionalFormatting>
  <printOptions headings="false" gridLines="false" gridLinesSet="true" horizontalCentered="false" verticalCentered="false"/>
  <pageMargins left="0.5" right="0.5" top="0.5" bottom="0.75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 &amp;T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101" activePane="bottomRight" state="frozen"/>
      <selection pane="topLeft" activeCell="A1" activeCellId="0" sqref="A1"/>
      <selection pane="topRight" activeCell="B1" activeCellId="0" sqref="B1"/>
      <selection pane="bottomLeft" activeCell="A101" activeCellId="0" sqref="A101"/>
      <selection pane="bottomRight" activeCell="D108" activeCellId="0" sqref="D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</cols>
  <sheetData>
    <row r="1" customFormat="false" ht="12.75" hidden="false" customHeight="false" outlineLevel="0" collapsed="false">
      <c r="B1" s="0" t="n">
        <v>0</v>
      </c>
      <c r="D1" s="51" t="n">
        <f aca="false">$C$107+$C$108*B1</f>
        <v>-73.6267193023452</v>
      </c>
      <c r="F1" s="51" t="n">
        <f aca="false">$E$107+$E$108*$B1</f>
        <v>-84.2274290436255</v>
      </c>
      <c r="H1" s="0" t="n">
        <v>0</v>
      </c>
      <c r="I1" s="51" t="n">
        <f aca="false">$I$107+$I$108*$H1</f>
        <v>-103.626453208148</v>
      </c>
    </row>
    <row r="2" customFormat="false" ht="12.75" hidden="false" customHeight="false" outlineLevel="0" collapsed="false">
      <c r="B2" s="0" t="n">
        <v>1.45</v>
      </c>
      <c r="D2" s="51" t="n">
        <f aca="false">$C$107+$C$108*B2</f>
        <v>73.169918351232</v>
      </c>
      <c r="F2" s="51" t="n">
        <f aca="false">$E$107+$E$108*$B2</f>
        <v>76.4589141676592</v>
      </c>
      <c r="H2" s="0" t="n">
        <v>1.45</v>
      </c>
      <c r="I2" s="51" t="n">
        <f aca="false">$I$107+$I$108*$H2</f>
        <v>80.1266296483192</v>
      </c>
    </row>
    <row r="3" customFormat="false" ht="12.75" hidden="false" customHeight="false" outlineLevel="0" collapsed="false">
      <c r="A3" s="97" t="s">
        <v>65</v>
      </c>
      <c r="B3" s="97" t="s">
        <v>46</v>
      </c>
      <c r="C3" s="97" t="s">
        <v>47</v>
      </c>
      <c r="D3" s="97" t="s">
        <v>47</v>
      </c>
    </row>
    <row r="6" customFormat="false" ht="12.75" hidden="false" customHeight="false" outlineLevel="0" collapsed="false">
      <c r="A6" s="97"/>
      <c r="B6" s="97" t="s">
        <v>46</v>
      </c>
      <c r="C6" s="97" t="s">
        <v>47</v>
      </c>
      <c r="D6" s="97" t="s">
        <v>47</v>
      </c>
      <c r="E6" s="97" t="s">
        <v>47</v>
      </c>
      <c r="F6" s="97" t="s">
        <v>47</v>
      </c>
    </row>
    <row r="7" customFormat="false" ht="12.75" hidden="false" customHeight="false" outlineLevel="0" collapsed="false">
      <c r="A7" s="97"/>
      <c r="B7" s="97" t="s">
        <v>136</v>
      </c>
      <c r="C7" s="97" t="s">
        <v>137</v>
      </c>
      <c r="D7" s="97" t="s">
        <v>138</v>
      </c>
      <c r="E7" s="97" t="s">
        <v>139</v>
      </c>
      <c r="F7" s="97" t="s">
        <v>140</v>
      </c>
    </row>
    <row r="8" customFormat="false" ht="12.75" hidden="false" customHeight="false" outlineLevel="0" collapsed="false">
      <c r="A8" s="7" t="n">
        <f aca="false">daily!B18</f>
        <v>34274</v>
      </c>
      <c r="B8" s="83" t="n">
        <f aca="false">daily!T18</f>
        <v>0.979253658536585</v>
      </c>
      <c r="C8" s="51" t="n">
        <f aca="false">daily!N18</f>
        <v>26.1025666666667</v>
      </c>
      <c r="D8" s="51" t="n">
        <f aca="false">$C$107+$C$108*B8</f>
        <v>25.5120010308513</v>
      </c>
      <c r="E8" s="51" t="n">
        <f aca="false">daily!P18</f>
        <v>22.0428</v>
      </c>
      <c r="F8" s="51" t="n">
        <f aca="false">$E$107+$E$108*$B8</f>
        <v>24.2916671401786</v>
      </c>
    </row>
    <row r="9" customFormat="false" ht="12.75" hidden="false" customHeight="false" outlineLevel="0" collapsed="false">
      <c r="A9" s="7" t="n">
        <f aca="false">daily!B19</f>
        <v>34304</v>
      </c>
      <c r="B9" s="83" t="n">
        <f aca="false">daily!T19</f>
        <v>0.993378607809847</v>
      </c>
      <c r="C9" s="51" t="n">
        <f aca="false">daily!N19</f>
        <v>29.3289677419355</v>
      </c>
      <c r="D9" s="51" t="n">
        <f aca="false">$C$107+$C$108*B9</f>
        <v>26.9419976241907</v>
      </c>
      <c r="E9" s="51" t="n">
        <f aca="false">daily!P19</f>
        <v>24.4797096774194</v>
      </c>
      <c r="F9" s="51" t="n">
        <f aca="false">$E$107+$E$108*$B9</f>
        <v>25.8569681379478</v>
      </c>
    </row>
    <row r="10" customFormat="false" ht="12.75" hidden="false" customHeight="false" outlineLevel="0" collapsed="false">
      <c r="A10" s="7" t="n">
        <f aca="false">daily!B20</f>
        <v>34335</v>
      </c>
      <c r="B10" s="83" t="n">
        <f aca="false">daily!T20</f>
        <v>1.01612903225806</v>
      </c>
      <c r="C10" s="51" t="n">
        <f aca="false">daily!N20</f>
        <v>29.7138064516129</v>
      </c>
      <c r="D10" s="51" t="n">
        <f aca="false">$C$107+$C$108*B10</f>
        <v>29.2452292201839</v>
      </c>
      <c r="E10" s="51" t="n">
        <f aca="false">daily!P20</f>
        <v>24.5595806451613</v>
      </c>
      <c r="F10" s="51" t="n">
        <f aca="false">$E$107+$E$108*$B10</f>
        <v>28.3781284904227</v>
      </c>
    </row>
    <row r="11" customFormat="false" ht="12.75" hidden="false" customHeight="false" outlineLevel="0" collapsed="false">
      <c r="A11" s="7" t="n">
        <f aca="false">daily!B21</f>
        <v>34366</v>
      </c>
      <c r="B11" s="83" t="n">
        <f aca="false">daily!T21</f>
        <v>1.03790322580645</v>
      </c>
      <c r="C11" s="51" t="n">
        <f aca="false">daily!N21</f>
        <v>31.8445</v>
      </c>
      <c r="D11" s="51" t="n">
        <f aca="false">$C$107+$C$108*B11</f>
        <v>31.4496281170952</v>
      </c>
      <c r="E11" s="51" t="n">
        <f aca="false">daily!P21</f>
        <v>23.119</v>
      </c>
      <c r="F11" s="51" t="n">
        <f aca="false">$E$107+$E$108*$B11</f>
        <v>30.7911047232952</v>
      </c>
    </row>
    <row r="12" customFormat="false" ht="12.75" hidden="false" customHeight="false" outlineLevel="0" collapsed="false">
      <c r="A12" s="7" t="n">
        <f aca="false">daily!B22</f>
        <v>34394</v>
      </c>
      <c r="B12" s="83" t="n">
        <f aca="false">daily!T22</f>
        <v>0.972397849462366</v>
      </c>
      <c r="C12" s="51" t="n">
        <f aca="false">daily!N22</f>
        <v>25.2742258064516</v>
      </c>
      <c r="D12" s="51" t="n">
        <f aca="false">$C$107+$C$108*B12</f>
        <v>24.8179253615476</v>
      </c>
      <c r="E12" s="51" t="n">
        <f aca="false">daily!P22</f>
        <v>18.8763548387097</v>
      </c>
      <c r="F12" s="51" t="n">
        <f aca="false">$E$107+$E$108*$B12</f>
        <v>23.5319189402537</v>
      </c>
    </row>
    <row r="13" customFormat="false" ht="12.75" hidden="false" customHeight="false" outlineLevel="0" collapsed="false">
      <c r="A13" s="7" t="n">
        <f aca="false">daily!B23</f>
        <v>34425</v>
      </c>
      <c r="B13" s="83" t="n">
        <f aca="false">daily!T23</f>
        <v>1.03055769230769</v>
      </c>
      <c r="C13" s="51" t="n">
        <f aca="false">daily!N23</f>
        <v>27.0608</v>
      </c>
      <c r="D13" s="51" t="n">
        <f aca="false">$C$107+$C$108*B13</f>
        <v>30.7059732071714</v>
      </c>
      <c r="E13" s="51" t="n">
        <f aca="false">daily!P23</f>
        <v>24.0796</v>
      </c>
      <c r="F13" s="51" t="n">
        <f aca="false">$E$107+$E$108*$B13</f>
        <v>29.9770861599492</v>
      </c>
    </row>
    <row r="14" customFormat="false" ht="12.75" hidden="false" customHeight="false" outlineLevel="0" collapsed="false">
      <c r="A14" s="7" t="n">
        <f aca="false">daily!B24</f>
        <v>34455</v>
      </c>
      <c r="B14" s="83" t="n">
        <f aca="false">daily!T24</f>
        <v>0.964401290322581</v>
      </c>
      <c r="C14" s="51" t="n">
        <f aca="false">daily!N24</f>
        <v>24.3742258064516</v>
      </c>
      <c r="D14" s="51" t="n">
        <f aca="false">$C$107+$C$108*B14</f>
        <v>24.008361227397</v>
      </c>
      <c r="E14" s="51" t="n">
        <f aca="false">daily!P24</f>
        <v>23.0266451612903</v>
      </c>
      <c r="F14" s="51" t="n">
        <f aca="false">$E$107+$E$108*$B14</f>
        <v>22.6457549082227</v>
      </c>
    </row>
    <row r="15" customFormat="false" ht="12.75" hidden="false" customHeight="false" outlineLevel="0" collapsed="false">
      <c r="A15" s="7" t="n">
        <f aca="false">daily!B25</f>
        <v>34486</v>
      </c>
      <c r="B15" s="83" t="n">
        <f aca="false">daily!T25</f>
        <v>1.036065</v>
      </c>
      <c r="C15" s="51" t="n">
        <f aca="false">daily!N25</f>
        <v>28.4310666666667</v>
      </c>
      <c r="D15" s="51" t="n">
        <f aca="false">$C$107+$C$108*B15</f>
        <v>31.2635278635537</v>
      </c>
      <c r="E15" s="51" t="n">
        <f aca="false">daily!P25</f>
        <v>18.2473666666667</v>
      </c>
      <c r="F15" s="51" t="n">
        <f aca="false">$E$107+$E$108*$B15</f>
        <v>30.5873959075467</v>
      </c>
    </row>
    <row r="16" customFormat="false" ht="12.75" hidden="false" customHeight="false" outlineLevel="0" collapsed="false">
      <c r="A16" s="7" t="n">
        <f aca="false">daily!B26</f>
        <v>34516</v>
      </c>
      <c r="B16" s="83" t="n">
        <f aca="false">daily!T26</f>
        <v>1.15752822580645</v>
      </c>
      <c r="C16" s="51" t="n">
        <f aca="false">daily!N26</f>
        <v>38.9326129032258</v>
      </c>
      <c r="D16" s="51" t="n">
        <f aca="false">$C$107+$C$108*B16</f>
        <v>43.5603507235153</v>
      </c>
      <c r="E16" s="51" t="n">
        <f aca="false">daily!P26</f>
        <v>27.0423870967742</v>
      </c>
      <c r="F16" s="51" t="n">
        <f aca="false">$E$107+$E$108*$B16</f>
        <v>44.0477280382261</v>
      </c>
    </row>
    <row r="17" customFormat="false" ht="12.75" hidden="false" customHeight="false" outlineLevel="0" collapsed="false">
      <c r="A17" s="7" t="n">
        <f aca="false">daily!B27</f>
        <v>34547</v>
      </c>
      <c r="B17" s="83" t="n">
        <f aca="false">daily!T27</f>
        <v>1.1471917562724</v>
      </c>
      <c r="C17" s="51" t="n">
        <f aca="false">daily!N27</f>
        <v>41.5963870967742</v>
      </c>
      <c r="D17" s="51" t="n">
        <f aca="false">$C$107+$C$108*B17</f>
        <v>42.5138962595104</v>
      </c>
      <c r="E17" s="51" t="n">
        <f aca="false">daily!P27</f>
        <v>40.9791612903226</v>
      </c>
      <c r="F17" s="51" t="n">
        <f aca="false">$E$107+$E$108*$B17</f>
        <v>42.9022594236459</v>
      </c>
    </row>
    <row r="18" customFormat="false" ht="12.75" hidden="false" customHeight="false" outlineLevel="0" collapsed="false">
      <c r="A18" s="7" t="n">
        <f aca="false">daily!B28</f>
        <v>34578</v>
      </c>
      <c r="B18" s="83" t="n">
        <f aca="false">daily!T28</f>
        <v>1.09121733333333</v>
      </c>
      <c r="C18" s="51" t="n">
        <f aca="false">daily!N28</f>
        <v>37.6551</v>
      </c>
      <c r="D18" s="51" t="n">
        <f aca="false">$C$107+$C$108*B18</f>
        <v>36.8470982718866</v>
      </c>
      <c r="E18" s="51" t="n">
        <f aca="false">daily!P28</f>
        <v>26.2352333333333</v>
      </c>
      <c r="F18" s="51" t="n">
        <f aca="false">$E$107+$E$108*$B18</f>
        <v>36.6992764336868</v>
      </c>
    </row>
    <row r="19" customFormat="false" ht="12.75" hidden="false" customHeight="false" outlineLevel="0" collapsed="false">
      <c r="A19" s="7" t="n">
        <f aca="false">daily!B29</f>
        <v>34608</v>
      </c>
      <c r="B19" s="83" t="n">
        <f aca="false">daily!T29</f>
        <v>1.02647419354839</v>
      </c>
      <c r="C19" s="51" t="n">
        <f aca="false">daily!N29</f>
        <v>39.0286774193548</v>
      </c>
      <c r="D19" s="51" t="n">
        <f aca="false">$C$107+$C$108*B19</f>
        <v>30.2925636294275</v>
      </c>
      <c r="E19" s="51" t="n">
        <f aca="false">daily!P29</f>
        <v>45.6022903225806</v>
      </c>
      <c r="F19" s="51" t="n">
        <f aca="false">$E$107+$E$108*$B19</f>
        <v>29.5245603095075</v>
      </c>
    </row>
    <row r="20" customFormat="false" ht="12.75" hidden="false" customHeight="false" outlineLevel="0" collapsed="false">
      <c r="A20" s="7" t="n">
        <f aca="false">daily!B30</f>
        <v>34639</v>
      </c>
      <c r="B20" s="83" t="n">
        <f aca="false">daily!T30</f>
        <v>1.13581351351351</v>
      </c>
      <c r="C20" s="51" t="n">
        <f aca="false">daily!N30</f>
        <v>41.6146666666667</v>
      </c>
      <c r="D20" s="51" t="n">
        <f aca="false">$C$107+$C$108*B20</f>
        <v>41.3619736530201</v>
      </c>
      <c r="E20" s="51" t="n">
        <f aca="false">daily!P30</f>
        <v>48.1564666666667</v>
      </c>
      <c r="F20" s="51" t="n">
        <f aca="false">$E$107+$E$108*$B20</f>
        <v>41.641343409097</v>
      </c>
    </row>
    <row r="21" customFormat="false" ht="12.75" hidden="false" customHeight="false" outlineLevel="0" collapsed="false">
      <c r="A21" s="7" t="n">
        <f aca="false">daily!B31</f>
        <v>34669</v>
      </c>
      <c r="B21" s="83" t="n">
        <f aca="false">daily!T31</f>
        <v>1.21419965126417</v>
      </c>
      <c r="C21" s="51" t="n">
        <f aca="false">daily!N31</f>
        <v>49.8972580645161</v>
      </c>
      <c r="D21" s="51" t="n">
        <f aca="false">$C$107+$C$108*B21</f>
        <v>49.2977125912588</v>
      </c>
      <c r="E21" s="51" t="n">
        <f aca="false">daily!P31</f>
        <v>54.8841935483871</v>
      </c>
      <c r="F21" s="51" t="n">
        <f aca="false">$E$107+$E$108*$B21</f>
        <v>50.3279515702063</v>
      </c>
    </row>
    <row r="22" customFormat="false" ht="12.75" hidden="false" customHeight="false" outlineLevel="0" collapsed="false">
      <c r="A22" s="7" t="n">
        <f aca="false">daily!B32</f>
        <v>34700</v>
      </c>
      <c r="B22" s="83" t="n">
        <f aca="false">daily!T32</f>
        <v>1.18487258064516</v>
      </c>
      <c r="C22" s="51" t="n">
        <f aca="false">daily!N32</f>
        <v>48.3485806451613</v>
      </c>
      <c r="D22" s="51" t="n">
        <f aca="false">$C$107+$C$108*B22</f>
        <v>46.328667516018</v>
      </c>
      <c r="E22" s="51" t="n">
        <f aca="false">daily!P32</f>
        <v>60.9711290322581</v>
      </c>
      <c r="F22" s="51" t="n">
        <f aca="false">$E$107+$E$108*$B22</f>
        <v>47.0779793392634</v>
      </c>
    </row>
    <row r="23" customFormat="false" ht="12.75" hidden="false" customHeight="false" outlineLevel="0" collapsed="false">
      <c r="A23" s="7" t="n">
        <f aca="false">daily!B33</f>
        <v>34731</v>
      </c>
      <c r="B23" s="83" t="n">
        <f aca="false">daily!T33</f>
        <v>1.17540746753247</v>
      </c>
      <c r="C23" s="51" t="n">
        <f aca="false">daily!N33</f>
        <v>42.7329285714286</v>
      </c>
      <c r="D23" s="51" t="n">
        <f aca="false">$C$107+$C$108*B23</f>
        <v>45.3704283574289</v>
      </c>
      <c r="E23" s="51" t="n">
        <f aca="false">daily!P33</f>
        <v>34.4754642857143</v>
      </c>
      <c r="F23" s="51" t="n">
        <f aca="false">$E$107+$E$108*$B23</f>
        <v>46.0290728467393</v>
      </c>
    </row>
    <row r="24" customFormat="false" ht="12.75" hidden="false" customHeight="false" outlineLevel="0" collapsed="false">
      <c r="A24" s="7" t="n">
        <f aca="false">daily!B34</f>
        <v>34759</v>
      </c>
      <c r="B24" s="83" t="n">
        <f aca="false">daily!T34</f>
        <v>1.20540102639296</v>
      </c>
      <c r="C24" s="51" t="n">
        <f aca="false">daily!N34</f>
        <v>51.4991290322581</v>
      </c>
      <c r="D24" s="51" t="n">
        <f aca="false">$C$107+$C$108*B24</f>
        <v>48.4069480760394</v>
      </c>
      <c r="E24" s="51" t="n">
        <f aca="false">daily!P34</f>
        <v>57.4791935483871</v>
      </c>
      <c r="F24" s="51" t="n">
        <f aca="false">$E$107+$E$108*$B24</f>
        <v>49.3529040834188</v>
      </c>
    </row>
    <row r="25" customFormat="false" ht="12.75" hidden="false" customHeight="false" outlineLevel="0" collapsed="false">
      <c r="A25" s="7" t="n">
        <f aca="false">daily!B35</f>
        <v>34790</v>
      </c>
      <c r="B25" s="83" t="n">
        <f aca="false">daily!T35</f>
        <v>1.15076111111111</v>
      </c>
      <c r="C25" s="51" t="n">
        <f aca="false">daily!N35</f>
        <v>45.1138</v>
      </c>
      <c r="D25" s="51" t="n">
        <f aca="false">$C$107+$C$108*B25</f>
        <v>42.8752543897966</v>
      </c>
      <c r="E25" s="51" t="n">
        <f aca="false">daily!P35</f>
        <v>51.8849</v>
      </c>
      <c r="F25" s="51" t="n">
        <f aca="false">$E$107+$E$108*$B25</f>
        <v>43.2978087868568</v>
      </c>
    </row>
    <row r="26" customFormat="false" ht="12.75" hidden="false" customHeight="false" outlineLevel="0" collapsed="false">
      <c r="A26" s="7" t="n">
        <f aca="false">daily!B36</f>
        <v>34820</v>
      </c>
      <c r="B26" s="83" t="n">
        <f aca="false">daily!T36</f>
        <v>1.11706989247312</v>
      </c>
      <c r="C26" s="51" t="n">
        <f aca="false">daily!N36</f>
        <v>39.2468387096774</v>
      </c>
      <c r="D26" s="51" t="n">
        <f aca="false">$C$107+$C$108*B26</f>
        <v>39.4643870694457</v>
      </c>
      <c r="E26" s="51" t="n">
        <f aca="false">daily!P36</f>
        <v>47.1686774193548</v>
      </c>
      <c r="F26" s="51" t="n">
        <f aca="false">$E$107+$E$108*$B26</f>
        <v>39.5642096687389</v>
      </c>
    </row>
    <row r="27" customFormat="false" ht="12.75" hidden="false" customHeight="false" outlineLevel="0" collapsed="false">
      <c r="A27" s="7" t="n">
        <f aca="false">daily!B37</f>
        <v>34851</v>
      </c>
      <c r="B27" s="83" t="n">
        <f aca="false">daily!T37</f>
        <v>1.16622569444444</v>
      </c>
      <c r="C27" s="51" t="n">
        <f aca="false">daily!N37</f>
        <v>40.0669666666667</v>
      </c>
      <c r="D27" s="51" t="n">
        <f aca="false">$C$107+$C$108*B27</f>
        <v>44.4408742767255</v>
      </c>
      <c r="E27" s="51" t="n">
        <f aca="false">daily!P37</f>
        <v>44.7335333333333</v>
      </c>
      <c r="F27" s="51" t="n">
        <f aca="false">$E$107+$E$108*$B27</f>
        <v>45.0115655765944</v>
      </c>
    </row>
    <row r="28" customFormat="false" ht="12.75" hidden="false" customHeight="false" outlineLevel="0" collapsed="false">
      <c r="A28" s="7" t="n">
        <f aca="false">daily!B38</f>
        <v>34881</v>
      </c>
      <c r="B28" s="83" t="n">
        <f aca="false">daily!T38</f>
        <v>1.13339945092656</v>
      </c>
      <c r="C28" s="51" t="n">
        <f aca="false">daily!N38</f>
        <v>42.6071290322581</v>
      </c>
      <c r="D28" s="51" t="n">
        <f aca="false">$C$107+$C$108*B28</f>
        <v>41.1175762248478</v>
      </c>
      <c r="E28" s="51" t="n">
        <f aca="false">daily!P38</f>
        <v>48.6292580645161</v>
      </c>
      <c r="F28" s="51" t="n">
        <f aca="false">$E$107+$E$108*$B28</f>
        <v>41.3738214164207</v>
      </c>
    </row>
    <row r="29" customFormat="false" ht="12.75" hidden="false" customHeight="false" outlineLevel="0" collapsed="false">
      <c r="A29" s="7" t="n">
        <f aca="false">daily!B39</f>
        <v>34912</v>
      </c>
      <c r="B29" s="83" t="n">
        <f aca="false">daily!T39</f>
        <v>1.20193067947838</v>
      </c>
      <c r="C29" s="51" t="n">
        <f aca="false">daily!N39</f>
        <v>47.6471290322581</v>
      </c>
      <c r="D29" s="51" t="n">
        <f aca="false">$C$107+$C$108*B29</f>
        <v>48.055613414969</v>
      </c>
      <c r="E29" s="51" t="n">
        <f aca="false">daily!P39</f>
        <v>50.5469032258065</v>
      </c>
      <c r="F29" s="51" t="n">
        <f aca="false">$E$107+$E$108*$B29</f>
        <v>48.9683265969508</v>
      </c>
    </row>
    <row r="30" customFormat="false" ht="12.75" hidden="false" customHeight="false" outlineLevel="0" collapsed="false">
      <c r="A30" s="7" t="n">
        <f aca="false">daily!B40</f>
        <v>34943</v>
      </c>
      <c r="B30" s="83" t="n">
        <f aca="false">daily!T40</f>
        <v>1.18925390070922</v>
      </c>
      <c r="C30" s="51" t="n">
        <f aca="false">daily!N40</f>
        <v>47.3285666666667</v>
      </c>
      <c r="D30" s="51" t="n">
        <f aca="false">$C$107+$C$108*B30</f>
        <v>46.7722282428373</v>
      </c>
      <c r="E30" s="51" t="n">
        <f aca="false">daily!P40</f>
        <v>52.1132666666667</v>
      </c>
      <c r="F30" s="51" t="n">
        <f aca="false">$E$107+$E$108*$B30</f>
        <v>47.5635092010095</v>
      </c>
    </row>
    <row r="31" customFormat="false" ht="12.75" hidden="false" customHeight="false" outlineLevel="0" collapsed="false">
      <c r="A31" s="7" t="n">
        <f aca="false">daily!B41</f>
        <v>34973</v>
      </c>
      <c r="B31" s="83" t="n">
        <f aca="false">daily!T41</f>
        <v>1.16665080645161</v>
      </c>
      <c r="C31" s="51" t="n">
        <f aca="false">daily!N41</f>
        <v>46.5763225806452</v>
      </c>
      <c r="D31" s="51" t="n">
        <f aca="false">$C$107+$C$108*B31</f>
        <v>44.4839122169175</v>
      </c>
      <c r="E31" s="51" t="n">
        <f aca="false">daily!P41</f>
        <v>54.5620967741936</v>
      </c>
      <c r="F31" s="51" t="n">
        <f aca="false">$E$107+$E$108*$B31</f>
        <v>45.0586757103096</v>
      </c>
    </row>
    <row r="32" customFormat="false" ht="12.75" hidden="false" customHeight="false" outlineLevel="0" collapsed="false">
      <c r="A32" s="7" t="n">
        <f aca="false">daily!B42</f>
        <v>35004</v>
      </c>
      <c r="B32" s="83" t="n">
        <f aca="false">daily!T42</f>
        <v>1.18319674796748</v>
      </c>
      <c r="C32" s="51" t="n">
        <f aca="false">daily!N42</f>
        <v>46.9672</v>
      </c>
      <c r="D32" s="51" t="n">
        <f aca="false">$C$107+$C$108*B32</f>
        <v>46.1590077902569</v>
      </c>
      <c r="E32" s="51" t="n">
        <f aca="false">daily!P42</f>
        <v>50.9833</v>
      </c>
      <c r="F32" s="51" t="n">
        <f aca="false">$E$107+$E$108*$B32</f>
        <v>46.8922666324975</v>
      </c>
    </row>
    <row r="33" customFormat="false" ht="12.75" hidden="false" customHeight="false" outlineLevel="0" collapsed="false">
      <c r="A33" s="7" t="n">
        <f aca="false">daily!B43</f>
        <v>35034</v>
      </c>
      <c r="B33" s="83" t="n">
        <f aca="false">daily!T43</f>
        <v>1.1940592648162</v>
      </c>
      <c r="C33" s="51" t="n">
        <f aca="false">daily!N43</f>
        <v>53.0790322580645</v>
      </c>
      <c r="D33" s="51" t="n">
        <f aca="false">$C$107+$C$108*B33</f>
        <v>47.2587187901521</v>
      </c>
      <c r="E33" s="51" t="n">
        <f aca="false">daily!P43</f>
        <v>58.5100967741936</v>
      </c>
      <c r="F33" s="51" t="n">
        <f aca="false">$E$107+$E$108*$B33</f>
        <v>48.0960308466302</v>
      </c>
    </row>
    <row r="34" customFormat="false" ht="12.75" hidden="false" customHeight="false" outlineLevel="0" collapsed="false">
      <c r="A34" s="7" t="n">
        <f aca="false">daily!B44</f>
        <v>35065</v>
      </c>
      <c r="B34" s="83" t="n">
        <f aca="false">daily!T44</f>
        <v>1.12402100525131</v>
      </c>
      <c r="C34" s="51" t="n">
        <f aca="false">daily!N44</f>
        <v>46.7697741935484</v>
      </c>
      <c r="D34" s="51" t="n">
        <f aca="false">$C$107+$C$108*B34</f>
        <v>40.1681111961972</v>
      </c>
      <c r="E34" s="51" t="n">
        <f aca="false">daily!P44</f>
        <v>51.6861612903226</v>
      </c>
      <c r="F34" s="51" t="n">
        <f aca="false">$E$107+$E$108*$B34</f>
        <v>40.3345192505163</v>
      </c>
    </row>
    <row r="35" customFormat="false" ht="12.75" hidden="false" customHeight="false" outlineLevel="0" collapsed="false">
      <c r="A35" s="7" t="n">
        <f aca="false">daily!B45</f>
        <v>35096</v>
      </c>
      <c r="B35" s="83" t="n">
        <f aca="false">daily!T45</f>
        <v>1.08286928628709</v>
      </c>
      <c r="C35" s="51" t="n">
        <f aca="false">daily!N45</f>
        <v>38.990724137931</v>
      </c>
      <c r="D35" s="51" t="n">
        <f aca="false">$C$107+$C$108*B35</f>
        <v>36.0019498323262</v>
      </c>
      <c r="E35" s="51" t="n">
        <f aca="false">daily!P45</f>
        <v>41.9206206896552</v>
      </c>
      <c r="F35" s="51" t="n">
        <f aca="false">$E$107+$E$108*$B35</f>
        <v>35.7741611558821</v>
      </c>
    </row>
    <row r="36" customFormat="false" ht="12.75" hidden="false" customHeight="false" outlineLevel="0" collapsed="false">
      <c r="A36" s="7" t="n">
        <f aca="false">daily!B46</f>
        <v>35125</v>
      </c>
      <c r="B36" s="83" t="n">
        <f aca="false">daily!T46</f>
        <v>1.11283345836459</v>
      </c>
      <c r="C36" s="51" t="n">
        <f aca="false">daily!N46</f>
        <v>34.6343870967742</v>
      </c>
      <c r="D36" s="51" t="n">
        <f aca="false">$C$107+$C$108*B36</f>
        <v>39.0354944606369</v>
      </c>
      <c r="E36" s="51" t="n">
        <f aca="false">daily!P46</f>
        <v>42.6024516129032</v>
      </c>
      <c r="F36" s="51" t="n">
        <f aca="false">$E$107+$E$108*$B36</f>
        <v>39.0947358031149</v>
      </c>
    </row>
    <row r="37" customFormat="false" ht="12.75" hidden="false" customHeight="false" outlineLevel="0" collapsed="false">
      <c r="A37" s="7" t="n">
        <f aca="false">daily!B47</f>
        <v>35156</v>
      </c>
      <c r="B37" s="83" t="n">
        <f aca="false">daily!T47</f>
        <v>1.09137523809524</v>
      </c>
      <c r="C37" s="51" t="n">
        <f aca="false">daily!N47</f>
        <v>35.8238</v>
      </c>
      <c r="D37" s="51" t="n">
        <f aca="false">$C$107+$C$108*B37</f>
        <v>36.8630844016225</v>
      </c>
      <c r="E37" s="51" t="n">
        <f aca="false">daily!P47</f>
        <v>36.4444666666667</v>
      </c>
      <c r="F37" s="51" t="n">
        <f aca="false">$E$107+$E$108*$B37</f>
        <v>36.7167751500772</v>
      </c>
    </row>
    <row r="38" customFormat="false" ht="12.75" hidden="false" customHeight="false" outlineLevel="0" collapsed="false">
      <c r="A38" s="7" t="n">
        <f aca="false">daily!B48</f>
        <v>35186</v>
      </c>
      <c r="B38" s="83" t="n">
        <f aca="false">daily!T48</f>
        <v>1.21447281105991</v>
      </c>
      <c r="C38" s="51" t="n">
        <f aca="false">daily!N48</f>
        <v>43.5401290322581</v>
      </c>
      <c r="D38" s="51" t="n">
        <f aca="false">$C$107+$C$108*B38</f>
        <v>49.3253670323324</v>
      </c>
      <c r="E38" s="51" t="n">
        <f aca="false">daily!P48</f>
        <v>50.6286774193548</v>
      </c>
      <c r="F38" s="51" t="n">
        <f aca="false">$E$107+$E$108*$B38</f>
        <v>50.3582226382683</v>
      </c>
    </row>
    <row r="39" customFormat="false" ht="12.75" hidden="false" customHeight="false" outlineLevel="0" collapsed="false">
      <c r="A39" s="7" t="n">
        <f aca="false">daily!B49</f>
        <v>35217</v>
      </c>
      <c r="B39" s="83" t="n">
        <f aca="false">daily!T49</f>
        <v>1.21655175438596</v>
      </c>
      <c r="C39" s="51" t="n">
        <f aca="false">daily!N49</f>
        <v>50.5952666666667</v>
      </c>
      <c r="D39" s="51" t="n">
        <f aca="false">$C$107+$C$108*B39</f>
        <v>49.5358373013928</v>
      </c>
      <c r="E39" s="51" t="n">
        <f aca="false">daily!P49</f>
        <v>53.4771</v>
      </c>
      <c r="F39" s="51" t="n">
        <f aca="false">$E$107+$E$108*$B39</f>
        <v>50.5886073284804</v>
      </c>
    </row>
    <row r="40" customFormat="false" ht="12.75" hidden="false" customHeight="false" outlineLevel="0" collapsed="false">
      <c r="A40" s="7" t="n">
        <f aca="false">daily!B50</f>
        <v>35247</v>
      </c>
      <c r="B40" s="83" t="n">
        <f aca="false">daily!T50</f>
        <v>1.21680241935484</v>
      </c>
      <c r="C40" s="51" t="n">
        <f aca="false">daily!N50</f>
        <v>52.6807741935484</v>
      </c>
      <c r="D40" s="51" t="n">
        <f aca="false">$C$107+$C$108*B40</f>
        <v>49.5612143873295</v>
      </c>
      <c r="E40" s="51" t="n">
        <f aca="false">daily!P50</f>
        <v>64.978935483871</v>
      </c>
      <c r="F40" s="51" t="n">
        <f aca="false">$E$107+$E$108*$B40</f>
        <v>50.6163855610456</v>
      </c>
    </row>
    <row r="41" customFormat="false" ht="12.75" hidden="false" customHeight="false" outlineLevel="0" collapsed="false">
      <c r="A41" s="7" t="n">
        <f aca="false">daily!B51</f>
        <v>35278</v>
      </c>
      <c r="B41" s="83" t="n">
        <f aca="false">daily!T51</f>
        <v>1.24507351837959</v>
      </c>
      <c r="C41" s="51" t="n">
        <f aca="false">daily!N51</f>
        <v>51.9802580645161</v>
      </c>
      <c r="D41" s="51" t="n">
        <f aca="false">$C$107+$C$108*B41</f>
        <v>52.4233538905057</v>
      </c>
      <c r="E41" s="51" t="n">
        <f aca="false">daily!P51</f>
        <v>65.8271612903226</v>
      </c>
      <c r="F41" s="51" t="n">
        <f aca="false">$E$107+$E$108*$B41</f>
        <v>53.7493369547368</v>
      </c>
    </row>
    <row r="42" customFormat="false" ht="12.75" hidden="false" customHeight="false" outlineLevel="0" collapsed="false">
      <c r="A42" s="7" t="n">
        <f aca="false">daily!B52</f>
        <v>35309</v>
      </c>
      <c r="B42" s="83" t="n">
        <f aca="false">daily!T52</f>
        <v>1.25208787878788</v>
      </c>
      <c r="C42" s="51" t="n">
        <f aca="false">daily!N52</f>
        <v>56.3888333333333</v>
      </c>
      <c r="D42" s="51" t="n">
        <f aca="false">$C$107+$C$108*B42</f>
        <v>53.1334811479033</v>
      </c>
      <c r="E42" s="51" t="n">
        <f aca="false">daily!P52</f>
        <v>69.7858333333333</v>
      </c>
      <c r="F42" s="51" t="n">
        <f aca="false">$E$107+$E$108*$B42</f>
        <v>54.5266555229942</v>
      </c>
    </row>
    <row r="43" customFormat="false" ht="12.75" hidden="false" customHeight="false" outlineLevel="0" collapsed="false">
      <c r="A43" s="7" t="n">
        <f aca="false">daily!B53</f>
        <v>35339</v>
      </c>
      <c r="B43" s="83" t="n">
        <f aca="false">daily!T53</f>
        <v>1.26396845878136</v>
      </c>
      <c r="C43" s="51" t="n">
        <f aca="false">daily!N53</f>
        <v>55.4519677419355</v>
      </c>
      <c r="D43" s="51" t="n">
        <f aca="false">$C$107+$C$108*B43</f>
        <v>54.3362599040534</v>
      </c>
      <c r="E43" s="51" t="n">
        <f aca="false">daily!P53</f>
        <v>67.4857419354839</v>
      </c>
      <c r="F43" s="51" t="n">
        <f aca="false">$E$107+$E$108*$B43</f>
        <v>55.8432396294645</v>
      </c>
    </row>
    <row r="44" customFormat="false" ht="12.75" hidden="false" customHeight="false" outlineLevel="0" collapsed="false">
      <c r="A44" s="7" t="n">
        <f aca="false">daily!B54</f>
        <v>35370</v>
      </c>
      <c r="B44" s="83" t="n">
        <f aca="false">daily!T54</f>
        <v>1.28431777777778</v>
      </c>
      <c r="C44" s="51" t="n">
        <f aca="false">daily!N54</f>
        <v>65.1917666666667</v>
      </c>
      <c r="D44" s="51" t="n">
        <f aca="false">$C$107+$C$108*B44</f>
        <v>56.396405840063</v>
      </c>
      <c r="E44" s="51" t="n">
        <f aca="false">daily!P54</f>
        <v>74.3606666666667</v>
      </c>
      <c r="F44" s="51" t="n">
        <f aca="false">$E$107+$E$108*$B44</f>
        <v>58.0983138752396</v>
      </c>
    </row>
    <row r="45" customFormat="false" ht="12.75" hidden="false" customHeight="false" outlineLevel="0" collapsed="false">
      <c r="A45" s="7" t="n">
        <f aca="false">daily!B55</f>
        <v>35400</v>
      </c>
      <c r="B45" s="83" t="n">
        <f aca="false">daily!T55</f>
        <v>1.26560860215054</v>
      </c>
      <c r="C45" s="51" t="n">
        <f aca="false">daily!N55</f>
        <v>59.907064516129</v>
      </c>
      <c r="D45" s="51" t="n">
        <f aca="false">$C$107+$C$108*B45</f>
        <v>54.5023064777533</v>
      </c>
      <c r="E45" s="51" t="n">
        <f aca="false">daily!P55</f>
        <v>64.6757096774194</v>
      </c>
      <c r="F45" s="51" t="n">
        <f aca="false">$E$107+$E$108*$B45</f>
        <v>56.0249973124542</v>
      </c>
    </row>
    <row r="46" customFormat="false" ht="12.75" hidden="false" customHeight="false" outlineLevel="0" collapsed="false">
      <c r="A46" s="7" t="n">
        <f aca="false">daily!B56</f>
        <v>35431</v>
      </c>
      <c r="B46" s="83" t="n">
        <f aca="false">daily!T56</f>
        <v>1.19782229767968</v>
      </c>
      <c r="C46" s="51" t="n">
        <f aca="false">daily!N56</f>
        <v>50.6221612903226</v>
      </c>
      <c r="D46" s="51" t="n">
        <f aca="false">$C$107+$C$108*B46</f>
        <v>47.639684701696</v>
      </c>
      <c r="E46" s="51" t="n">
        <f aca="false">daily!P56</f>
        <v>52.4691935483871</v>
      </c>
      <c r="F46" s="51" t="n">
        <f aca="false">$E$107+$E$108*$B46</f>
        <v>48.513043253676</v>
      </c>
    </row>
    <row r="47" customFormat="false" ht="12.75" hidden="false" customHeight="false" outlineLevel="0" collapsed="false">
      <c r="A47" s="7" t="n">
        <f aca="false">daily!B57</f>
        <v>35462</v>
      </c>
      <c r="B47" s="83" t="n">
        <f aca="false">daily!T57</f>
        <v>1.22287343358396</v>
      </c>
      <c r="C47" s="51" t="n">
        <f aca="false">daily!N57</f>
        <v>46.5868571428571</v>
      </c>
      <c r="D47" s="51" t="n">
        <f aca="false">$C$107+$C$108*B47</f>
        <v>50.1758381638688</v>
      </c>
      <c r="E47" s="51" t="n">
        <f aca="false">daily!P57</f>
        <v>49.15275</v>
      </c>
      <c r="F47" s="51" t="n">
        <f aca="false">$E$107+$E$108*$B47</f>
        <v>51.2891642341913</v>
      </c>
    </row>
    <row r="48" customFormat="false" ht="12.75" hidden="false" customHeight="false" outlineLevel="0" collapsed="false">
      <c r="A48" s="7" t="n">
        <f aca="false">daily!B58</f>
        <v>35490</v>
      </c>
      <c r="B48" s="83" t="n">
        <f aca="false">daily!T58</f>
        <v>1.28415446650124</v>
      </c>
      <c r="C48" s="51" t="n">
        <f aca="false">daily!N58</f>
        <v>48.7270322580645</v>
      </c>
      <c r="D48" s="51" t="n">
        <f aca="false">$C$107+$C$108*B48</f>
        <v>56.3798723598654</v>
      </c>
      <c r="E48" s="51" t="n">
        <f aca="false">daily!P58</f>
        <v>48.6694516129032</v>
      </c>
      <c r="F48" s="51" t="n">
        <f aca="false">$E$107+$E$108*$B48</f>
        <v>58.0802160188038</v>
      </c>
    </row>
    <row r="49" customFormat="false" ht="12.75" hidden="false" customHeight="false" outlineLevel="0" collapsed="false">
      <c r="A49" s="7" t="n">
        <f aca="false">daily!B59</f>
        <v>35521</v>
      </c>
      <c r="B49" s="83" t="n">
        <f aca="false">daily!T59</f>
        <v>1.25356734693878</v>
      </c>
      <c r="C49" s="51" t="n">
        <f aca="false">daily!N59</f>
        <v>48.6817</v>
      </c>
      <c r="D49" s="51" t="n">
        <f aca="false">$C$107+$C$108*B49</f>
        <v>53.2832611134669</v>
      </c>
      <c r="E49" s="51" t="n">
        <f aca="false">daily!P59</f>
        <v>52.7867</v>
      </c>
      <c r="F49" s="51" t="n">
        <f aca="false">$E$107+$E$108*$B49</f>
        <v>54.6906074726942</v>
      </c>
    </row>
    <row r="50" customFormat="false" ht="12.75" hidden="false" customHeight="false" outlineLevel="0" collapsed="false">
      <c r="A50" s="7" t="n">
        <f aca="false">daily!B60</f>
        <v>35551</v>
      </c>
      <c r="B50" s="83" t="n">
        <f aca="false">daily!T60</f>
        <v>1.21181237656353</v>
      </c>
      <c r="C50" s="51" t="n">
        <f aca="false">daily!N60</f>
        <v>46.932064516129</v>
      </c>
      <c r="D50" s="51" t="n">
        <f aca="false">$C$107+$C$108*B50</f>
        <v>49.0560271435283</v>
      </c>
      <c r="E50" s="51" t="n">
        <f aca="false">daily!P60</f>
        <v>44.8858387096774</v>
      </c>
      <c r="F50" s="51" t="n">
        <f aca="false">$E$107+$E$108*$B50</f>
        <v>50.0633981620088</v>
      </c>
    </row>
    <row r="51" customFormat="false" ht="12.75" hidden="false" customHeight="false" outlineLevel="0" collapsed="false">
      <c r="A51" s="7" t="n">
        <f aca="false">daily!B61</f>
        <v>35582</v>
      </c>
      <c r="B51" s="83" t="n">
        <f aca="false">daily!T61</f>
        <v>1.26673409090909</v>
      </c>
      <c r="C51" s="51" t="n">
        <f aca="false">daily!N61</f>
        <v>54.1994666666667</v>
      </c>
      <c r="D51" s="51" t="n">
        <f aca="false">$C$107+$C$108*B51</f>
        <v>54.6162499022171</v>
      </c>
      <c r="E51" s="51" t="n">
        <f aca="false">daily!P61</f>
        <v>48.7984</v>
      </c>
      <c r="F51" s="51" t="n">
        <f aca="false">$E$107+$E$108*$B51</f>
        <v>56.1497219144799</v>
      </c>
    </row>
    <row r="52" customFormat="false" ht="12.75" hidden="false" customHeight="false" outlineLevel="0" collapsed="false">
      <c r="A52" s="7" t="n">
        <f aca="false">daily!B62</f>
        <v>35612</v>
      </c>
      <c r="B52" s="83" t="n">
        <f aca="false">daily!T62</f>
        <v>1.272357771261</v>
      </c>
      <c r="C52" s="51" t="n">
        <f aca="false">daily!N62</f>
        <v>59.0307741935484</v>
      </c>
      <c r="D52" s="51" t="n">
        <f aca="false">$C$107+$C$108*B52</f>
        <v>55.1855860173194</v>
      </c>
      <c r="E52" s="51" t="n">
        <f aca="false">daily!P62</f>
        <v>59.6107096774194</v>
      </c>
      <c r="F52" s="51" t="n">
        <f aca="false">$E$107+$E$108*$B52</f>
        <v>56.7729278669882</v>
      </c>
    </row>
    <row r="53" customFormat="false" ht="12.75" hidden="false" customHeight="false" outlineLevel="0" collapsed="false">
      <c r="A53" s="7" t="n">
        <f aca="false">daily!B63</f>
        <v>35643</v>
      </c>
      <c r="B53" s="83" t="n">
        <f aca="false">daily!T63</f>
        <v>1.32015147265077</v>
      </c>
      <c r="C53" s="51" t="n">
        <f aca="false">daily!N63</f>
        <v>61.1037419354839</v>
      </c>
      <c r="D53" s="51" t="n">
        <f aca="false">$C$107+$C$108*B53</f>
        <v>60.0241754414835</v>
      </c>
      <c r="E53" s="51" t="n">
        <f aca="false">daily!P63</f>
        <v>65.092935483871</v>
      </c>
      <c r="F53" s="51" t="n">
        <f aca="false">$E$107+$E$108*$B53</f>
        <v>62.0693382841295</v>
      </c>
    </row>
    <row r="54" customFormat="false" ht="12.75" hidden="false" customHeight="false" outlineLevel="0" collapsed="false">
      <c r="A54" s="7" t="n">
        <f aca="false">daily!B64</f>
        <v>35674</v>
      </c>
      <c r="B54" s="83" t="n">
        <f aca="false">daily!T64</f>
        <v>1.30730072463768</v>
      </c>
      <c r="C54" s="51" t="n">
        <f aca="false">daily!N64</f>
        <v>66.3942</v>
      </c>
      <c r="D54" s="51" t="n">
        <f aca="false">$C$107+$C$108*B54</f>
        <v>58.723177786549</v>
      </c>
      <c r="E54" s="51" t="n">
        <f aca="false">daily!P64</f>
        <v>63.5491666666667</v>
      </c>
      <c r="F54" s="51" t="n">
        <f aca="false">$E$107+$E$108*$B54</f>
        <v>60.6452419353342</v>
      </c>
    </row>
    <row r="55" customFormat="false" ht="12.75" hidden="false" customHeight="false" outlineLevel="0" collapsed="false">
      <c r="A55" s="7" t="n">
        <f aca="false">daily!B65</f>
        <v>35704</v>
      </c>
      <c r="B55" s="83" t="n">
        <f aca="false">daily!T65</f>
        <v>1.31906319947334</v>
      </c>
      <c r="C55" s="51" t="n">
        <f aca="false">daily!N65</f>
        <v>66.8804516129032</v>
      </c>
      <c r="D55" s="51" t="n">
        <f aca="false">$C$107+$C$108*B55</f>
        <v>59.9139996874864</v>
      </c>
      <c r="E55" s="51" t="n">
        <f aca="false">daily!P65</f>
        <v>71.209064516129</v>
      </c>
      <c r="F55" s="51" t="n">
        <f aca="false">$E$107+$E$108*$B55</f>
        <v>61.9487378446145</v>
      </c>
    </row>
    <row r="56" customFormat="false" ht="12.75" hidden="false" customHeight="false" outlineLevel="0" collapsed="false">
      <c r="A56" s="7" t="n">
        <f aca="false">daily!B66</f>
        <v>35735</v>
      </c>
      <c r="B56" s="83" t="n">
        <f aca="false">daily!T66</f>
        <v>1.38485069444444</v>
      </c>
      <c r="C56" s="51" t="n">
        <f aca="false">daily!N66</f>
        <v>68.5863333333333</v>
      </c>
      <c r="D56" s="51" t="n">
        <f aca="false">$C$107+$C$108*B56</f>
        <v>66.5742638677692</v>
      </c>
      <c r="E56" s="51" t="n">
        <f aca="false">daily!P66</f>
        <v>66.6151</v>
      </c>
      <c r="F56" s="51" t="n">
        <f aca="false">$E$107+$E$108*$B56</f>
        <v>69.2391874969855</v>
      </c>
    </row>
    <row r="57" customFormat="false" ht="12.75" hidden="false" customHeight="false" outlineLevel="0" collapsed="false">
      <c r="A57" s="7" t="n">
        <f aca="false">daily!B67</f>
        <v>35765</v>
      </c>
      <c r="B57" s="83" t="n">
        <f aca="false">daily!T67</f>
        <v>1.3395376344086</v>
      </c>
      <c r="C57" s="51" t="n">
        <f aca="false">daily!N67</f>
        <v>62.2303225806452</v>
      </c>
      <c r="D57" s="51" t="n">
        <f aca="false">$C$107+$C$108*B57</f>
        <v>61.9868122435924</v>
      </c>
      <c r="E57" s="51" t="n">
        <f aca="false">daily!P67</f>
        <v>64.9638387096774</v>
      </c>
      <c r="F57" s="51" t="n">
        <f aca="false">$E$107+$E$108*$B57</f>
        <v>64.2176772094869</v>
      </c>
    </row>
    <row r="58" customFormat="false" ht="12.75" hidden="false" customHeight="false" outlineLevel="0" collapsed="false">
      <c r="A58" s="7" t="n">
        <f aca="false">daily!B68</f>
        <v>35796</v>
      </c>
      <c r="B58" s="83" t="n">
        <f aca="false">daily!T68</f>
        <v>1.28979637096774</v>
      </c>
      <c r="C58" s="51" t="n">
        <f aca="false">daily!N68</f>
        <v>57.434935483871</v>
      </c>
      <c r="D58" s="51" t="n">
        <f aca="false">$C$107+$C$108*B58</f>
        <v>56.9510534672068</v>
      </c>
      <c r="E58" s="51" t="n">
        <f aca="false">daily!P68</f>
        <v>54.212</v>
      </c>
      <c r="F58" s="51" t="n">
        <f aca="false">$E$107+$E$108*$B58</f>
        <v>58.7054415343</v>
      </c>
      <c r="H58" s="83" t="n">
        <f aca="false">filings!AO68/filings!A68</f>
        <v>1.256607095</v>
      </c>
      <c r="I58" s="51" t="n">
        <f aca="false">C58</f>
        <v>57.434935483871</v>
      </c>
    </row>
    <row r="59" customFormat="false" ht="12.75" hidden="false" customHeight="false" outlineLevel="0" collapsed="false">
      <c r="A59" s="7" t="n">
        <f aca="false">daily!B69</f>
        <v>35827</v>
      </c>
      <c r="B59" s="83" t="n">
        <f aca="false">daily!T69</f>
        <v>1.34355431547619</v>
      </c>
      <c r="C59" s="51" t="n">
        <f aca="false">daily!N69</f>
        <v>60.0907142857143</v>
      </c>
      <c r="D59" s="51" t="n">
        <f aca="false">$C$107+$C$108*B59</f>
        <v>62.3934572610053</v>
      </c>
      <c r="E59" s="51" t="n">
        <f aca="false">daily!P69</f>
        <v>59.7226428571429</v>
      </c>
      <c r="F59" s="51" t="n">
        <f aca="false">$E$107+$E$108*$B59</f>
        <v>64.6627984457606</v>
      </c>
      <c r="H59" s="83" t="n">
        <f aca="false">filings!AO69/filings!A69</f>
        <v>1.30892214089286</v>
      </c>
      <c r="I59" s="51" t="n">
        <f aca="false">C59</f>
        <v>60.0907142857143</v>
      </c>
    </row>
    <row r="60" customFormat="false" ht="12.75" hidden="false" customHeight="false" outlineLevel="0" collapsed="false">
      <c r="A60" s="7" t="n">
        <f aca="false">daily!B70</f>
        <v>35855</v>
      </c>
      <c r="B60" s="83" t="n">
        <f aca="false">daily!T70</f>
        <v>1.379829390681</v>
      </c>
      <c r="C60" s="51" t="n">
        <f aca="false">daily!N70</f>
        <v>64.0927419354839</v>
      </c>
      <c r="D60" s="51" t="n">
        <f aca="false">$C$107+$C$108*B60</f>
        <v>66.0659117925206</v>
      </c>
      <c r="E60" s="51" t="n">
        <f aca="false">daily!P70</f>
        <v>62.6591935483871</v>
      </c>
      <c r="F60" s="51" t="n">
        <f aca="false">$E$107+$E$108*$B60</f>
        <v>68.6827358142956</v>
      </c>
      <c r="H60" s="83" t="n">
        <f aca="false">filings!AO70/filings!A70</f>
        <v>1.34646471025806</v>
      </c>
      <c r="I60" s="51" t="n">
        <f aca="false">C60</f>
        <v>64.0927419354839</v>
      </c>
    </row>
    <row r="61" customFormat="false" ht="12.75" hidden="false" customHeight="false" outlineLevel="0" collapsed="false">
      <c r="A61" s="7" t="n">
        <f aca="false">daily!B71</f>
        <v>35886</v>
      </c>
      <c r="B61" s="83" t="n">
        <f aca="false">daily!T71</f>
        <v>1.3579519379845</v>
      </c>
      <c r="C61" s="51" t="n">
        <f aca="false">daily!N71</f>
        <v>64.7378333333333</v>
      </c>
      <c r="D61" s="51" t="n">
        <f aca="false">$C$107+$C$108*B61</f>
        <v>63.8510590364706</v>
      </c>
      <c r="E61" s="51" t="n">
        <f aca="false">daily!P71</f>
        <v>65.2796</v>
      </c>
      <c r="F61" s="51" t="n">
        <f aca="false">$E$107+$E$108*$B61</f>
        <v>66.2583165918269</v>
      </c>
      <c r="H61" s="83" t="n">
        <f aca="false">filings!AO71/filings!A71</f>
        <v>1.32213330976667</v>
      </c>
      <c r="I61" s="51" t="n">
        <f aca="false">C61</f>
        <v>64.7378333333333</v>
      </c>
    </row>
    <row r="62" customFormat="false" ht="12.75" hidden="false" customHeight="false" outlineLevel="0" collapsed="false">
      <c r="A62" s="7" t="n">
        <f aca="false">daily!B72</f>
        <v>35916</v>
      </c>
      <c r="B62" s="83" t="n">
        <f aca="false">daily!T72</f>
        <v>1.29303299120235</v>
      </c>
      <c r="C62" s="51" t="n">
        <f aca="false">daily!N72</f>
        <v>57.6197741935484</v>
      </c>
      <c r="D62" s="51" t="n">
        <f aca="false">$C$107+$C$108*B62</f>
        <v>57.278725858794</v>
      </c>
      <c r="E62" s="51" t="n">
        <f aca="false">daily!P72</f>
        <v>64.3853870967742</v>
      </c>
      <c r="F62" s="51" t="n">
        <f aca="false">$E$107+$E$108*$B62</f>
        <v>59.0641178583429</v>
      </c>
      <c r="H62" s="83" t="n">
        <f aca="false">filings!AO72/filings!A72</f>
        <v>1.26467385187097</v>
      </c>
      <c r="I62" s="51" t="n">
        <f aca="false">C62</f>
        <v>57.6197741935484</v>
      </c>
    </row>
    <row r="63" customFormat="false" ht="12.75" hidden="false" customHeight="false" outlineLevel="0" collapsed="false">
      <c r="A63" s="7" t="n">
        <f aca="false">daily!B73</f>
        <v>35947</v>
      </c>
      <c r="B63" s="83" t="n">
        <f aca="false">daily!T73</f>
        <v>1.32014015151515</v>
      </c>
      <c r="C63" s="51" t="n">
        <f aca="false">daily!N73</f>
        <v>54.6791333333333</v>
      </c>
      <c r="D63" s="51" t="n">
        <f aca="false">$C$107+$C$108*B63</f>
        <v>60.0230293003501</v>
      </c>
      <c r="E63" s="51" t="n">
        <f aca="false">daily!P73</f>
        <v>53.0462666666667</v>
      </c>
      <c r="F63" s="51" t="n">
        <f aca="false">$E$107+$E$108*$B63</f>
        <v>62.0680836966235</v>
      </c>
      <c r="H63" s="83" t="n">
        <f aca="false">filings!AO73/filings!A73</f>
        <v>1.28758068836667</v>
      </c>
      <c r="I63" s="51" t="n">
        <f aca="false">C63</f>
        <v>54.6791333333333</v>
      </c>
    </row>
    <row r="64" customFormat="false" ht="12.75" hidden="false" customHeight="false" outlineLevel="0" collapsed="false">
      <c r="A64" s="7" t="n">
        <f aca="false">daily!B74</f>
        <v>35977</v>
      </c>
      <c r="B64" s="83" t="n">
        <f aca="false">daily!T74</f>
        <v>1.31873680351906</v>
      </c>
      <c r="C64" s="51" t="n">
        <f aca="false">daily!N74</f>
        <v>62.1944838709677</v>
      </c>
      <c r="D64" s="51" t="n">
        <f aca="false">$C$107+$C$108*B64</f>
        <v>59.8809556677405</v>
      </c>
      <c r="E64" s="51" t="n">
        <f aca="false">daily!P74</f>
        <v>65.5412903225807</v>
      </c>
      <c r="F64" s="51" t="n">
        <f aca="false">$E$107+$E$108*$B64</f>
        <v>61.9125672430066</v>
      </c>
      <c r="H64" s="83" t="n">
        <f aca="false">filings!AO74/filings!A74</f>
        <v>1.27751313241936</v>
      </c>
      <c r="I64" s="51" t="n">
        <f aca="false">C64</f>
        <v>62.1944838709677</v>
      </c>
    </row>
    <row r="65" customFormat="false" ht="12.75" hidden="false" customHeight="false" outlineLevel="0" collapsed="false">
      <c r="A65" s="7" t="n">
        <f aca="false">daily!B75</f>
        <v>36008</v>
      </c>
      <c r="B65" s="83" t="n">
        <f aca="false">daily!T75</f>
        <v>1.30876680107527</v>
      </c>
      <c r="C65" s="51" t="n">
        <f aca="false">daily!N75</f>
        <v>62.5502258064516</v>
      </c>
      <c r="D65" s="51" t="n">
        <f aca="false">$C$107+$C$108*B65</f>
        <v>58.8716019876393</v>
      </c>
      <c r="E65" s="51" t="n">
        <f aca="false">daily!P75</f>
        <v>62.2203225806452</v>
      </c>
      <c r="F65" s="51" t="n">
        <f aca="false">$E$107+$E$108*$B65</f>
        <v>60.8077098399026</v>
      </c>
      <c r="H65" s="83" t="n">
        <f aca="false">filings!AO75/filings!A75</f>
        <v>1.26702726335484</v>
      </c>
      <c r="I65" s="51" t="n">
        <f aca="false">C65</f>
        <v>62.5502258064516</v>
      </c>
    </row>
    <row r="66" customFormat="false" ht="12.75" hidden="false" customHeight="false" outlineLevel="0" collapsed="false">
      <c r="A66" s="7" t="n">
        <f aca="false">daily!B76</f>
        <v>36039</v>
      </c>
      <c r="B66" s="83" t="n">
        <f aca="false">daily!T76</f>
        <v>1.33835416666667</v>
      </c>
      <c r="C66" s="51" t="n">
        <f aca="false">daily!N76</f>
        <v>64.6477333333333</v>
      </c>
      <c r="D66" s="51" t="n">
        <f aca="false">$C$107+$C$108*B66</f>
        <v>61.8669990813251</v>
      </c>
      <c r="E66" s="51" t="n">
        <f aca="false">daily!P76</f>
        <v>72.0145</v>
      </c>
      <c r="F66" s="51" t="n">
        <f aca="false">$E$107+$E$108*$B66</f>
        <v>64.0865274827558</v>
      </c>
      <c r="H66" s="83" t="n">
        <f aca="false">filings!AO76/filings!A76</f>
        <v>1.30254766303333</v>
      </c>
      <c r="I66" s="51" t="n">
        <f aca="false">C66</f>
        <v>64.6477333333333</v>
      </c>
    </row>
    <row r="67" customFormat="false" ht="12.75" hidden="false" customHeight="false" outlineLevel="0" collapsed="false">
      <c r="A67" s="7" t="n">
        <f aca="false">daily!B77</f>
        <v>36069</v>
      </c>
      <c r="B67" s="83" t="n">
        <f aca="false">daily!T77</f>
        <v>1.2905685483871</v>
      </c>
      <c r="C67" s="51" t="n">
        <f aca="false">daily!N77</f>
        <v>59.8452903225806</v>
      </c>
      <c r="D67" s="51" t="n">
        <f aca="false">$C$107+$C$108*B67</f>
        <v>57.0292279836436</v>
      </c>
      <c r="E67" s="51" t="n">
        <f aca="false">daily!P77</f>
        <v>48.4498387096774</v>
      </c>
      <c r="F67" s="51" t="n">
        <f aca="false">$E$107+$E$108*$B67</f>
        <v>58.7910128210769</v>
      </c>
      <c r="H67" s="83" t="n">
        <f aca="false">filings!AO77/filings!A77</f>
        <v>1.26057319803226</v>
      </c>
      <c r="I67" s="51" t="n">
        <f aca="false">C67</f>
        <v>59.8452903225806</v>
      </c>
    </row>
    <row r="68" customFormat="false" ht="12.75" hidden="false" customHeight="false" outlineLevel="0" collapsed="false">
      <c r="A68" s="7" t="n">
        <f aca="false">daily!B78</f>
        <v>36100</v>
      </c>
      <c r="B68" s="83" t="n">
        <f aca="false">daily!T78</f>
        <v>1.32475486111111</v>
      </c>
      <c r="C68" s="51" t="n">
        <f aca="false">daily!N78</f>
        <v>59.755</v>
      </c>
      <c r="D68" s="51" t="n">
        <f aca="false">$C$107+$C$108*B68</f>
        <v>60.4902181640981</v>
      </c>
      <c r="E68" s="51" t="n">
        <f aca="false">daily!P78</f>
        <v>57.3215333333333</v>
      </c>
      <c r="F68" s="51" t="n">
        <f aca="false">$E$107+$E$108*$B68</f>
        <v>62.5794773586626</v>
      </c>
      <c r="H68" s="83" t="n">
        <f aca="false">filings!AO78/filings!A78</f>
        <v>1.2898362807</v>
      </c>
      <c r="I68" s="51" t="n">
        <f aca="false">C68</f>
        <v>59.755</v>
      </c>
    </row>
    <row r="69" customFormat="false" ht="12.75" hidden="false" customHeight="false" outlineLevel="0" collapsed="false">
      <c r="A69" s="7" t="n">
        <f aca="false">daily!B79</f>
        <v>36130</v>
      </c>
      <c r="B69" s="83" t="n">
        <f aca="false">daily!T79</f>
        <v>1.32403629032258</v>
      </c>
      <c r="C69" s="51" t="n">
        <f aca="false">daily!N79</f>
        <v>58.43</v>
      </c>
      <c r="D69" s="51" t="n">
        <f aca="false">$C$107+$C$108*B69</f>
        <v>60.4174707325999</v>
      </c>
      <c r="E69" s="51" t="n">
        <f aca="false">daily!P79</f>
        <v>56.2344838709677</v>
      </c>
      <c r="F69" s="51" t="n">
        <f aca="false">$E$107+$E$108*$B69</f>
        <v>62.499846660492</v>
      </c>
      <c r="H69" s="83" t="n">
        <f aca="false">filings!AO79/filings!A79</f>
        <v>1.283845619</v>
      </c>
      <c r="I69" s="51" t="n">
        <f aca="false">C69</f>
        <v>58.43</v>
      </c>
    </row>
    <row r="70" customFormat="false" ht="12.75" hidden="false" customHeight="false" outlineLevel="0" collapsed="false">
      <c r="A70" s="7" t="n">
        <f aca="false">daily!B80</f>
        <v>36161</v>
      </c>
      <c r="B70" s="83" t="n">
        <f aca="false">daily!T80</f>
        <v>1.26099126344086</v>
      </c>
      <c r="C70" s="51" t="n">
        <f aca="false">daily!N80</f>
        <v>47.922</v>
      </c>
      <c r="D70" s="51" t="n">
        <f aca="false">$C$107+$C$108*B70</f>
        <v>54.0348514450027</v>
      </c>
      <c r="E70" s="51" t="n">
        <f aca="false">daily!P80</f>
        <v>42.8506129032258</v>
      </c>
      <c r="F70" s="51" t="n">
        <f aca="false">$E$107+$E$108*$B70</f>
        <v>55.51331229685</v>
      </c>
      <c r="H70" s="83" t="n">
        <f aca="false">filings!AO80/filings!A80</f>
        <v>1.23894961522581</v>
      </c>
      <c r="I70" s="51" t="n">
        <f aca="false">C70</f>
        <v>47.922</v>
      </c>
    </row>
    <row r="71" customFormat="false" ht="12.75" hidden="false" customHeight="false" outlineLevel="0" collapsed="false">
      <c r="A71" s="7" t="n">
        <f aca="false">daily!B81</f>
        <v>36192</v>
      </c>
      <c r="B71" s="83" t="n">
        <f aca="false">daily!T81</f>
        <v>1.24828146258503</v>
      </c>
      <c r="C71" s="51" t="n">
        <f aca="false">daily!N81</f>
        <v>45.4049642857143</v>
      </c>
      <c r="D71" s="51" t="n">
        <f aca="false">$C$107+$C$108*B71</f>
        <v>52.7481231478428</v>
      </c>
      <c r="E71" s="51" t="n">
        <f aca="false">daily!P81</f>
        <v>33.2443214285714</v>
      </c>
      <c r="F71" s="51" t="n">
        <f aca="false">$E$107+$E$108*$B71</f>
        <v>54.1048354537698</v>
      </c>
      <c r="H71" s="83" t="n">
        <f aca="false">filings!AO81/filings!A81</f>
        <v>1.2223196645</v>
      </c>
      <c r="I71" s="51" t="n">
        <f aca="false">C71</f>
        <v>45.4049642857143</v>
      </c>
    </row>
    <row r="72" customFormat="false" ht="12.75" hidden="false" customHeight="false" outlineLevel="0" collapsed="false">
      <c r="A72" s="7" t="n">
        <f aca="false">daily!B82</f>
        <v>36220</v>
      </c>
      <c r="B72" s="83" t="n">
        <f aca="false">daily!T82</f>
        <v>1.16300537634409</v>
      </c>
      <c r="C72" s="51" t="n">
        <f aca="false">daily!N82</f>
        <v>38.2479032258064</v>
      </c>
      <c r="D72" s="51" t="n">
        <f aca="false">$C$107+$C$108*B72</f>
        <v>44.1148522978927</v>
      </c>
      <c r="E72" s="51" t="n">
        <f aca="false">daily!P82</f>
        <v>28.4057419354839</v>
      </c>
      <c r="F72" s="51" t="n">
        <f aca="false">$E$107+$E$108*$B72</f>
        <v>44.6546958251987</v>
      </c>
      <c r="H72" s="83" t="n">
        <f aca="false">filings!AO82/filings!A82</f>
        <v>1.14048435532258</v>
      </c>
      <c r="I72" s="51" t="n">
        <f aca="false">C72</f>
        <v>38.2479032258064</v>
      </c>
    </row>
    <row r="73" customFormat="false" ht="12.75" hidden="false" customHeight="false" outlineLevel="0" collapsed="false">
      <c r="A73" s="7" t="n">
        <f aca="false">daily!B83</f>
        <v>36251</v>
      </c>
      <c r="B73" s="83" t="n">
        <f aca="false">daily!T83</f>
        <v>1.25585047619048</v>
      </c>
      <c r="C73" s="51" t="n">
        <f aca="false">daily!N83</f>
        <v>50.577</v>
      </c>
      <c r="D73" s="51" t="n">
        <f aca="false">$C$107+$C$108*B73</f>
        <v>53.5144029737967</v>
      </c>
      <c r="E73" s="51" t="n">
        <f aca="false">daily!P83</f>
        <v>52.6818333333333</v>
      </c>
      <c r="F73" s="51" t="n">
        <f aca="false">$E$107+$E$108*$B73</f>
        <v>54.9436196730629</v>
      </c>
      <c r="H73" s="83" t="n">
        <f aca="false">filings!AO83/filings!A83</f>
        <v>1.22579141556667</v>
      </c>
      <c r="I73" s="51" t="n">
        <f aca="false">C73</f>
        <v>50.577</v>
      </c>
    </row>
    <row r="74" customFormat="false" ht="12.75" hidden="false" customHeight="false" outlineLevel="0" collapsed="false">
      <c r="A74" s="7" t="n">
        <f aca="false">daily!B84</f>
        <v>36281</v>
      </c>
      <c r="B74" s="83" t="n">
        <f aca="false">daily!T84</f>
        <v>1.18340184331797</v>
      </c>
      <c r="C74" s="51" t="n">
        <f aca="false">daily!N84</f>
        <v>45.71</v>
      </c>
      <c r="D74" s="51" t="n">
        <f aca="false">$C$107+$C$108*B74</f>
        <v>46.1797714508436</v>
      </c>
      <c r="E74" s="51" t="n">
        <f aca="false">daily!P84</f>
        <v>43.3352580645161</v>
      </c>
      <c r="F74" s="51" t="n">
        <f aca="false">$E$107+$E$108*$B74</f>
        <v>46.9149949234494</v>
      </c>
      <c r="H74" s="83" t="n">
        <f aca="false">filings!AO84/filings!A84</f>
        <v>1.15720949025806</v>
      </c>
      <c r="I74" s="51" t="n">
        <f aca="false">C74</f>
        <v>45.71</v>
      </c>
    </row>
    <row r="75" customFormat="false" ht="12.75" hidden="false" customHeight="false" outlineLevel="0" collapsed="false">
      <c r="A75" s="7" t="n">
        <f aca="false">daily!B85</f>
        <v>36312</v>
      </c>
      <c r="B75" s="83" t="n">
        <f aca="false">daily!T85</f>
        <v>1.12684298245614</v>
      </c>
      <c r="C75" s="51" t="n">
        <f aca="false">daily!N85</f>
        <v>35.3135333333333</v>
      </c>
      <c r="D75" s="51" t="n">
        <f aca="false">$C$107+$C$108*B75</f>
        <v>40.4538055170274</v>
      </c>
      <c r="E75" s="51" t="n">
        <f aca="false">daily!P85</f>
        <v>32.3827</v>
      </c>
      <c r="F75" s="51" t="n">
        <f aca="false">$E$107+$E$108*$B75</f>
        <v>40.6472455937365</v>
      </c>
      <c r="H75" s="83" t="n">
        <f aca="false">filings!AO85/filings!A85</f>
        <v>1.10606414506667</v>
      </c>
      <c r="I75" s="51" t="n">
        <f aca="false">C75</f>
        <v>35.3135333333333</v>
      </c>
    </row>
    <row r="76" customFormat="false" ht="12.75" hidden="false" customHeight="false" outlineLevel="0" collapsed="false">
      <c r="A76" s="7" t="n">
        <f aca="false">daily!B86</f>
        <v>36342</v>
      </c>
      <c r="B76" s="83" t="n">
        <f aca="false">daily!T86</f>
        <v>1.17926666666667</v>
      </c>
      <c r="C76" s="51" t="n">
        <f aca="false">daily!N86</f>
        <v>42.7728709677419</v>
      </c>
      <c r="D76" s="51" t="n">
        <f aca="false">$C$107+$C$108*B76</f>
        <v>45.7611300518675</v>
      </c>
      <c r="E76" s="51" t="n">
        <f aca="false">daily!P86</f>
        <v>39.5521935483871</v>
      </c>
      <c r="F76" s="51" t="n">
        <f aca="false">$E$107+$E$108*$B76</f>
        <v>46.4567422237039</v>
      </c>
      <c r="H76" s="83" t="n">
        <f aca="false">filings!AO86/filings!A86</f>
        <v>1.15695712709677</v>
      </c>
      <c r="I76" s="51" t="n">
        <f aca="false">C76</f>
        <v>42.7728709677419</v>
      </c>
    </row>
    <row r="77" customFormat="false" ht="12.75" hidden="false" customHeight="false" outlineLevel="0" collapsed="false">
      <c r="A77" s="7" t="n">
        <f aca="false">daily!B87</f>
        <v>36373</v>
      </c>
      <c r="B77" s="83" t="n">
        <f aca="false">daily!T87</f>
        <v>1.22023548387097</v>
      </c>
      <c r="C77" s="51" t="n">
        <f aca="false">daily!N87</f>
        <v>48.5982580645161</v>
      </c>
      <c r="D77" s="51" t="n">
        <f aca="false">$C$107+$C$108*B77</f>
        <v>49.9087746134092</v>
      </c>
      <c r="E77" s="51" t="n">
        <f aca="false">daily!P87</f>
        <v>46.3158064516129</v>
      </c>
      <c r="F77" s="51" t="n">
        <f aca="false">$E$107+$E$108*$B77</f>
        <v>50.9968314804285</v>
      </c>
      <c r="H77" s="83" t="n">
        <f aca="false">filings!AO87/filings!A87</f>
        <v>1.19955543967742</v>
      </c>
      <c r="I77" s="51" t="n">
        <f aca="false">C77</f>
        <v>48.5982580645161</v>
      </c>
    </row>
    <row r="78" customFormat="false" ht="12.75" hidden="false" customHeight="false" outlineLevel="0" collapsed="false">
      <c r="A78" s="7" t="n">
        <f aca="false">daily!B88</f>
        <v>36404</v>
      </c>
      <c r="B78" s="83" t="n">
        <f aca="false">daily!T88</f>
        <v>1.28667</v>
      </c>
      <c r="C78" s="51" t="n">
        <f aca="false">daily!N88</f>
        <v>60.2988</v>
      </c>
      <c r="D78" s="51" t="n">
        <f aca="false">$C$107+$C$108*B78</f>
        <v>56.6345426078121</v>
      </c>
      <c r="E78" s="51" t="n">
        <f aca="false">daily!P88</f>
        <v>63.0203333333333</v>
      </c>
      <c r="F78" s="51" t="n">
        <f aca="false">$E$107+$E$108*$B78</f>
        <v>58.3589828320046</v>
      </c>
      <c r="H78" s="83" t="n">
        <f aca="false">filings!AO88/filings!A88</f>
        <v>1.2531501771</v>
      </c>
      <c r="I78" s="51" t="n">
        <f aca="false">C78</f>
        <v>60.2988</v>
      </c>
    </row>
    <row r="79" customFormat="false" ht="12.75" hidden="false" customHeight="false" outlineLevel="0" collapsed="false">
      <c r="A79" s="7" t="n">
        <f aca="false">daily!B89</f>
        <v>36434</v>
      </c>
      <c r="B79" s="83" t="n">
        <f aca="false">daily!T89</f>
        <v>1.28618951612903</v>
      </c>
      <c r="C79" s="51" t="n">
        <f aca="false">daily!N89</f>
        <v>61.9134838709677</v>
      </c>
      <c r="D79" s="51" t="n">
        <f aca="false">$C$107+$C$108*B79</f>
        <v>56.5858988721536</v>
      </c>
      <c r="E79" s="51" t="n">
        <f aca="false">daily!P89</f>
        <v>69.1420322580645</v>
      </c>
      <c r="F79" s="51" t="n">
        <f aca="false">$E$107+$E$108*$B79</f>
        <v>58.3057364897992</v>
      </c>
      <c r="H79" s="83" t="n">
        <f aca="false">filings!AO89/filings!A89</f>
        <v>1.24935944687097</v>
      </c>
      <c r="I79" s="51" t="n">
        <f aca="false">C79</f>
        <v>61.9134838709677</v>
      </c>
    </row>
    <row r="80" customFormat="false" ht="12.75" hidden="false" customHeight="false" outlineLevel="0" collapsed="false">
      <c r="A80" s="7" t="n">
        <f aca="false">daily!B90</f>
        <v>36465</v>
      </c>
      <c r="B80" s="83" t="n">
        <f aca="false">daily!T90</f>
        <v>1.28539083333333</v>
      </c>
      <c r="C80" s="51" t="n">
        <f aca="false">daily!N90</f>
        <v>55.3167333333333</v>
      </c>
      <c r="D80" s="51" t="n">
        <f aca="false">$C$107+$C$108*B80</f>
        <v>56.5050409763189</v>
      </c>
      <c r="E80" s="51" t="n">
        <f aca="false">daily!P90</f>
        <v>55.3478666666667</v>
      </c>
      <c r="F80" s="51" t="n">
        <f aca="false">$E$107+$E$108*$B80</f>
        <v>58.2172279257808</v>
      </c>
      <c r="H80" s="83" t="n">
        <f aca="false">filings!AO90/filings!A90</f>
        <v>1.25780915246667</v>
      </c>
      <c r="I80" s="51" t="n">
        <f aca="false">C80</f>
        <v>55.3167333333333</v>
      </c>
    </row>
    <row r="81" customFormat="false" ht="12.75" hidden="false" customHeight="false" outlineLevel="0" collapsed="false">
      <c r="A81" s="7" t="n">
        <f aca="false">daily!B91</f>
        <v>36495</v>
      </c>
      <c r="B81" s="83" t="n">
        <f aca="false">daily!T91</f>
        <v>1.32835483870968</v>
      </c>
      <c r="C81" s="51" t="n">
        <f aca="false">daily!N91</f>
        <v>62.3829677419355</v>
      </c>
      <c r="D81" s="51" t="n">
        <f aca="false">$C$107+$C$108*B81</f>
        <v>60.8546765138206</v>
      </c>
      <c r="E81" s="51" t="n">
        <f aca="false">daily!P91</f>
        <v>59.3383548387097</v>
      </c>
      <c r="F81" s="51" t="n">
        <f aca="false">$E$107+$E$108*$B81</f>
        <v>62.9784202800117</v>
      </c>
      <c r="H81" s="83" t="n">
        <f aca="false">filings!AO91/filings!A91</f>
        <v>1.3022471716129</v>
      </c>
      <c r="I81" s="51" t="n">
        <f aca="false">C81</f>
        <v>62.3829677419355</v>
      </c>
    </row>
    <row r="82" customFormat="false" ht="12.75" hidden="false" customHeight="false" outlineLevel="0" collapsed="false">
      <c r="A82" s="7" t="n">
        <f aca="false">daily!B92</f>
        <v>36526</v>
      </c>
      <c r="B82" s="83" t="n">
        <f aca="false">daily!T92</f>
        <v>1.31282608695652</v>
      </c>
      <c r="C82" s="51" t="n">
        <f aca="false">daily!N92</f>
        <v>57.5182258064516</v>
      </c>
      <c r="D82" s="51" t="n">
        <f aca="false">$C$107+$C$108*B82</f>
        <v>59.2825602763583</v>
      </c>
      <c r="E82" s="51" t="n">
        <f aca="false">daily!P92</f>
        <v>51.7672258064516</v>
      </c>
      <c r="F82" s="51" t="n">
        <f aca="false">$E$107+$E$108*$B82</f>
        <v>61.2575524635631</v>
      </c>
      <c r="H82" s="83" t="n">
        <f aca="false">filings!AO92/filings!A92</f>
        <v>1.28140493174194</v>
      </c>
      <c r="I82" s="51" t="n">
        <f aca="false">C82</f>
        <v>57.5182258064516</v>
      </c>
    </row>
    <row r="83" customFormat="false" ht="12.75" hidden="false" customHeight="false" outlineLevel="0" collapsed="false">
      <c r="A83" s="7" t="n">
        <f aca="false">daily!B93</f>
        <v>36557</v>
      </c>
      <c r="B83" s="83" t="n">
        <f aca="false">daily!T93</f>
        <v>1.32342203898051</v>
      </c>
      <c r="C83" s="51" t="n">
        <f aca="false">daily!N93</f>
        <v>51.1666896551724</v>
      </c>
      <c r="D83" s="51" t="n">
        <f aca="false">$C$107+$C$108*B83</f>
        <v>60.355284503848</v>
      </c>
      <c r="E83" s="51" t="n">
        <f aca="false">daily!P93</f>
        <v>47.6705517241379</v>
      </c>
      <c r="F83" s="51" t="n">
        <f aca="false">$E$107+$E$108*$B83</f>
        <v>62.4317764522368</v>
      </c>
      <c r="H83" s="83" t="n">
        <f aca="false">filings!AO93/filings!A93</f>
        <v>1.29131592486207</v>
      </c>
      <c r="I83" s="51" t="n">
        <f aca="false">C83</f>
        <v>51.1666896551724</v>
      </c>
    </row>
    <row r="84" customFormat="false" ht="12.75" hidden="false" customHeight="false" outlineLevel="0" collapsed="false">
      <c r="A84" s="7" t="n">
        <f aca="false">daily!B94</f>
        <v>36586</v>
      </c>
      <c r="B84" s="83" t="n">
        <f aca="false">daily!T94</f>
        <v>1.27960910815939</v>
      </c>
      <c r="C84" s="51" t="n">
        <f aca="false">daily!N94</f>
        <v>47.3859677419355</v>
      </c>
      <c r="D84" s="51" t="n">
        <f aca="false">$C$107+$C$108*B84</f>
        <v>55.9197045519248</v>
      </c>
      <c r="E84" s="51" t="n">
        <f aca="false">daily!P94</f>
        <v>51.6573548387097</v>
      </c>
      <c r="F84" s="51" t="n">
        <f aca="false">$E$107+$E$108*$B84</f>
        <v>57.5765077356753</v>
      </c>
      <c r="H84" s="83" t="n">
        <f aca="false">filings!AO94/filings!A94</f>
        <v>1.25675604229032</v>
      </c>
      <c r="I84" s="51" t="n">
        <f aca="false">C84</f>
        <v>47.3859677419355</v>
      </c>
    </row>
    <row r="85" customFormat="false" ht="12.75" hidden="false" customHeight="false" outlineLevel="0" collapsed="false">
      <c r="A85" s="7" t="n">
        <f aca="false">daily!B95</f>
        <v>36617</v>
      </c>
      <c r="B85" s="83" t="n">
        <f aca="false">daily!T95</f>
        <v>1.18086041666667</v>
      </c>
      <c r="C85" s="51" t="n">
        <f aca="false">daily!N95</f>
        <v>41.1849</v>
      </c>
      <c r="D85" s="51" t="n">
        <f aca="false">$C$107+$C$108*B85</f>
        <v>45.9224798044609</v>
      </c>
      <c r="E85" s="51" t="n">
        <f aca="false">daily!P95</f>
        <v>41.6411</v>
      </c>
      <c r="F85" s="51" t="n">
        <f aca="false">$E$107+$E$108*$B85</f>
        <v>46.6333586785267</v>
      </c>
      <c r="H85" s="83" t="n">
        <f aca="false">filings!AO95/filings!A95</f>
        <v>1.16041234256667</v>
      </c>
      <c r="I85" s="51" t="n">
        <f aca="false">C85</f>
        <v>41.1849</v>
      </c>
    </row>
    <row r="86" customFormat="false" ht="12.75" hidden="false" customHeight="false" outlineLevel="0" collapsed="false">
      <c r="A86" s="7" t="n">
        <f aca="false">daily!B96</f>
        <v>36647</v>
      </c>
      <c r="B86" s="83" t="n">
        <f aca="false">daily!T96</f>
        <v>1.25125705645161</v>
      </c>
      <c r="C86" s="51" t="n">
        <f aca="false">daily!N96</f>
        <v>49.6490967741936</v>
      </c>
      <c r="D86" s="51" t="n">
        <f aca="false">$C$107+$C$108*B86</f>
        <v>53.0493694751782</v>
      </c>
      <c r="E86" s="51" t="n">
        <f aca="false">daily!P96</f>
        <v>49.5541612903226</v>
      </c>
      <c r="F86" s="51" t="n">
        <f aca="false">$E$107+$E$108*$B86</f>
        <v>54.4345853139784</v>
      </c>
      <c r="H86" s="83" t="n">
        <f aca="false">filings!AO96/filings!A96</f>
        <v>1.22997548883871</v>
      </c>
      <c r="I86" s="51" t="n">
        <f aca="false">C86</f>
        <v>49.6490967741936</v>
      </c>
    </row>
    <row r="87" customFormat="false" ht="12.75" hidden="false" customHeight="false" outlineLevel="0" collapsed="false">
      <c r="A87" s="7" t="n">
        <f aca="false">daily!B97</f>
        <v>36678</v>
      </c>
      <c r="B87" s="83" t="n">
        <f aca="false">daily!T97</f>
        <v>1.2867431372549</v>
      </c>
      <c r="C87" s="51" t="n">
        <f aca="false">daily!N97</f>
        <v>56.1821666666667</v>
      </c>
      <c r="D87" s="51" t="n">
        <f aca="false">$C$107+$C$108*B87</f>
        <v>56.6419469547824</v>
      </c>
      <c r="E87" s="51" t="n">
        <f aca="false">daily!P97</f>
        <v>57.4666333333333</v>
      </c>
      <c r="F87" s="51" t="n">
        <f aca="false">$E$107+$E$108*$B87</f>
        <v>58.3670877685858</v>
      </c>
      <c r="H87" s="83" t="n">
        <f aca="false">filings!AO97/filings!A97</f>
        <v>1.26308642923333</v>
      </c>
      <c r="I87" s="51" t="n">
        <f aca="false">C87</f>
        <v>56.1821666666667</v>
      </c>
    </row>
    <row r="88" customFormat="false" ht="12.75" hidden="false" customHeight="false" outlineLevel="0" collapsed="false">
      <c r="A88" s="7" t="n">
        <f aca="false">daily!B98</f>
        <v>36708</v>
      </c>
      <c r="B88" s="83" t="n">
        <f aca="false">daily!T98</f>
        <v>1.31304876219055</v>
      </c>
      <c r="C88" s="51" t="n">
        <f aca="false">daily!N98</f>
        <v>62.4288709677419</v>
      </c>
      <c r="D88" s="51" t="n">
        <f aca="false">$C$107+$C$108*B88</f>
        <v>59.3051037078368</v>
      </c>
      <c r="E88" s="51" t="n">
        <f aca="false">daily!P98</f>
        <v>67.0439677419355</v>
      </c>
      <c r="F88" s="51" t="n">
        <f aca="false">$E$107+$E$108*$B88</f>
        <v>61.2822289249972</v>
      </c>
      <c r="H88" s="83" t="n">
        <f aca="false">filings!AO98/filings!A98</f>
        <v>1.28284769270968</v>
      </c>
      <c r="I88" s="51" t="n">
        <f aca="false">C88</f>
        <v>62.4288709677419</v>
      </c>
    </row>
    <row r="89" customFormat="false" ht="12.75" hidden="false" customHeight="false" outlineLevel="0" collapsed="false">
      <c r="A89" s="7" t="n">
        <f aca="false">daily!B99</f>
        <v>36739</v>
      </c>
      <c r="B89" s="83" t="n">
        <f aca="false">daily!T99</f>
        <v>1.24156417295813</v>
      </c>
      <c r="C89" s="51" t="n">
        <f aca="false">daily!N99</f>
        <v>57.1818709677419</v>
      </c>
      <c r="D89" s="51" t="n">
        <f aca="false">$C$107+$C$108*B89</f>
        <v>52.0680710572399</v>
      </c>
      <c r="E89" s="51" t="n">
        <f aca="false">daily!P99</f>
        <v>64.2513870967742</v>
      </c>
      <c r="F89" s="51" t="n">
        <f aca="false">$E$107+$E$108*$B89</f>
        <v>53.360437725192</v>
      </c>
      <c r="H89" s="83" t="n">
        <f aca="false">filings!AO99/filings!A99</f>
        <v>1.21000598341935</v>
      </c>
      <c r="I89" s="51" t="n">
        <f aca="false">C89</f>
        <v>57.1818709677419</v>
      </c>
    </row>
    <row r="90" customFormat="false" ht="12.75" hidden="false" customHeight="false" outlineLevel="0" collapsed="false">
      <c r="A90" s="7" t="n">
        <f aca="false">daily!B100</f>
        <v>36770</v>
      </c>
      <c r="B90" s="83" t="n">
        <f aca="false">daily!T100</f>
        <v>1.27355886524823</v>
      </c>
      <c r="C90" s="51" t="n">
        <f aca="false">daily!N100</f>
        <v>57.0217666666667</v>
      </c>
      <c r="D90" s="51" t="n">
        <f aca="false">$C$107+$C$108*B90</f>
        <v>55.3071836440996</v>
      </c>
      <c r="E90" s="51" t="n">
        <f aca="false">daily!P100</f>
        <v>61.2416</v>
      </c>
      <c r="F90" s="51" t="n">
        <f aca="false">$E$107+$E$108*$B90</f>
        <v>56.9060309019268</v>
      </c>
      <c r="H90" s="83" t="n">
        <f aca="false">filings!AO100/filings!A100</f>
        <v>1.24163666546667</v>
      </c>
      <c r="I90" s="51" t="n">
        <f aca="false">C90</f>
        <v>57.0217666666667</v>
      </c>
    </row>
    <row r="91" customFormat="false" ht="12.75" hidden="false" customHeight="false" outlineLevel="0" collapsed="false">
      <c r="A91" s="7" t="n">
        <f aca="false">daily!B101</f>
        <v>36800</v>
      </c>
      <c r="B91" s="83" t="n">
        <f aca="false">daily!T101</f>
        <v>1.28983115991764</v>
      </c>
      <c r="C91" s="51" t="n">
        <f aca="false">daily!N101</f>
        <v>56.3612580645161</v>
      </c>
      <c r="D91" s="51" t="n">
        <f aca="false">$C$107+$C$108*B91</f>
        <v>56.9545754678085</v>
      </c>
      <c r="E91" s="51" t="n">
        <f aca="false">daily!P101</f>
        <v>54.0012903225806</v>
      </c>
      <c r="F91" s="51" t="n">
        <f aca="false">$E$107+$E$108*$B91</f>
        <v>58.709296781985</v>
      </c>
      <c r="H91" s="83" t="n">
        <f aca="false">filings!AO101/filings!A101</f>
        <v>1.25798776225806</v>
      </c>
      <c r="I91" s="51" t="n">
        <f aca="false">C91</f>
        <v>56.3612580645161</v>
      </c>
    </row>
    <row r="92" customFormat="false" ht="12.75" hidden="false" customHeight="false" outlineLevel="0" collapsed="false">
      <c r="A92" s="7" t="n">
        <f aca="false">daily!B102</f>
        <v>36831</v>
      </c>
      <c r="B92" s="83"/>
      <c r="C92" s="51"/>
      <c r="D92" s="51"/>
      <c r="E92" s="51"/>
      <c r="F92" s="51"/>
      <c r="H92" s="83"/>
      <c r="I92" s="51"/>
    </row>
    <row r="93" customFormat="false" ht="12.75" hidden="false" customHeight="false" outlineLevel="0" collapsed="false">
      <c r="A93" s="7" t="n">
        <f aca="false">daily!B103</f>
        <v>36861</v>
      </c>
      <c r="B93" s="83"/>
      <c r="C93" s="51"/>
      <c r="D93" s="51"/>
      <c r="E93" s="51"/>
      <c r="F93" s="51"/>
      <c r="H93" s="83"/>
      <c r="I93" s="51"/>
    </row>
    <row r="94" customFormat="false" ht="12.75" hidden="false" customHeight="false" outlineLevel="0" collapsed="false">
      <c r="A94" s="7" t="n">
        <f aca="false">daily!B104</f>
        <v>36892</v>
      </c>
      <c r="B94" s="83"/>
      <c r="C94" s="51"/>
      <c r="D94" s="51"/>
      <c r="E94" s="51"/>
      <c r="F94" s="51"/>
      <c r="H94" s="83"/>
      <c r="I94" s="51"/>
    </row>
    <row r="95" customFormat="false" ht="12.75" hidden="false" customHeight="false" outlineLevel="0" collapsed="false">
      <c r="A95" s="7" t="n">
        <f aca="false">daily!B105</f>
        <v>36923</v>
      </c>
      <c r="B95" s="83"/>
      <c r="C95" s="51"/>
      <c r="D95" s="51"/>
      <c r="E95" s="51"/>
      <c r="F95" s="51"/>
      <c r="H95" s="83"/>
      <c r="I95" s="51"/>
    </row>
    <row r="96" customFormat="false" ht="12.75" hidden="false" customHeight="false" outlineLevel="0" collapsed="false">
      <c r="A96" s="7" t="n">
        <f aca="false">daily!B106</f>
        <v>36951</v>
      </c>
      <c r="B96" s="83"/>
      <c r="C96" s="51"/>
      <c r="D96" s="51"/>
      <c r="E96" s="51"/>
      <c r="F96" s="51"/>
      <c r="H96" s="83"/>
      <c r="I96" s="51"/>
    </row>
    <row r="97" customFormat="false" ht="12.75" hidden="false" customHeight="false" outlineLevel="0" collapsed="false">
      <c r="A97" s="7" t="n">
        <f aca="false">daily!B107</f>
        <v>36982</v>
      </c>
      <c r="B97" s="83"/>
      <c r="C97" s="51"/>
      <c r="D97" s="51"/>
      <c r="E97" s="51"/>
      <c r="F97" s="51"/>
      <c r="H97" s="83"/>
      <c r="I97" s="51"/>
    </row>
    <row r="98" customFormat="false" ht="12.75" hidden="false" customHeight="false" outlineLevel="0" collapsed="false">
      <c r="A98" s="7" t="n">
        <f aca="false">daily!B114</f>
        <v>37196</v>
      </c>
      <c r="B98" s="83"/>
      <c r="C98" s="51"/>
    </row>
    <row r="99" customFormat="false" ht="12.75" hidden="false" customHeight="false" outlineLevel="0" collapsed="false">
      <c r="A99" s="7" t="n">
        <f aca="false">daily!B115</f>
        <v>37226</v>
      </c>
      <c r="B99" s="83"/>
      <c r="C99" s="51"/>
    </row>
    <row r="100" customFormat="false" ht="12.75" hidden="false" customHeight="false" outlineLevel="0" collapsed="false">
      <c r="A100" s="7" t="n">
        <f aca="false">daily!B116</f>
        <v>37257</v>
      </c>
      <c r="B100" s="83"/>
      <c r="C100" s="51"/>
    </row>
    <row r="101" customFormat="false" ht="12.75" hidden="false" customHeight="false" outlineLevel="0" collapsed="false">
      <c r="A101" s="7"/>
      <c r="B101" s="83"/>
    </row>
    <row r="102" customFormat="false" ht="12.75" hidden="false" customHeight="false" outlineLevel="0" collapsed="false">
      <c r="A102" s="7"/>
      <c r="B102" s="83"/>
    </row>
    <row r="103" customFormat="false" ht="12.75" hidden="false" customHeight="false" outlineLevel="0" collapsed="false">
      <c r="A103" s="7" t="s">
        <v>141</v>
      </c>
      <c r="B103" s="98" t="n">
        <f aca="false">COUNT($C$8:$C$100)</f>
        <v>84</v>
      </c>
      <c r="C103" s="98" t="n">
        <f aca="false">SUMPRODUCT($B$8:$B$100,$C$8:$C$100)</f>
        <v>5131.28689933281</v>
      </c>
      <c r="D103" s="0" t="s">
        <v>142</v>
      </c>
      <c r="E103" s="98" t="n">
        <f aca="false">SUMPRODUCT($B$8:$B$100,$E$8:$E$100)</f>
        <v>5245.79083113802</v>
      </c>
      <c r="H103" s="98" t="n">
        <f aca="false">COUNT($H$8:$H$100)</f>
        <v>34</v>
      </c>
      <c r="I103" s="98" t="n">
        <f aca="false">SUMPRODUCT($H$8:$H$100,$I$8:$I$100)</f>
        <v>2330.52395118105</v>
      </c>
    </row>
    <row r="104" customFormat="false" ht="12.75" hidden="false" customHeight="false" outlineLevel="0" collapsed="false">
      <c r="A104" s="7" t="s">
        <v>143</v>
      </c>
      <c r="B104" s="83" t="n">
        <f aca="false">SUM($B$8:$B$100)</f>
        <v>102.087671547656</v>
      </c>
      <c r="C104" s="98" t="n">
        <f aca="false">SUM($C$8:$C$100)</f>
        <v>4150.61552969172</v>
      </c>
      <c r="D104" s="0" t="s">
        <v>144</v>
      </c>
      <c r="E104" s="51" t="n">
        <f aca="false">SUM($E$8:$E$100)</f>
        <v>4238.06466926479</v>
      </c>
      <c r="H104" s="83" t="n">
        <f aca="false">SUM($H$8:$H$100)</f>
        <v>42.4530514168463</v>
      </c>
      <c r="I104" s="98" t="n">
        <f aca="false">SUM($I$8:$I$100)</f>
        <v>1856.61719403305</v>
      </c>
    </row>
    <row r="105" customFormat="false" ht="12.75" hidden="false" customHeight="false" outlineLevel="0" collapsed="false">
      <c r="A105" s="7" t="s">
        <v>145</v>
      </c>
      <c r="B105" s="98" t="n">
        <f aca="false">SUMPRODUCT($B$8:$B$100,$B$8:$B$100)</f>
        <v>124.928729882432</v>
      </c>
      <c r="C105" s="98" t="n">
        <f aca="false">SUMPRODUCT($C$8:$C$100,$C$8:$C$100)</f>
        <v>215103.010311753</v>
      </c>
      <c r="D105" s="0" t="s">
        <v>146</v>
      </c>
      <c r="E105" s="98" t="n">
        <f aca="false">SUMPRODUCT($E$8:$E$100,$E$8:$E$100)</f>
        <v>229960.576238168</v>
      </c>
      <c r="H105" s="98" t="n">
        <f aca="false">SUMPRODUCT($H$8:$H$100,$H$8:$H$100)</f>
        <v>53.1048804161379</v>
      </c>
      <c r="I105" s="98" t="n">
        <f aca="false">SUMPRODUCT($I$8:$I$100,$I$8:$I$100)</f>
        <v>103456.873916042</v>
      </c>
    </row>
    <row r="106" customFormat="false" ht="12.75" hidden="false" customHeight="false" outlineLevel="0" collapsed="false">
      <c r="A106" s="7"/>
      <c r="B106" s="83"/>
    </row>
    <row r="107" customFormat="false" ht="12.75" hidden="false" customHeight="false" outlineLevel="0" collapsed="false">
      <c r="A107" s="7"/>
      <c r="B107" s="83" t="s">
        <v>147</v>
      </c>
      <c r="C107" s="0" t="n">
        <f aca="false">(C104/$B103-C108*$B104/$B103)</f>
        <v>-73.6267193023452</v>
      </c>
      <c r="D107" s="27" t="n">
        <f aca="false">C107/1000000</f>
        <v>-7.36267193023452E-005</v>
      </c>
      <c r="E107" s="0" t="n">
        <f aca="false">(E104/$B103-E108*$B104/$B103)</f>
        <v>-84.2274290436255</v>
      </c>
      <c r="F107" s="27" t="n">
        <f aca="false">E107/1000000</f>
        <v>-8.42274290436255E-005</v>
      </c>
      <c r="H107" s="99" t="n">
        <f aca="false">H108*612.46</f>
        <v>0.077614767673291</v>
      </c>
      <c r="I107" s="0" t="n">
        <f aca="false">(I104/$H103-I108*$H104/$H103)</f>
        <v>-103.626453208148</v>
      </c>
    </row>
    <row r="108" customFormat="false" ht="12.75" hidden="false" customHeight="false" outlineLevel="0" collapsed="false">
      <c r="A108" s="7"/>
      <c r="B108" s="83" t="s">
        <v>148</v>
      </c>
      <c r="C108" s="0" t="n">
        <f aca="false">($B103*C103-C104*$B104)/($B103*$B105-$B104*$B104)</f>
        <v>101.239060450743</v>
      </c>
      <c r="D108" s="27" t="n">
        <f aca="false">C108/1000000</f>
        <v>0.000101239060450743</v>
      </c>
      <c r="E108" s="0" t="n">
        <f aca="false">($B103*E103-E104*$B104)/($B103*$B105-$B104*$B104)</f>
        <v>110.81816773192</v>
      </c>
      <c r="F108" s="27" t="n">
        <f aca="false">E108/1000000</f>
        <v>0.00011081816773192</v>
      </c>
      <c r="H108" s="27" t="n">
        <f aca="false">I108/1000000</f>
        <v>0.000126726264038943</v>
      </c>
      <c r="I108" s="0" t="n">
        <f aca="false">($H103*I103-I104*$H104)/($H103*$H105-$H104*$H104)</f>
        <v>126.726264038943</v>
      </c>
    </row>
    <row r="109" customFormat="false" ht="12.75" hidden="false" customHeight="false" outlineLevel="0" collapsed="false">
      <c r="A109" s="7"/>
      <c r="B109" s="83"/>
    </row>
    <row r="110" customFormat="false" ht="12.75" hidden="false" customHeight="false" outlineLevel="0" collapsed="false">
      <c r="A110" s="7"/>
      <c r="B110" s="83" t="s">
        <v>149</v>
      </c>
      <c r="C110" s="78" t="n">
        <f aca="false">RSQ($C$8:$C$100,$B$8:$B$100)</f>
        <v>0.878895431027195</v>
      </c>
      <c r="E110" s="78" t="n">
        <f aca="false">RSQ($E$8:$E$100,$B$8:$B$100)</f>
        <v>0.653405982088185</v>
      </c>
      <c r="I110" s="78" t="n">
        <f aca="false">RSQ($I$8:$I$100,$H$8:$H$100)</f>
        <v>0.752649169583963</v>
      </c>
    </row>
    <row r="111" customFormat="false" ht="12.75" hidden="false" customHeight="false" outlineLevel="0" collapsed="false">
      <c r="A111" s="7"/>
      <c r="B111" s="83" t="s">
        <v>150</v>
      </c>
      <c r="C111" s="98" t="n">
        <f aca="false">FDIST(C112,1,$B$103-2)</f>
        <v>2.40221883344514E-039</v>
      </c>
      <c r="E111" s="98" t="n">
        <f aca="false">FDIST(E112,1,$B$103-2)</f>
        <v>1.46581624563025E-020</v>
      </c>
      <c r="I111" s="98" t="n">
        <f aca="false">FDIST(I112,1,$B$103-2)</f>
        <v>1.36349698262251E-015</v>
      </c>
    </row>
    <row r="112" customFormat="false" ht="12.75" hidden="false" customHeight="false" outlineLevel="0" collapsed="false">
      <c r="A112" s="7"/>
      <c r="B112" s="83" t="s">
        <v>151</v>
      </c>
      <c r="C112" s="83" t="n">
        <f aca="false">(C110/1)/((1-C110)/($B103-2))</f>
        <v>595.100795581163</v>
      </c>
      <c r="E112" s="83" t="n">
        <f aca="false">(E110/1)/((1-E110)/($B103-2))</f>
        <v>154.588041807645</v>
      </c>
      <c r="I112" s="83" t="n">
        <f aca="false">(I110/1)/((1-I110)/($H103-2))</f>
        <v>97.3709018327409</v>
      </c>
    </row>
    <row r="113" customFormat="false" ht="12.75" hidden="false" customHeight="false" outlineLevel="0" collapsed="false">
      <c r="A113" s="7"/>
      <c r="B113" s="83" t="s">
        <v>152</v>
      </c>
      <c r="C113" s="83" t="n">
        <f aca="false">FINV(0.05,1,$B$103-2)</f>
        <v>3.95738832176794</v>
      </c>
      <c r="E113" s="83" t="n">
        <f aca="false">FINV(0.05,1,$B$103-2)</f>
        <v>3.95738832176794</v>
      </c>
      <c r="I113" s="83" t="n">
        <f aca="false">FINV(0.05,1,$H$103-2)</f>
        <v>4.14909744569955</v>
      </c>
    </row>
    <row r="114" customFormat="false" ht="12.75" hidden="false" customHeight="false" outlineLevel="0" collapsed="false">
      <c r="A114" s="7"/>
      <c r="B114" s="83" t="s">
        <v>153</v>
      </c>
      <c r="C114" s="83" t="n">
        <f aca="false">FINV(0.01,1,$B$103-2)</f>
        <v>6.9544198817872</v>
      </c>
      <c r="E114" s="83" t="n">
        <f aca="false">FINV(0.01,1,$B$103-2)</f>
        <v>6.9544198817872</v>
      </c>
      <c r="I114" s="83" t="n">
        <f aca="false">FINV(0.01,1,$H$103-2)</f>
        <v>7.49928082732367</v>
      </c>
    </row>
    <row r="115" customFormat="false" ht="12.75" hidden="false" customHeight="false" outlineLevel="0" collapsed="false">
      <c r="A115" s="7"/>
      <c r="B115" s="83" t="s">
        <v>154</v>
      </c>
      <c r="C115" s="83" t="n">
        <f aca="false">FINV(0.001,1,$B$103-2)</f>
        <v>11.6497070702888</v>
      </c>
      <c r="E115" s="83" t="n">
        <f aca="false">FINV(0.001,1,$B$103-2)</f>
        <v>11.6497070702888</v>
      </c>
      <c r="I115" s="83" t="n">
        <f aca="false">FINV(0.001,1,$H$103-2)</f>
        <v>13.1174516095813</v>
      </c>
    </row>
    <row r="116" customFormat="false" ht="12.75" hidden="false" customHeight="false" outlineLevel="0" collapsed="false">
      <c r="A116" s="7"/>
      <c r="B116" s="83"/>
    </row>
    <row r="117" customFormat="false" ht="12.75" hidden="false" customHeight="false" outlineLevel="0" collapsed="false">
      <c r="A117" s="7"/>
      <c r="B117" s="83"/>
    </row>
    <row r="118" customFormat="false" ht="12.75" hidden="false" customHeight="false" outlineLevel="0" collapsed="false">
      <c r="A118" s="7"/>
      <c r="B118" s="83"/>
    </row>
    <row r="119" customFormat="false" ht="12.75" hidden="false" customHeight="false" outlineLevel="0" collapsed="false">
      <c r="A119" s="7"/>
      <c r="B119" s="83"/>
    </row>
    <row r="120" customFormat="false" ht="12.75" hidden="false" customHeight="false" outlineLevel="0" collapsed="false">
      <c r="A120" s="7"/>
      <c r="B120" s="83"/>
    </row>
    <row r="121" customFormat="false" ht="12.75" hidden="false" customHeight="false" outlineLevel="0" collapsed="false">
      <c r="A121" s="7"/>
      <c r="B121" s="83"/>
    </row>
    <row r="122" customFormat="false" ht="12.75" hidden="false" customHeight="false" outlineLevel="0" collapsed="false">
      <c r="A122" s="7"/>
      <c r="B122" s="83"/>
    </row>
    <row r="123" customFormat="false" ht="12.75" hidden="false" customHeight="false" outlineLevel="0" collapsed="false">
      <c r="A123" s="7"/>
      <c r="B123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3, Page 1 of 1</oddHeader>
    <oddFooter>&amp;LSource: PGT Filings with FERC, TM94-3-86 et al.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5, Page 1 of 1</oddHeader>
    <oddFooter>&amp;LSource: PGT Filings with FERC, TM94-3-86 et al.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6, Page 1 of 1</oddHeader>
    <oddFooter>&amp;LSource: PGT Filings with FERC, TM94-3-86 et al.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7, Page 1 of 1</oddHeader>
    <oddFooter>&amp;LSource: PGT Filings with FERC, TM94-3-86 et al.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76" activePane="bottomRight" state="frozen"/>
      <selection pane="topLeft" activeCell="A1" activeCellId="0" sqref="A1"/>
      <selection pane="topRight" activeCell="D1" activeCellId="0" sqref="D1"/>
      <selection pane="bottomLeft" activeCell="A76" activeCellId="0" sqref="A76"/>
      <selection pane="bottomRigh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7.14"/>
    <col collapsed="false" customWidth="true" hidden="false" outlineLevel="0" max="3" min="3" style="0" width="2.99"/>
    <col collapsed="false" customWidth="true" hidden="false" outlineLevel="0" max="4" min="4" style="0" width="8.56"/>
    <col collapsed="false" customWidth="true" hidden="false" outlineLevel="0" max="5" min="5" style="0" width="8.14"/>
    <col collapsed="false" customWidth="true" hidden="false" outlineLevel="0" max="6" min="6" style="0" width="7.85"/>
    <col collapsed="false" customWidth="true" hidden="false" outlineLevel="0" max="7" min="7" style="0" width="8.41"/>
    <col collapsed="false" customWidth="true" hidden="false" outlineLevel="0" max="8" min="8" style="0" width="8.14"/>
    <col collapsed="false" customWidth="true" hidden="false" outlineLevel="0" max="9" min="9" style="0" width="8.56"/>
    <col collapsed="false" customWidth="true" hidden="false" outlineLevel="0" max="10" min="10" style="0" width="8.41"/>
    <col collapsed="false" customWidth="true" hidden="false" outlineLevel="0" max="14" min="13" style="0" width="5.71"/>
    <col collapsed="false" customWidth="true" hidden="false" outlineLevel="0" max="15" min="15" style="0" width="8.28"/>
    <col collapsed="false" customWidth="true" hidden="false" outlineLevel="0" max="16" min="16" style="0" width="8.85"/>
    <col collapsed="false" customWidth="true" hidden="false" outlineLevel="0" max="17" min="17" style="0" width="8.41"/>
  </cols>
  <sheetData>
    <row r="1" customFormat="false" ht="12.75" hidden="false" customHeight="false" outlineLevel="0" collapsed="false">
      <c r="B1" s="14" t="s">
        <v>8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4" t="s">
        <v>14</v>
      </c>
      <c r="I1" s="14" t="s">
        <v>15</v>
      </c>
      <c r="J1" s="14" t="s">
        <v>16</v>
      </c>
      <c r="K1" s="14" t="s">
        <v>17</v>
      </c>
      <c r="L1" s="14" t="s">
        <v>18</v>
      </c>
      <c r="M1" s="14" t="s">
        <v>19</v>
      </c>
      <c r="N1" s="14" t="s">
        <v>20</v>
      </c>
      <c r="O1" s="14" t="s">
        <v>21</v>
      </c>
      <c r="P1" s="14" t="s">
        <v>22</v>
      </c>
      <c r="Q1" s="14" t="s">
        <v>23</v>
      </c>
    </row>
    <row r="2" customFormat="false" ht="12.75" hidden="false" customHeight="false" outlineLevel="0" collapsed="false">
      <c r="A2" s="14" t="n">
        <v>2</v>
      </c>
      <c r="B2" s="1"/>
      <c r="C2" s="2"/>
      <c r="D2" s="15" t="s">
        <v>24</v>
      </c>
      <c r="E2" s="16" t="s">
        <v>25</v>
      </c>
      <c r="F2" s="16" t="s">
        <v>25</v>
      </c>
      <c r="G2" s="16" t="s">
        <v>25</v>
      </c>
      <c r="H2" s="16" t="s">
        <v>25</v>
      </c>
      <c r="I2" s="16" t="s">
        <v>25</v>
      </c>
      <c r="J2" s="16" t="s">
        <v>26</v>
      </c>
      <c r="K2" s="16" t="s">
        <v>27</v>
      </c>
      <c r="L2" s="16"/>
      <c r="M2" s="16"/>
      <c r="N2" s="16"/>
      <c r="O2" s="16"/>
      <c r="Q2" s="16" t="s">
        <v>28</v>
      </c>
    </row>
    <row r="3" customFormat="false" ht="12.75" hidden="false" customHeight="false" outlineLevel="0" collapsed="false">
      <c r="A3" s="17" t="n">
        <f aca="false">A2+1</f>
        <v>3</v>
      </c>
      <c r="B3" s="17" t="s">
        <v>29</v>
      </c>
      <c r="C3" s="18" t="s">
        <v>30</v>
      </c>
      <c r="D3" s="15" t="s">
        <v>31</v>
      </c>
      <c r="E3" s="16" t="s">
        <v>32</v>
      </c>
      <c r="F3" s="16" t="s">
        <v>33</v>
      </c>
      <c r="G3" s="16" t="s">
        <v>34</v>
      </c>
      <c r="H3" s="16" t="s">
        <v>35</v>
      </c>
      <c r="I3" s="16" t="s">
        <v>36</v>
      </c>
      <c r="J3" s="16" t="s">
        <v>37</v>
      </c>
      <c r="K3" s="16" t="s">
        <v>37</v>
      </c>
      <c r="L3" s="0" t="s">
        <v>38</v>
      </c>
      <c r="M3" s="0" t="s">
        <v>39</v>
      </c>
      <c r="N3" s="0" t="s">
        <v>40</v>
      </c>
      <c r="O3" s="0" t="s">
        <v>41</v>
      </c>
      <c r="P3" s="0" t="s">
        <v>42</v>
      </c>
      <c r="Q3" s="16" t="s">
        <v>43</v>
      </c>
    </row>
    <row r="4" customFormat="false" ht="12.75" hidden="false" customHeight="false" outlineLevel="0" collapsed="false">
      <c r="A4" s="17" t="n">
        <f aca="false">A3+1</f>
        <v>4</v>
      </c>
      <c r="B4" s="3"/>
      <c r="C4" s="4"/>
      <c r="D4" s="5" t="s">
        <v>44</v>
      </c>
      <c r="E4" s="6" t="s">
        <v>45</v>
      </c>
      <c r="F4" s="6" t="s">
        <v>45</v>
      </c>
      <c r="G4" s="6" t="s">
        <v>45</v>
      </c>
      <c r="H4" s="6" t="s">
        <v>45</v>
      </c>
      <c r="I4" s="6" t="s">
        <v>45</v>
      </c>
      <c r="J4" s="6" t="s">
        <v>45</v>
      </c>
      <c r="K4" s="6" t="s">
        <v>45</v>
      </c>
      <c r="L4" s="19" t="s">
        <v>46</v>
      </c>
      <c r="M4" s="19" t="s">
        <v>47</v>
      </c>
      <c r="N4" s="19" t="s">
        <v>47</v>
      </c>
      <c r="O4" s="6" t="s">
        <v>44</v>
      </c>
      <c r="P4" s="6" t="s">
        <v>44</v>
      </c>
      <c r="Q4" s="6" t="s">
        <v>48</v>
      </c>
    </row>
    <row r="5" customFormat="false" ht="12.75" hidden="false" customHeight="false" outlineLevel="0" collapsed="false">
      <c r="A5" s="14" t="n">
        <f aca="false">A4+1</f>
        <v>5</v>
      </c>
      <c r="B5" s="7" t="n">
        <v>34274</v>
      </c>
      <c r="C5" s="20" t="n">
        <f aca="false">DAY(EOMONTH(B5,0))</f>
        <v>30</v>
      </c>
      <c r="D5" s="21" t="n">
        <f aca="false">filings!M18</f>
        <v>4.1E-005</v>
      </c>
      <c r="E5" s="22" t="n">
        <f aca="false">filings!O18</f>
        <v>783.077</v>
      </c>
      <c r="F5" s="22" t="n">
        <f aca="false">filings!P18</f>
        <v>-121.793</v>
      </c>
      <c r="G5" s="22" t="n">
        <f aca="false">filings!Q18</f>
        <v>661.284</v>
      </c>
      <c r="H5" s="23" t="n">
        <f aca="false">filings!R18</f>
        <v>1204.482</v>
      </c>
      <c r="I5" s="24" t="n">
        <f aca="false">filings!S18</f>
        <v>0</v>
      </c>
      <c r="J5" s="25" t="n">
        <f aca="false">(H5-G5)</f>
        <v>543.198</v>
      </c>
      <c r="K5" s="25" t="n">
        <f aca="false">K6-J6</f>
        <v>63.1529999999984</v>
      </c>
      <c r="L5" s="26" t="n">
        <f aca="false">H5/D5/C5/1000000</f>
        <v>0.979253658536585</v>
      </c>
      <c r="M5" s="25" t="n">
        <f aca="false">E5/C5</f>
        <v>26.1025666666667</v>
      </c>
      <c r="N5" s="25" t="n">
        <f aca="false">G5/$C5</f>
        <v>22.0428</v>
      </c>
      <c r="O5" s="27" t="n">
        <f aca="false">M5/$L5/1000000</f>
        <v>2.66555722709015E-005</v>
      </c>
      <c r="P5" s="27" t="n">
        <f aca="false">N5/$L5/1000000</f>
        <v>2.25097959122677E-005</v>
      </c>
      <c r="Q5" s="28" t="str">
        <f aca="false">IF(P5&gt;0.00415%,ROUND(P5-0.0041%,6),"")</f>
        <v/>
      </c>
    </row>
    <row r="6" customFormat="false" ht="12.75" hidden="false" customHeight="false" outlineLevel="0" collapsed="false">
      <c r="A6" s="17" t="n">
        <f aca="false">A5+1</f>
        <v>6</v>
      </c>
      <c r="B6" s="7" t="n">
        <v>34304</v>
      </c>
      <c r="C6" s="20" t="n">
        <f aca="false">DAY(EOMONTH(B6,0))</f>
        <v>31</v>
      </c>
      <c r="D6" s="29" t="n">
        <f aca="false">filings!M19</f>
        <v>1.9E-005</v>
      </c>
      <c r="E6" s="22" t="n">
        <f aca="false">filings!O19</f>
        <v>909.198</v>
      </c>
      <c r="F6" s="22" t="n">
        <f aca="false">filings!P19</f>
        <v>-150.327</v>
      </c>
      <c r="G6" s="22" t="n">
        <f aca="false">filings!Q19</f>
        <v>758.871</v>
      </c>
      <c r="H6" s="22" t="n">
        <f aca="false">filings!R19</f>
        <v>585.1</v>
      </c>
      <c r="I6" s="24" t="n">
        <f aca="false">filings!S19</f>
        <v>0</v>
      </c>
      <c r="J6" s="22" t="n">
        <f aca="false">(H6-G6)</f>
        <v>-173.771</v>
      </c>
      <c r="K6" s="25" t="n">
        <f aca="false">K7-J7</f>
        <v>-110.618000000002</v>
      </c>
      <c r="L6" s="26" t="n">
        <f aca="false">H6/D6/C6/1000000</f>
        <v>0.993378607809847</v>
      </c>
      <c r="M6" s="25" t="n">
        <f aca="false">E6/$C6</f>
        <v>29.3289677419355</v>
      </c>
      <c r="N6" s="25" t="n">
        <f aca="false">G6/$C6</f>
        <v>24.4797096774194</v>
      </c>
      <c r="O6" s="27" t="n">
        <f aca="false">M6/$L6/1000000</f>
        <v>2.95244607759357E-005</v>
      </c>
      <c r="P6" s="27" t="n">
        <f aca="false">N6/$L6/1000000</f>
        <v>2.46428798495984E-005</v>
      </c>
      <c r="Q6" s="28" t="str">
        <f aca="false">IF(P6&gt;0.00415%,ROUND(P6-0.0041%,6),"")</f>
        <v/>
      </c>
    </row>
    <row r="7" customFormat="false" ht="12.75" hidden="false" customHeight="false" outlineLevel="0" collapsed="false">
      <c r="A7" s="14" t="n">
        <f aca="false">A6+1</f>
        <v>7</v>
      </c>
      <c r="B7" s="7" t="n">
        <v>34335</v>
      </c>
      <c r="C7" s="20" t="n">
        <f aca="false">DAY(EOMONTH(B7,0))</f>
        <v>31</v>
      </c>
      <c r="D7" s="21" t="n">
        <f aca="false">filings!M20</f>
        <v>1E-005</v>
      </c>
      <c r="E7" s="22" t="n">
        <f aca="false">filings!O20</f>
        <v>921.128</v>
      </c>
      <c r="F7" s="22" t="n">
        <f aca="false">filings!P20</f>
        <v>-159.781</v>
      </c>
      <c r="G7" s="22" t="n">
        <f aca="false">filings!Q20</f>
        <v>761.347</v>
      </c>
      <c r="H7" s="22" t="n">
        <f aca="false">filings!R20</f>
        <v>315</v>
      </c>
      <c r="I7" s="24" t="n">
        <f aca="false">filings!S20</f>
        <v>0</v>
      </c>
      <c r="J7" s="22" t="n">
        <f aca="false">(H7-G7)</f>
        <v>-446.347</v>
      </c>
      <c r="K7" s="25" t="n">
        <f aca="false">K8-J8</f>
        <v>-556.965000000002</v>
      </c>
      <c r="L7" s="26" t="n">
        <f aca="false">H7/D7/C7/1000000</f>
        <v>1.01612903225806</v>
      </c>
      <c r="M7" s="25" t="n">
        <f aca="false">E7/$C7</f>
        <v>29.7138064516129</v>
      </c>
      <c r="N7" s="25" t="n">
        <f aca="false">G7/$C7</f>
        <v>24.5595806451613</v>
      </c>
      <c r="O7" s="27" t="n">
        <f aca="false">M7/$L7/1000000</f>
        <v>2.92421587301587E-005</v>
      </c>
      <c r="P7" s="27" t="n">
        <f aca="false">N7/$L7/1000000</f>
        <v>2.4169746031746E-005</v>
      </c>
      <c r="Q7" s="28" t="str">
        <f aca="false">IF(P7&gt;0.00415%,ROUND(P7-0.0041%,6),"")</f>
        <v/>
      </c>
    </row>
    <row r="8" customFormat="false" ht="12.75" hidden="false" customHeight="false" outlineLevel="0" collapsed="false">
      <c r="A8" s="17" t="n">
        <f aca="false">A7+1</f>
        <v>8</v>
      </c>
      <c r="B8" s="7" t="n">
        <v>34366</v>
      </c>
      <c r="C8" s="20" t="n">
        <f aca="false">DAY(EOMONTH(B8,0))</f>
        <v>28</v>
      </c>
      <c r="D8" s="21" t="n">
        <f aca="false">filings!M21</f>
        <v>3.1E-005</v>
      </c>
      <c r="E8" s="22" t="n">
        <f aca="false">filings!O21</f>
        <v>891.646</v>
      </c>
      <c r="F8" s="22" t="n">
        <f aca="false">filings!P21</f>
        <v>-244.314</v>
      </c>
      <c r="G8" s="22" t="n">
        <f aca="false">filings!Q21</f>
        <v>647.332</v>
      </c>
      <c r="H8" s="22" t="n">
        <f aca="false">filings!R21</f>
        <v>900.9</v>
      </c>
      <c r="I8" s="24" t="n">
        <f aca="false">filings!S21</f>
        <v>0</v>
      </c>
      <c r="J8" s="22" t="n">
        <f aca="false">(H8-G8)</f>
        <v>253.568</v>
      </c>
      <c r="K8" s="25" t="n">
        <f aca="false">K9-J9</f>
        <v>-303.397000000002</v>
      </c>
      <c r="L8" s="26" t="n">
        <f aca="false">H8/D8/C8/1000000</f>
        <v>1.03790322580645</v>
      </c>
      <c r="M8" s="25" t="n">
        <f aca="false">E8/$C8</f>
        <v>31.8445</v>
      </c>
      <c r="N8" s="25" t="n">
        <f aca="false">G8/$C8</f>
        <v>23.119</v>
      </c>
      <c r="O8" s="27" t="n">
        <f aca="false">M8/$L8/1000000</f>
        <v>3.06815695415695E-005</v>
      </c>
      <c r="P8" s="27" t="n">
        <f aca="false">N8/$L8/1000000</f>
        <v>2.22747163947164E-005</v>
      </c>
      <c r="Q8" s="28" t="str">
        <f aca="false">IF(P8&gt;0.00415%,ROUND(P8-0.0041%,6),"")</f>
        <v/>
      </c>
    </row>
    <row r="9" customFormat="false" ht="12.75" hidden="false" customHeight="false" outlineLevel="0" collapsed="false">
      <c r="A9" s="14" t="n">
        <f aca="false">A8+1</f>
        <v>9</v>
      </c>
      <c r="B9" s="7" t="n">
        <v>34394</v>
      </c>
      <c r="C9" s="20" t="n">
        <f aca="false">DAY(EOMONTH(B9,0))</f>
        <v>31</v>
      </c>
      <c r="D9" s="21" t="n">
        <f aca="false">filings!M22</f>
        <v>3.3E-005</v>
      </c>
      <c r="E9" s="22" t="n">
        <f aca="false">filings!O22</f>
        <v>783.501</v>
      </c>
      <c r="F9" s="22" t="n">
        <f aca="false">filings!P22</f>
        <v>-198.334</v>
      </c>
      <c r="G9" s="22" t="n">
        <f aca="false">filings!Q22</f>
        <v>585.167</v>
      </c>
      <c r="H9" s="22" t="n">
        <f aca="false">filings!R22</f>
        <v>994.763</v>
      </c>
      <c r="I9" s="24" t="n">
        <f aca="false">filings!S22</f>
        <v>0</v>
      </c>
      <c r="J9" s="22" t="n">
        <f aca="false">(H9-G9)</f>
        <v>409.596</v>
      </c>
      <c r="K9" s="25" t="n">
        <f aca="false">K10-J10</f>
        <v>106.198999999999</v>
      </c>
      <c r="L9" s="26" t="n">
        <f aca="false">H9/D9/C9/1000000</f>
        <v>0.972397849462366</v>
      </c>
      <c r="M9" s="25" t="n">
        <f aca="false">E9/$C9</f>
        <v>25.2742258064516</v>
      </c>
      <c r="N9" s="25" t="n">
        <f aca="false">G9/$C9</f>
        <v>18.8763548387097</v>
      </c>
      <c r="O9" s="27" t="n">
        <f aca="false">M9/$L9/1000000</f>
        <v>2.59916512777415E-005</v>
      </c>
      <c r="P9" s="27" t="n">
        <f aca="false">N9/$L9/1000000</f>
        <v>1.94121725476319E-005</v>
      </c>
      <c r="Q9" s="28" t="str">
        <f aca="false">IF(P9&gt;0.00415%,ROUND(P9-0.0041%,6),"")</f>
        <v/>
      </c>
    </row>
    <row r="10" customFormat="false" ht="12.75" hidden="false" customHeight="false" outlineLevel="0" collapsed="false">
      <c r="A10" s="17" t="n">
        <f aca="false">A9+1</f>
        <v>10</v>
      </c>
      <c r="B10" s="7" t="n">
        <v>34425</v>
      </c>
      <c r="C10" s="20" t="n">
        <f aca="false">DAY(EOMONTH(B10,0))</f>
        <v>30</v>
      </c>
      <c r="D10" s="21" t="n">
        <f aca="false">filings!M23</f>
        <v>2.6E-005</v>
      </c>
      <c r="E10" s="22" t="n">
        <f aca="false">filings!O23</f>
        <v>811.824</v>
      </c>
      <c r="F10" s="22" t="n">
        <f aca="false">filings!P23</f>
        <v>-89.436</v>
      </c>
      <c r="G10" s="22" t="n">
        <f aca="false">filings!Q23</f>
        <v>722.388</v>
      </c>
      <c r="H10" s="22" t="n">
        <f aca="false">filings!R23</f>
        <v>803.835</v>
      </c>
      <c r="I10" s="24" t="n">
        <f aca="false">filings!S23</f>
        <v>0</v>
      </c>
      <c r="J10" s="22" t="n">
        <f aca="false">(H10-G10)</f>
        <v>81.4470000000001</v>
      </c>
      <c r="K10" s="25" t="n">
        <f aca="false">K11-J11</f>
        <v>187.645999999999</v>
      </c>
      <c r="L10" s="26" t="n">
        <f aca="false">H10/D10/C10/1000000</f>
        <v>1.03055769230769</v>
      </c>
      <c r="M10" s="25" t="n">
        <f aca="false">E10/$C10</f>
        <v>27.0608</v>
      </c>
      <c r="N10" s="25" t="n">
        <f aca="false">G10/$C10</f>
        <v>24.0796</v>
      </c>
      <c r="O10" s="27" t="n">
        <f aca="false">M10/$L10/1000000</f>
        <v>2.62584037768945E-005</v>
      </c>
      <c r="P10" s="27" t="n">
        <f aca="false">N10/$L10/1000000</f>
        <v>2.33656011494896E-005</v>
      </c>
      <c r="Q10" s="28" t="str">
        <f aca="false">IF(P10&gt;0.00415%,ROUND(P10-0.0041%,6),"")</f>
        <v/>
      </c>
    </row>
    <row r="11" customFormat="false" ht="12.75" hidden="false" customHeight="false" outlineLevel="0" collapsed="false">
      <c r="A11" s="0" t="n">
        <f aca="false">A10+1</f>
        <v>11</v>
      </c>
      <c r="B11" s="7" t="n">
        <v>34455</v>
      </c>
      <c r="C11" s="20" t="n">
        <f aca="false">DAY(EOMONTH(B11,0))</f>
        <v>31</v>
      </c>
      <c r="D11" s="21" t="n">
        <f aca="false">filings!M24</f>
        <v>2.5E-005</v>
      </c>
      <c r="E11" s="22" t="n">
        <f aca="false">filings!O24</f>
        <v>755.601</v>
      </c>
      <c r="F11" s="22" t="n">
        <f aca="false">filings!P24</f>
        <v>-41.775</v>
      </c>
      <c r="G11" s="22" t="n">
        <f aca="false">filings!Q24</f>
        <v>713.826</v>
      </c>
      <c r="H11" s="22" t="n">
        <f aca="false">filings!R24</f>
        <v>747.411</v>
      </c>
      <c r="I11" s="24" t="n">
        <f aca="false">filings!S24</f>
        <v>0</v>
      </c>
      <c r="J11" s="22" t="n">
        <f aca="false">(H11-G11)</f>
        <v>33.5849999999999</v>
      </c>
      <c r="K11" s="25" t="n">
        <f aca="false">K12-J12</f>
        <v>221.230999999999</v>
      </c>
      <c r="L11" s="26" t="n">
        <f aca="false">H11/D11/C11/1000000</f>
        <v>0.964401290322581</v>
      </c>
      <c r="M11" s="25" t="n">
        <f aca="false">E11/$C11</f>
        <v>24.3742258064516</v>
      </c>
      <c r="N11" s="25" t="n">
        <f aca="false">G11/$C11</f>
        <v>23.0266451612903</v>
      </c>
      <c r="O11" s="27" t="n">
        <f aca="false">M11/$L11/1000000</f>
        <v>2.52739456604198E-005</v>
      </c>
      <c r="P11" s="27" t="n">
        <f aca="false">N11/$L11/1000000</f>
        <v>2.38766220994874E-005</v>
      </c>
      <c r="Q11" s="28" t="str">
        <f aca="false">IF(P11&gt;0.00415%,ROUND(P11-0.0041%,6),"")</f>
        <v/>
      </c>
    </row>
    <row r="12" customFormat="false" ht="12.75" hidden="false" customHeight="false" outlineLevel="0" collapsed="false">
      <c r="A12" s="17" t="n">
        <f aca="false">A11+1</f>
        <v>12</v>
      </c>
      <c r="B12" s="7" t="n">
        <v>34486</v>
      </c>
      <c r="C12" s="20" t="n">
        <f aca="false">DAY(EOMONTH(B12,0))</f>
        <v>30</v>
      </c>
      <c r="D12" s="21" t="n">
        <f aca="false">filings!M25</f>
        <v>2E-005</v>
      </c>
      <c r="E12" s="22" t="n">
        <f aca="false">filings!O25</f>
        <v>852.932</v>
      </c>
      <c r="F12" s="22" t="n">
        <f aca="false">filings!P25</f>
        <v>-305.511</v>
      </c>
      <c r="G12" s="22" t="n">
        <f aca="false">filings!Q25</f>
        <v>547.421</v>
      </c>
      <c r="H12" s="22" t="n">
        <f aca="false">filings!R25</f>
        <v>621.639</v>
      </c>
      <c r="I12" s="24" t="n">
        <f aca="false">filings!S25</f>
        <v>0</v>
      </c>
      <c r="J12" s="22" t="n">
        <f aca="false">(H12-G12)</f>
        <v>74.218</v>
      </c>
      <c r="K12" s="25" t="n">
        <f aca="false">K13-J13</f>
        <v>295.448999999999</v>
      </c>
      <c r="L12" s="26" t="n">
        <f aca="false">H12/D12/C12/1000000</f>
        <v>1.036065</v>
      </c>
      <c r="M12" s="25" t="n">
        <f aca="false">E12/$C12</f>
        <v>28.4310666666667</v>
      </c>
      <c r="N12" s="25" t="n">
        <f aca="false">G12/$C12</f>
        <v>18.2473666666667</v>
      </c>
      <c r="O12" s="27" t="n">
        <f aca="false">M12/$L12/1000000</f>
        <v>2.74413928341047E-005</v>
      </c>
      <c r="P12" s="27" t="n">
        <f aca="false">N12/$L12/1000000</f>
        <v>1.76121832767893E-005</v>
      </c>
      <c r="Q12" s="28" t="str">
        <f aca="false">IF(P12&gt;0.00415%,ROUND(P12-0.0041%,6),"")</f>
        <v/>
      </c>
    </row>
    <row r="13" customFormat="false" ht="12.75" hidden="false" customHeight="false" outlineLevel="0" collapsed="false">
      <c r="A13" s="0" t="n">
        <f aca="false">A12+1</f>
        <v>13</v>
      </c>
      <c r="B13" s="7" t="n">
        <v>34516</v>
      </c>
      <c r="C13" s="20" t="n">
        <f aca="false">DAY(EOMONTH(B13,0))</f>
        <v>31</v>
      </c>
      <c r="D13" s="21" t="n">
        <f aca="false">filings!M26</f>
        <v>1.6E-005</v>
      </c>
      <c r="E13" s="22" t="n">
        <f aca="false">filings!O26</f>
        <v>1206.911</v>
      </c>
      <c r="F13" s="22" t="n">
        <f aca="false">filings!P26</f>
        <v>-368.597</v>
      </c>
      <c r="G13" s="22" t="n">
        <f aca="false">filings!Q26</f>
        <v>838.314</v>
      </c>
      <c r="H13" s="22" t="n">
        <f aca="false">filings!R26</f>
        <v>574.134</v>
      </c>
      <c r="I13" s="22" t="n">
        <f aca="false">filings!S26</f>
        <v>-143.534</v>
      </c>
      <c r="J13" s="22" t="n">
        <f aca="false">(H13-G13)</f>
        <v>-264.18</v>
      </c>
      <c r="K13" s="25" t="n">
        <f aca="false">K14-J14</f>
        <v>31.2689999999985</v>
      </c>
      <c r="L13" s="26" t="n">
        <f aca="false">H13/D13/C13/1000000</f>
        <v>1.15752822580645</v>
      </c>
      <c r="M13" s="25" t="n">
        <f aca="false">E13/$C13</f>
        <v>38.9326129032258</v>
      </c>
      <c r="N13" s="25" t="n">
        <f aca="false">G13/$C13</f>
        <v>27.0423870967742</v>
      </c>
      <c r="O13" s="27" t="n">
        <f aca="false">M13/$L13/1000000</f>
        <v>3.36342665649483E-005</v>
      </c>
      <c r="P13" s="27" t="n">
        <f aca="false">N13/$L13/1000000</f>
        <v>2.33621837410779E-005</v>
      </c>
      <c r="Q13" s="28" t="str">
        <f aca="false">IF(P13&gt;0.00415%,ROUND(P13-0.0041%,6),"")</f>
        <v/>
      </c>
    </row>
    <row r="14" customFormat="false" ht="12.75" hidden="false" customHeight="false" outlineLevel="0" collapsed="false">
      <c r="A14" s="17" t="n">
        <f aca="false">A13+1</f>
        <v>14</v>
      </c>
      <c r="B14" s="7" t="n">
        <v>34547</v>
      </c>
      <c r="C14" s="20" t="n">
        <f aca="false">DAY(EOMONTH(B14,0))</f>
        <v>31</v>
      </c>
      <c r="D14" s="21" t="n">
        <f aca="false">filings!M27</f>
        <v>1.8E-005</v>
      </c>
      <c r="E14" s="22" t="n">
        <f aca="false">filings!O27</f>
        <v>1289.488</v>
      </c>
      <c r="F14" s="22" t="n">
        <f aca="false">filings!P27</f>
        <v>-19.134</v>
      </c>
      <c r="G14" s="22" t="n">
        <f aca="false">filings!Q27</f>
        <v>1270.354</v>
      </c>
      <c r="H14" s="22" t="n">
        <f aca="false">filings!R27</f>
        <v>640.133</v>
      </c>
      <c r="I14" s="22" t="n">
        <f aca="false">filings!S27</f>
        <v>-142.252</v>
      </c>
      <c r="J14" s="22" t="n">
        <f aca="false">(H14-G14)</f>
        <v>-630.221</v>
      </c>
      <c r="K14" s="25" t="n">
        <f aca="false">K15-J15</f>
        <v>-598.952000000002</v>
      </c>
      <c r="L14" s="26" t="n">
        <f aca="false">H14/D14/C14/1000000</f>
        <v>1.1471917562724</v>
      </c>
      <c r="M14" s="25" t="n">
        <f aca="false">E14/$C14</f>
        <v>41.5963870967742</v>
      </c>
      <c r="N14" s="25" t="n">
        <f aca="false">G14/$C14</f>
        <v>40.9791612903226</v>
      </c>
      <c r="O14" s="27" t="n">
        <f aca="false">M14/$L14/1000000</f>
        <v>3.62593148611304E-005</v>
      </c>
      <c r="P14" s="27" t="n">
        <f aca="false">N14/$L14/1000000</f>
        <v>3.5721282920893E-005</v>
      </c>
      <c r="Q14" s="28" t="str">
        <f aca="false">IF(P14&gt;0.00415%,ROUND(P14-0.0041%,6),"")</f>
        <v/>
      </c>
    </row>
    <row r="15" customFormat="false" ht="12.75" hidden="false" customHeight="false" outlineLevel="0" collapsed="false">
      <c r="A15" s="0" t="n">
        <f aca="false">A14+1</f>
        <v>15</v>
      </c>
      <c r="B15" s="7" t="n">
        <v>34578</v>
      </c>
      <c r="C15" s="20" t="n">
        <f aca="false">DAY(EOMONTH(B15,0))</f>
        <v>30</v>
      </c>
      <c r="D15" s="21" t="n">
        <f aca="false">filings!M28</f>
        <v>2.5E-005</v>
      </c>
      <c r="E15" s="22" t="n">
        <f aca="false">filings!O28</f>
        <v>1129.653</v>
      </c>
      <c r="F15" s="22" t="n">
        <f aca="false">filings!P28</f>
        <v>-342.596</v>
      </c>
      <c r="G15" s="22" t="n">
        <f aca="false">filings!Q28</f>
        <v>787.057</v>
      </c>
      <c r="H15" s="22" t="n">
        <f aca="false">filings!R28</f>
        <v>818.413</v>
      </c>
      <c r="I15" s="22" t="n">
        <f aca="false">filings!S28</f>
        <v>-130.946</v>
      </c>
      <c r="J15" s="22" t="n">
        <f aca="false">(H15-G15)</f>
        <v>31.356</v>
      </c>
      <c r="K15" s="25" t="n">
        <f aca="false">K16-J16</f>
        <v>-567.596000000002</v>
      </c>
      <c r="L15" s="26" t="n">
        <f aca="false">H15/D15/C15/1000000</f>
        <v>1.09121733333333</v>
      </c>
      <c r="M15" s="25" t="n">
        <f aca="false">E15/$C15</f>
        <v>37.6551</v>
      </c>
      <c r="N15" s="25" t="n">
        <f aca="false">G15/$C15</f>
        <v>26.2352333333333</v>
      </c>
      <c r="O15" s="27" t="n">
        <f aca="false">M15/$L15/1000000</f>
        <v>3.45074247354331E-005</v>
      </c>
      <c r="P15" s="27" t="n">
        <f aca="false">N15/$L15/1000000</f>
        <v>2.40421706400069E-005</v>
      </c>
      <c r="Q15" s="28" t="str">
        <f aca="false">IF(P15&gt;0.00415%,ROUND(P15-0.0041%,6),"")</f>
        <v/>
      </c>
    </row>
    <row r="16" customFormat="false" ht="12.75" hidden="false" customHeight="false" outlineLevel="0" collapsed="false">
      <c r="A16" s="17" t="n">
        <f aca="false">A15+1</f>
        <v>16</v>
      </c>
      <c r="B16" s="7" t="n">
        <v>34608</v>
      </c>
      <c r="C16" s="20" t="n">
        <f aca="false">DAY(EOMONTH(B16,0))</f>
        <v>31</v>
      </c>
      <c r="D16" s="21" t="n">
        <f aca="false">filings!M29</f>
        <v>3E-005</v>
      </c>
      <c r="E16" s="22" t="n">
        <f aca="false">filings!O29</f>
        <v>1209.889</v>
      </c>
      <c r="F16" s="22" t="n">
        <f aca="false">filings!P29</f>
        <v>203.782</v>
      </c>
      <c r="G16" s="22" t="n">
        <f aca="false">filings!Q29</f>
        <v>1413.671</v>
      </c>
      <c r="H16" s="22" t="n">
        <f aca="false">filings!R29</f>
        <v>954.621</v>
      </c>
      <c r="I16" s="22" t="n">
        <f aca="false">filings!S29</f>
        <v>-127.283</v>
      </c>
      <c r="J16" s="22" t="n">
        <f aca="false">(H16-G16)</f>
        <v>-459.05</v>
      </c>
      <c r="K16" s="25" t="n">
        <f aca="false">K17-J17</f>
        <v>-1026.646</v>
      </c>
      <c r="L16" s="26" t="n">
        <f aca="false">H16/D16/C16/1000000</f>
        <v>1.02647419354839</v>
      </c>
      <c r="M16" s="25" t="n">
        <f aca="false">E16/$C16</f>
        <v>39.0286774193548</v>
      </c>
      <c r="N16" s="25" t="n">
        <f aca="false">G16/$C16</f>
        <v>45.6022903225806</v>
      </c>
      <c r="O16" s="27" t="n">
        <f aca="false">M16/$L16/1000000</f>
        <v>3.80220736815972E-005</v>
      </c>
      <c r="P16" s="27" t="n">
        <f aca="false">N16/$L16/1000000</f>
        <v>4.44261439880329E-005</v>
      </c>
      <c r="Q16" s="28" t="n">
        <f aca="false">IF(P16&gt;0.00415%,ROUND(P16-0.0041%,6),"")</f>
        <v>3E-006</v>
      </c>
    </row>
    <row r="17" customFormat="false" ht="12.75" hidden="false" customHeight="false" outlineLevel="0" collapsed="false">
      <c r="A17" s="0" t="n">
        <f aca="false">A16+1</f>
        <v>17</v>
      </c>
      <c r="B17" s="7" t="n">
        <v>34639</v>
      </c>
      <c r="C17" s="20" t="n">
        <f aca="false">DAY(EOMONTH(B17,0))</f>
        <v>30</v>
      </c>
      <c r="D17" s="21" t="n">
        <f aca="false">filings!M30</f>
        <v>3.7E-005</v>
      </c>
      <c r="E17" s="22" t="n">
        <f aca="false">filings!O30</f>
        <v>1248.44</v>
      </c>
      <c r="F17" s="22" t="n">
        <f aca="false">filings!P30</f>
        <v>196.254</v>
      </c>
      <c r="G17" s="22" t="n">
        <f aca="false">filings!Q30</f>
        <v>1444.694</v>
      </c>
      <c r="H17" s="22" t="n">
        <f aca="false">filings!R30</f>
        <v>1260.753</v>
      </c>
      <c r="I17" s="22" t="n">
        <f aca="false">filings!S30</f>
        <v>-136.298</v>
      </c>
      <c r="J17" s="22" t="n">
        <f aca="false">(H17-G17)</f>
        <v>-183.941</v>
      </c>
      <c r="K17" s="25" t="n">
        <f aca="false">K18-J18</f>
        <v>-1210.587</v>
      </c>
      <c r="L17" s="26" t="n">
        <f aca="false">H17/D17/C17/1000000</f>
        <v>1.13581351351351</v>
      </c>
      <c r="M17" s="25" t="n">
        <f aca="false">E17/$C17</f>
        <v>41.6146666666667</v>
      </c>
      <c r="N17" s="25" t="n">
        <f aca="false">G17/$C17</f>
        <v>48.1564666666667</v>
      </c>
      <c r="O17" s="27" t="n">
        <f aca="false">M17/$L17/1000000</f>
        <v>3.6638643731167E-005</v>
      </c>
      <c r="P17" s="27" t="n">
        <f aca="false">N17/$L17/1000000</f>
        <v>4.23982159867952E-005</v>
      </c>
      <c r="Q17" s="28" t="n">
        <f aca="false">IF(P17&gt;0.00415%,ROUND(P17-0.0041%,6),"")</f>
        <v>1E-006</v>
      </c>
    </row>
    <row r="18" customFormat="false" ht="12.75" hidden="false" customHeight="false" outlineLevel="0" collapsed="false">
      <c r="A18" s="17" t="n">
        <f aca="false">A17+1</f>
        <v>18</v>
      </c>
      <c r="B18" s="7" t="n">
        <v>34669</v>
      </c>
      <c r="C18" s="20" t="n">
        <f aca="false">DAY(EOMONTH(B18,0))</f>
        <v>31</v>
      </c>
      <c r="D18" s="21" t="n">
        <f aca="false">filings!M31</f>
        <v>3.7E-005</v>
      </c>
      <c r="E18" s="22" t="n">
        <f aca="false">filings!O31</f>
        <v>1546.815</v>
      </c>
      <c r="F18" s="22" t="n">
        <f aca="false">filings!P31</f>
        <v>154.595</v>
      </c>
      <c r="G18" s="22" t="n">
        <f aca="false">filings!Q31</f>
        <v>1701.41</v>
      </c>
      <c r="H18" s="22" t="n">
        <f aca="false">filings!R31</f>
        <v>1392.687</v>
      </c>
      <c r="I18" s="22" t="n">
        <f aca="false">filings!S31</f>
        <v>-150.561</v>
      </c>
      <c r="J18" s="22" t="n">
        <f aca="false">(H18-G18)</f>
        <v>-308.723</v>
      </c>
      <c r="K18" s="25" t="n">
        <f aca="false">K19-J19</f>
        <v>-1519.31</v>
      </c>
      <c r="L18" s="26" t="n">
        <f aca="false">H18/D18/C18/1000000</f>
        <v>1.21419965126417</v>
      </c>
      <c r="M18" s="25" t="n">
        <f aca="false">E18/$C18</f>
        <v>49.8972580645161</v>
      </c>
      <c r="N18" s="25" t="n">
        <f aca="false">G18/$C18</f>
        <v>54.8841935483871</v>
      </c>
      <c r="O18" s="27" t="n">
        <f aca="false">M18/$L18/1000000</f>
        <v>4.10947721921724E-005</v>
      </c>
      <c r="P18" s="27" t="n">
        <f aca="false">N18/$L18/1000000</f>
        <v>4.52019513357991E-005</v>
      </c>
      <c r="Q18" s="28" t="n">
        <f aca="false">IF(P18&gt;0.00415%,ROUND(P18-0.0041%,6),"")</f>
        <v>4E-006</v>
      </c>
    </row>
    <row r="19" customFormat="false" ht="12.75" hidden="false" customHeight="false" outlineLevel="0" collapsed="false">
      <c r="A19" s="0" t="n">
        <f aca="false">A18+1</f>
        <v>19</v>
      </c>
      <c r="B19" s="7" t="n">
        <v>34700</v>
      </c>
      <c r="C19" s="20" t="n">
        <f aca="false">DAY(EOMONTH(B19,0))</f>
        <v>31</v>
      </c>
      <c r="D19" s="21" t="n">
        <f aca="false">filings!M32</f>
        <v>4E-005</v>
      </c>
      <c r="E19" s="22" t="n">
        <f aca="false">filings!O32</f>
        <v>1498.806</v>
      </c>
      <c r="F19" s="22" t="n">
        <f aca="false">filings!P32</f>
        <v>391.299</v>
      </c>
      <c r="G19" s="22" t="n">
        <f aca="false">filings!Q32</f>
        <v>1890.105</v>
      </c>
      <c r="H19" s="22" t="n">
        <f aca="false">filings!R32</f>
        <v>1469.242</v>
      </c>
      <c r="I19" s="22" t="n">
        <f aca="false">filings!S32</f>
        <v>293.848</v>
      </c>
      <c r="J19" s="22" t="n">
        <f aca="false">(H19-G19)</f>
        <v>-420.863</v>
      </c>
      <c r="K19" s="25" t="n">
        <f aca="false">K20-J20</f>
        <v>-1940.173</v>
      </c>
      <c r="L19" s="26" t="n">
        <f aca="false">H19/D19/C19/1000000</f>
        <v>1.18487258064516</v>
      </c>
      <c r="M19" s="25" t="n">
        <f aca="false">E19/$C19</f>
        <v>48.3485806451613</v>
      </c>
      <c r="N19" s="25" t="n">
        <f aca="false">G19/$C19</f>
        <v>60.9711290322581</v>
      </c>
      <c r="O19" s="27" t="n">
        <f aca="false">M19/$L19/1000000</f>
        <v>4.08048776171659E-005</v>
      </c>
      <c r="P19" s="27" t="n">
        <f aca="false">N19/$L19/1000000</f>
        <v>5.14579626773534E-005</v>
      </c>
      <c r="Q19" s="28" t="n">
        <f aca="false">IF(P19&gt;0.00415%,ROUND(P19-0.0041%,6),"")</f>
        <v>1E-005</v>
      </c>
    </row>
    <row r="20" customFormat="false" ht="12.75" hidden="false" customHeight="false" outlineLevel="0" collapsed="false">
      <c r="A20" s="17" t="n">
        <f aca="false">A19+1</f>
        <v>20</v>
      </c>
      <c r="B20" s="7" t="n">
        <v>34731</v>
      </c>
      <c r="C20" s="20" t="n">
        <f aca="false">DAY(EOMONTH(B20,0))</f>
        <v>28</v>
      </c>
      <c r="D20" s="21" t="n">
        <f aca="false">filings!M33</f>
        <v>4.4E-005</v>
      </c>
      <c r="E20" s="22" t="n">
        <f aca="false">filings!O33</f>
        <v>1196.522</v>
      </c>
      <c r="F20" s="22" t="n">
        <f aca="false">filings!P33</f>
        <v>-231.209</v>
      </c>
      <c r="G20" s="22" t="n">
        <f aca="false">filings!Q33</f>
        <v>965.313</v>
      </c>
      <c r="H20" s="22" t="n">
        <f aca="false">filings!R33</f>
        <v>1448.102</v>
      </c>
      <c r="I20" s="22" t="n">
        <f aca="false">filings!S33</f>
        <v>263.291</v>
      </c>
      <c r="J20" s="22" t="n">
        <f aca="false">(H20-G20)</f>
        <v>482.789</v>
      </c>
      <c r="K20" s="25" t="n">
        <f aca="false">K21-J21</f>
        <v>-1457.384</v>
      </c>
      <c r="L20" s="26" t="n">
        <f aca="false">H20/D20/C20/1000000</f>
        <v>1.17540746753247</v>
      </c>
      <c r="M20" s="25" t="n">
        <f aca="false">E20/$C20</f>
        <v>42.7329285714286</v>
      </c>
      <c r="N20" s="25" t="n">
        <f aca="false">G20/$C20</f>
        <v>34.4754642857143</v>
      </c>
      <c r="O20" s="27" t="n">
        <f aca="false">M20/$L20/1000000</f>
        <v>3.63558423370729E-005</v>
      </c>
      <c r="P20" s="27" t="n">
        <f aca="false">N20/$L20/1000000</f>
        <v>2.93306493603351E-005</v>
      </c>
      <c r="Q20" s="28" t="str">
        <f aca="false">IF(P20&gt;0.00415%,ROUND(P20-0.0041%,6),"")</f>
        <v/>
      </c>
    </row>
    <row r="21" customFormat="false" ht="12.75" hidden="false" customHeight="false" outlineLevel="0" collapsed="false">
      <c r="A21" s="0" t="n">
        <f aca="false">A20+1</f>
        <v>21</v>
      </c>
      <c r="B21" s="7" t="n">
        <v>34759</v>
      </c>
      <c r="C21" s="20" t="n">
        <f aca="false">DAY(EOMONTH(B21,0))</f>
        <v>31</v>
      </c>
      <c r="D21" s="21" t="n">
        <f aca="false">filings!M34</f>
        <v>4.4E-005</v>
      </c>
      <c r="E21" s="22" t="n">
        <f aca="false">filings!O34</f>
        <v>1596.473</v>
      </c>
      <c r="F21" s="22" t="n">
        <f aca="false">filings!P34</f>
        <v>185.382</v>
      </c>
      <c r="G21" s="22" t="n">
        <f aca="false">filings!Q34</f>
        <v>1781.855</v>
      </c>
      <c r="H21" s="22" t="n">
        <f aca="false">filings!R34</f>
        <v>1644.167</v>
      </c>
      <c r="I21" s="22" t="n">
        <f aca="false">filings!S34</f>
        <v>298.939</v>
      </c>
      <c r="J21" s="22" t="n">
        <f aca="false">(H21-G21)</f>
        <v>-137.688</v>
      </c>
      <c r="K21" s="25" t="n">
        <f aca="false">K22-J22</f>
        <v>-1595.072</v>
      </c>
      <c r="L21" s="26" t="n">
        <f aca="false">H21/D21/C21/1000000</f>
        <v>1.20540102639296</v>
      </c>
      <c r="M21" s="25" t="n">
        <f aca="false">E21/$C21</f>
        <v>51.4991290322581</v>
      </c>
      <c r="N21" s="25" t="n">
        <f aca="false">G21/$C21</f>
        <v>57.4791935483871</v>
      </c>
      <c r="O21" s="27" t="n">
        <f aca="false">M21/$L21/1000000</f>
        <v>4.27236479019467E-005</v>
      </c>
      <c r="P21" s="27" t="n">
        <f aca="false">N21/$L21/1000000</f>
        <v>4.76847059939775E-005</v>
      </c>
      <c r="Q21" s="28" t="n">
        <f aca="false">IF(P21&gt;0.00415%,ROUND(P21-0.0041%,6),"")</f>
        <v>7E-006</v>
      </c>
    </row>
    <row r="22" customFormat="false" ht="12.75" hidden="false" customHeight="false" outlineLevel="0" collapsed="false">
      <c r="A22" s="17" t="n">
        <f aca="false">A21+1</f>
        <v>22</v>
      </c>
      <c r="B22" s="7" t="n">
        <v>34790</v>
      </c>
      <c r="C22" s="20" t="n">
        <f aca="false">DAY(EOMONTH(B22,0))</f>
        <v>30</v>
      </c>
      <c r="D22" s="21" t="n">
        <f aca="false">filings!M35</f>
        <v>4.8E-005</v>
      </c>
      <c r="E22" s="22" t="n">
        <f aca="false">filings!O35</f>
        <v>1353.414</v>
      </c>
      <c r="F22" s="22" t="n">
        <f aca="false">filings!P35</f>
        <v>203.133</v>
      </c>
      <c r="G22" s="22" t="n">
        <f aca="false">filings!Q35</f>
        <v>1556.547</v>
      </c>
      <c r="H22" s="22" t="n">
        <f aca="false">filings!R35</f>
        <v>1657.096</v>
      </c>
      <c r="I22" s="22" t="n">
        <f aca="false">filings!S35</f>
        <v>276.183</v>
      </c>
      <c r="J22" s="22" t="n">
        <f aca="false">(H22-G22)</f>
        <v>100.549</v>
      </c>
      <c r="K22" s="25" t="n">
        <f aca="false">K23-J23</f>
        <v>-1494.523</v>
      </c>
      <c r="L22" s="26" t="n">
        <f aca="false">H22/D22/C22/1000000</f>
        <v>1.15076111111111</v>
      </c>
      <c r="M22" s="25" t="n">
        <f aca="false">E22/$C22</f>
        <v>45.1138</v>
      </c>
      <c r="N22" s="25" t="n">
        <f aca="false">G22/$C22</f>
        <v>51.8849</v>
      </c>
      <c r="O22" s="27" t="n">
        <f aca="false">M22/$L22/1000000</f>
        <v>3.92034450629294E-005</v>
      </c>
      <c r="P22" s="27" t="n">
        <f aca="false">N22/$L22/1000000</f>
        <v>4.50874638524262E-005</v>
      </c>
      <c r="Q22" s="28" t="n">
        <f aca="false">IF(P22&gt;0.00415%,ROUND(P22-0.0041%,6),"")</f>
        <v>4E-006</v>
      </c>
    </row>
    <row r="23" customFormat="false" ht="12.75" hidden="false" customHeight="false" outlineLevel="0" collapsed="false">
      <c r="A23" s="0" t="n">
        <f aca="false">A22+1</f>
        <v>23</v>
      </c>
      <c r="B23" s="7" t="n">
        <v>34820</v>
      </c>
      <c r="C23" s="20" t="n">
        <f aca="false">DAY(EOMONTH(B23,0))</f>
        <v>31</v>
      </c>
      <c r="D23" s="21" t="n">
        <f aca="false">filings!M36</f>
        <v>4.8E-005</v>
      </c>
      <c r="E23" s="22" t="n">
        <f aca="false">filings!O36</f>
        <v>1216.652</v>
      </c>
      <c r="F23" s="22" t="n">
        <f aca="false">filings!P36</f>
        <v>245.577</v>
      </c>
      <c r="G23" s="22" t="n">
        <f aca="false">filings!Q36</f>
        <v>1462.229</v>
      </c>
      <c r="H23" s="22" t="n">
        <f aca="false">filings!R36</f>
        <v>1662.2</v>
      </c>
      <c r="I23" s="22" t="n">
        <f aca="false">filings!S36</f>
        <v>277.033</v>
      </c>
      <c r="J23" s="22" t="n">
        <f aca="false">(H23-G23)</f>
        <v>199.971</v>
      </c>
      <c r="K23" s="25" t="n">
        <f aca="false">K24-J24</f>
        <v>-1294.552</v>
      </c>
      <c r="L23" s="26" t="n">
        <f aca="false">H23/D23/C23/1000000</f>
        <v>1.11706989247312</v>
      </c>
      <c r="M23" s="25" t="n">
        <f aca="false">E23/$C23</f>
        <v>39.2468387096774</v>
      </c>
      <c r="N23" s="25" t="n">
        <f aca="false">G23/$C23</f>
        <v>47.1686774193548</v>
      </c>
      <c r="O23" s="27" t="n">
        <f aca="false">M23/$L23/1000000</f>
        <v>3.51337360125135E-005</v>
      </c>
      <c r="P23" s="27" t="n">
        <f aca="false">N23/$L23/1000000</f>
        <v>4.22253591625557E-005</v>
      </c>
      <c r="Q23" s="28" t="n">
        <f aca="false">IF(P23&gt;0.00415%,ROUND(P23-0.0041%,6),"")</f>
        <v>1E-006</v>
      </c>
    </row>
    <row r="24" customFormat="false" ht="12.75" hidden="false" customHeight="false" outlineLevel="0" collapsed="false">
      <c r="A24" s="17" t="n">
        <f aca="false">A23+1</f>
        <v>24</v>
      </c>
      <c r="B24" s="7" t="n">
        <v>34851</v>
      </c>
      <c r="C24" s="20" t="n">
        <f aca="false">DAY(EOMONTH(B24,0))</f>
        <v>30</v>
      </c>
      <c r="D24" s="21" t="n">
        <f aca="false">filings!M37</f>
        <v>4.8E-005</v>
      </c>
      <c r="E24" s="22" t="n">
        <f aca="false">filings!O37</f>
        <v>1202.009</v>
      </c>
      <c r="F24" s="22" t="n">
        <f aca="false">filings!P37</f>
        <v>139.997</v>
      </c>
      <c r="G24" s="22" t="n">
        <f aca="false">filings!Q37</f>
        <v>1342.006</v>
      </c>
      <c r="H24" s="22" t="n">
        <f aca="false">filings!R37</f>
        <v>1679.365</v>
      </c>
      <c r="I24" s="22" t="n">
        <f aca="false">filings!S37</f>
        <v>279.894</v>
      </c>
      <c r="J24" s="22" t="n">
        <f aca="false">(H24-G24)</f>
        <v>337.359</v>
      </c>
      <c r="K24" s="25" t="n">
        <f aca="false">K25-J25</f>
        <v>-957.193000000002</v>
      </c>
      <c r="L24" s="26" t="n">
        <f aca="false">H24/D24/C24/1000000</f>
        <v>1.16622569444444</v>
      </c>
      <c r="M24" s="25" t="n">
        <f aca="false">E24/$C24</f>
        <v>40.0669666666667</v>
      </c>
      <c r="N24" s="25" t="n">
        <f aca="false">G24/$C24</f>
        <v>44.7335333333333</v>
      </c>
      <c r="O24" s="27" t="n">
        <f aca="false">M24/$L24/1000000</f>
        <v>3.43561000735397E-005</v>
      </c>
      <c r="P24" s="27" t="n">
        <f aca="false">N24/$L24/1000000</f>
        <v>3.83575268032858E-005</v>
      </c>
      <c r="Q24" s="28" t="str">
        <f aca="false">IF(P24&gt;0.00415%,ROUND(P24-0.0041%,6),"")</f>
        <v/>
      </c>
    </row>
    <row r="25" customFormat="false" ht="12.75" hidden="false" customHeight="false" outlineLevel="0" collapsed="false">
      <c r="A25" s="0" t="n">
        <f aca="false">A24+1</f>
        <v>25</v>
      </c>
      <c r="B25" s="7" t="n">
        <v>34881</v>
      </c>
      <c r="C25" s="20" t="n">
        <f aca="false">DAY(EOMONTH(B25,0))</f>
        <v>31</v>
      </c>
      <c r="D25" s="21" t="n">
        <f aca="false">filings!M38</f>
        <v>4.7E-005</v>
      </c>
      <c r="E25" s="22" t="n">
        <f aca="false">filings!O38</f>
        <v>1320.821</v>
      </c>
      <c r="F25" s="22" t="n">
        <f aca="false">filings!P38</f>
        <v>186.686</v>
      </c>
      <c r="G25" s="22" t="n">
        <f aca="false">filings!Q38</f>
        <v>1507.507</v>
      </c>
      <c r="H25" s="22" t="n">
        <f aca="false">filings!R38</f>
        <v>1651.363</v>
      </c>
      <c r="I25" s="22" t="n">
        <f aca="false">filings!S38</f>
        <v>245.948</v>
      </c>
      <c r="J25" s="22" t="n">
        <f aca="false">(H25-G25)</f>
        <v>143.856</v>
      </c>
      <c r="K25" s="25" t="n">
        <f aca="false">K26-J26</f>
        <v>-813.337000000001</v>
      </c>
      <c r="L25" s="26" t="n">
        <f aca="false">H25/D25/C25/1000000</f>
        <v>1.13339945092656</v>
      </c>
      <c r="M25" s="25" t="n">
        <f aca="false">E25/$C25</f>
        <v>42.6071290322581</v>
      </c>
      <c r="N25" s="25" t="n">
        <f aca="false">G25/$C25</f>
        <v>48.6292580645161</v>
      </c>
      <c r="O25" s="27" t="n">
        <f aca="false">M25/$L25/1000000</f>
        <v>3.7592332515625E-005</v>
      </c>
      <c r="P25" s="27" t="n">
        <f aca="false">N25/$L25/1000000</f>
        <v>4.29056658045505E-005</v>
      </c>
      <c r="Q25" s="28" t="n">
        <f aca="false">IF(P25&gt;0.00415%,ROUND(P25-0.0041%,6),"")</f>
        <v>2E-006</v>
      </c>
    </row>
    <row r="26" customFormat="false" ht="12.75" hidden="false" customHeight="false" outlineLevel="0" collapsed="false">
      <c r="A26" s="17" t="n">
        <f aca="false">A25+1</f>
        <v>26</v>
      </c>
      <c r="B26" s="7" t="n">
        <v>34912</v>
      </c>
      <c r="C26" s="20" t="n">
        <f aca="false">DAY(EOMONTH(B26,0))</f>
        <v>31</v>
      </c>
      <c r="D26" s="21" t="n">
        <f aca="false">filings!M39</f>
        <v>4.7E-005</v>
      </c>
      <c r="E26" s="22" t="n">
        <f aca="false">filings!O39</f>
        <v>1477.061</v>
      </c>
      <c r="F26" s="22" t="n">
        <f aca="false">filings!P39</f>
        <v>89.893</v>
      </c>
      <c r="G26" s="22" t="n">
        <f aca="false">filings!Q39</f>
        <v>1566.954</v>
      </c>
      <c r="H26" s="22" t="n">
        <f aca="false">filings!R39</f>
        <v>1751.213</v>
      </c>
      <c r="I26" s="22" t="n">
        <f aca="false">filings!S39</f>
        <v>260.819</v>
      </c>
      <c r="J26" s="22" t="n">
        <f aca="false">(H26-G26)</f>
        <v>184.259</v>
      </c>
      <c r="K26" s="25" t="n">
        <f aca="false">K27-J27</f>
        <v>-629.078000000001</v>
      </c>
      <c r="L26" s="26" t="n">
        <f aca="false">H26/D26/C26/1000000</f>
        <v>1.20193067947838</v>
      </c>
      <c r="M26" s="25" t="n">
        <f aca="false">E26/$C26</f>
        <v>47.6471290322581</v>
      </c>
      <c r="N26" s="25" t="n">
        <f aca="false">G26/$C26</f>
        <v>50.5469032258065</v>
      </c>
      <c r="O26" s="27" t="n">
        <f aca="false">M26/$L26/1000000</f>
        <v>3.96421606052491E-005</v>
      </c>
      <c r="P26" s="27" t="n">
        <f aca="false">N26/$L26/1000000</f>
        <v>4.20547574738196E-005</v>
      </c>
      <c r="Q26" s="28" t="n">
        <f aca="false">IF(P26&gt;0.00415%,ROUND(P26-0.0041%,6),"")</f>
        <v>1E-006</v>
      </c>
    </row>
    <row r="27" customFormat="false" ht="12.75" hidden="false" customHeight="false" outlineLevel="0" collapsed="false">
      <c r="A27" s="0" t="n">
        <f aca="false">A26+1</f>
        <v>27</v>
      </c>
      <c r="B27" s="7" t="n">
        <v>34943</v>
      </c>
      <c r="C27" s="20" t="n">
        <f aca="false">DAY(EOMONTH(B27,0))</f>
        <v>30</v>
      </c>
      <c r="D27" s="21" t="n">
        <f aca="false">filings!M40</f>
        <v>4.7E-005</v>
      </c>
      <c r="E27" s="22" t="n">
        <f aca="false">filings!O40</f>
        <v>1419.857</v>
      </c>
      <c r="F27" s="22" t="n">
        <f aca="false">filings!P40</f>
        <v>143.541</v>
      </c>
      <c r="G27" s="22" t="n">
        <f aca="false">filings!Q40</f>
        <v>1563.398</v>
      </c>
      <c r="H27" s="22" t="n">
        <f aca="false">filings!R40</f>
        <v>1676.848</v>
      </c>
      <c r="I27" s="22" t="n">
        <f aca="false">filings!S40</f>
        <v>249.743</v>
      </c>
      <c r="J27" s="22" t="n">
        <f aca="false">(H27-G27)</f>
        <v>113.45</v>
      </c>
      <c r="K27" s="25" t="n">
        <f aca="false">K28-J28</f>
        <v>-515.628000000001</v>
      </c>
      <c r="L27" s="26" t="n">
        <f aca="false">H27/D27/C27/1000000</f>
        <v>1.18925390070922</v>
      </c>
      <c r="M27" s="25" t="n">
        <f aca="false">E27/$C27</f>
        <v>47.3285666666667</v>
      </c>
      <c r="N27" s="25" t="n">
        <f aca="false">G27/$C27</f>
        <v>52.1132666666667</v>
      </c>
      <c r="O27" s="27" t="n">
        <f aca="false">M27/$L27/1000000</f>
        <v>3.97968563638445E-005</v>
      </c>
      <c r="P27" s="27" t="n">
        <f aca="false">N27/$L27/1000000</f>
        <v>4.38201351583447E-005</v>
      </c>
      <c r="Q27" s="28" t="n">
        <f aca="false">IF(P27&gt;0.00415%,ROUND(P27-0.0041%,6),"")</f>
        <v>3E-006</v>
      </c>
    </row>
    <row r="28" customFormat="false" ht="12.75" hidden="false" customHeight="false" outlineLevel="0" collapsed="false">
      <c r="A28" s="17" t="n">
        <f aca="false">A27+1</f>
        <v>28</v>
      </c>
      <c r="B28" s="7" t="n">
        <v>34973</v>
      </c>
      <c r="C28" s="20" t="n">
        <f aca="false">DAY(EOMONTH(B28,0))</f>
        <v>31</v>
      </c>
      <c r="D28" s="21" t="n">
        <f aca="false">filings!M41</f>
        <v>4E-005</v>
      </c>
      <c r="E28" s="22" t="n">
        <f aca="false">filings!O41</f>
        <v>1443.866</v>
      </c>
      <c r="F28" s="22" t="n">
        <f aca="false">filings!P41</f>
        <v>247.559</v>
      </c>
      <c r="G28" s="22" t="n">
        <f aca="false">filings!Q41</f>
        <v>1691.425</v>
      </c>
      <c r="H28" s="22" t="n">
        <f aca="false">filings!R41</f>
        <v>1446.647</v>
      </c>
      <c r="I28" s="22" t="n">
        <f aca="false">filings!S41</f>
        <v>253.163</v>
      </c>
      <c r="J28" s="22" t="n">
        <f aca="false">(H28-G28)</f>
        <v>-244.778</v>
      </c>
      <c r="K28" s="25" t="n">
        <f aca="false">K29-J29</f>
        <v>-760.406000000001</v>
      </c>
      <c r="L28" s="26" t="n">
        <f aca="false">H28/D28/C28/1000000</f>
        <v>1.16665080645161</v>
      </c>
      <c r="M28" s="25" t="n">
        <f aca="false">E28/$C28</f>
        <v>46.5763225806452</v>
      </c>
      <c r="N28" s="25" t="n">
        <f aca="false">G28/$C28</f>
        <v>54.5620967741936</v>
      </c>
      <c r="O28" s="27" t="n">
        <f aca="false">M28/$L28/1000000</f>
        <v>3.99231049454359E-005</v>
      </c>
      <c r="P28" s="27" t="n">
        <f aca="false">N28/$L28/1000000</f>
        <v>4.6768147308915E-005</v>
      </c>
      <c r="Q28" s="28" t="n">
        <f aca="false">IF(P28&gt;0.00415%,ROUND(P28-0.0041%,6),"")</f>
        <v>6E-006</v>
      </c>
    </row>
    <row r="29" customFormat="false" ht="12.75" hidden="false" customHeight="false" outlineLevel="0" collapsed="false">
      <c r="A29" s="0" t="n">
        <f aca="false">A28+1</f>
        <v>29</v>
      </c>
      <c r="B29" s="7" t="n">
        <v>35004</v>
      </c>
      <c r="C29" s="20" t="n">
        <f aca="false">DAY(EOMONTH(B29,0))</f>
        <v>30</v>
      </c>
      <c r="D29" s="21" t="n">
        <f aca="false">filings!M42</f>
        <v>4.1E-005</v>
      </c>
      <c r="E29" s="22" t="n">
        <f aca="false">filings!O42</f>
        <v>1409.016</v>
      </c>
      <c r="F29" s="22" t="n">
        <f aca="false">filings!P42</f>
        <v>120.483</v>
      </c>
      <c r="G29" s="22" t="n">
        <f aca="false">filings!Q42</f>
        <v>1529.499</v>
      </c>
      <c r="H29" s="22" t="n">
        <f aca="false">filings!R42</f>
        <v>1455.332</v>
      </c>
      <c r="I29" s="22" t="n">
        <f aca="false">filings!S42</f>
        <v>248.471</v>
      </c>
      <c r="J29" s="22" t="n">
        <f aca="false">(H29-G29)</f>
        <v>-74.1669999999999</v>
      </c>
      <c r="K29" s="25" t="n">
        <f aca="false">K30-J30</f>
        <v>-834.573000000001</v>
      </c>
      <c r="L29" s="26" t="n">
        <f aca="false">H29/D29/C29/1000000</f>
        <v>1.18319674796748</v>
      </c>
      <c r="M29" s="25" t="n">
        <f aca="false">E29/$C29</f>
        <v>46.9672</v>
      </c>
      <c r="N29" s="25" t="n">
        <f aca="false">G29/$C29</f>
        <v>50.9833</v>
      </c>
      <c r="O29" s="27" t="n">
        <f aca="false">M29/$L29/1000000</f>
        <v>3.96951733350191E-005</v>
      </c>
      <c r="P29" s="27" t="n">
        <f aca="false">N29/$L29/1000000</f>
        <v>4.30894524410925E-005</v>
      </c>
      <c r="Q29" s="28" t="n">
        <f aca="false">IF(P29&gt;0.00415%,ROUND(P29-0.0041%,6),"")</f>
        <v>2E-006</v>
      </c>
    </row>
    <row r="30" customFormat="false" ht="12.75" hidden="false" customHeight="false" outlineLevel="0" collapsed="false">
      <c r="A30" s="17" t="n">
        <f aca="false">A29+1</f>
        <v>30</v>
      </c>
      <c r="B30" s="7" t="n">
        <v>35034</v>
      </c>
      <c r="C30" s="20" t="n">
        <f aca="false">DAY(EOMONTH(B30,0))</f>
        <v>31</v>
      </c>
      <c r="D30" s="21" t="n">
        <f aca="false">filings!M43</f>
        <v>4.3E-005</v>
      </c>
      <c r="E30" s="22" t="n">
        <f aca="false">filings!O43</f>
        <v>1645.45</v>
      </c>
      <c r="F30" s="22" t="n">
        <f aca="false">filings!P43</f>
        <v>168.363</v>
      </c>
      <c r="G30" s="22" t="n">
        <f aca="false">filings!Q43</f>
        <v>1813.813</v>
      </c>
      <c r="H30" s="22" t="n">
        <f aca="false">filings!R43</f>
        <v>1591.681</v>
      </c>
      <c r="I30" s="22" t="n">
        <f aca="false">filings!S43</f>
        <v>259.111</v>
      </c>
      <c r="J30" s="22" t="n">
        <f aca="false">(H30-G30)</f>
        <v>-222.132</v>
      </c>
      <c r="K30" s="25" t="n">
        <f aca="false">K31-J31</f>
        <v>-1056.705</v>
      </c>
      <c r="L30" s="26" t="n">
        <f aca="false">H30/D30/C30/1000000</f>
        <v>1.1940592648162</v>
      </c>
      <c r="M30" s="25" t="n">
        <f aca="false">E30/$C30</f>
        <v>53.0790322580645</v>
      </c>
      <c r="N30" s="25" t="n">
        <f aca="false">G30/$C30</f>
        <v>58.5100967741936</v>
      </c>
      <c r="O30" s="27" t="n">
        <f aca="false">M30/$L30/1000000</f>
        <v>4.44525944583117E-005</v>
      </c>
      <c r="P30" s="27" t="n">
        <f aca="false">N30/$L30/1000000</f>
        <v>4.90009989438839E-005</v>
      </c>
      <c r="Q30" s="28" t="n">
        <f aca="false">IF(P30&gt;0.00415%,ROUND(P30-0.0041%,6),"")</f>
        <v>8E-006</v>
      </c>
    </row>
    <row r="31" customFormat="false" ht="12.75" hidden="false" customHeight="false" outlineLevel="0" collapsed="false">
      <c r="A31" s="0" t="n">
        <f aca="false">A30+1</f>
        <v>31</v>
      </c>
      <c r="B31" s="7" t="n">
        <v>35065</v>
      </c>
      <c r="C31" s="20" t="n">
        <f aca="false">DAY(EOMONTH(B31,0))</f>
        <v>31</v>
      </c>
      <c r="D31" s="21" t="n">
        <f aca="false">filings!M44</f>
        <v>4.3E-005</v>
      </c>
      <c r="E31" s="22" t="n">
        <f aca="false">filings!O44</f>
        <v>1449.863</v>
      </c>
      <c r="F31" s="22" t="n">
        <f aca="false">filings!P44</f>
        <v>152.408</v>
      </c>
      <c r="G31" s="22" t="n">
        <f aca="false">filings!Q44</f>
        <v>1602.271</v>
      </c>
      <c r="H31" s="22" t="n">
        <f aca="false">filings!R44</f>
        <v>1498.32</v>
      </c>
      <c r="I31" s="22" t="n">
        <f aca="false">filings!S44</f>
        <v>69.689</v>
      </c>
      <c r="J31" s="22" t="n">
        <f aca="false">(H31-G31)</f>
        <v>-103.951</v>
      </c>
      <c r="K31" s="25" t="n">
        <f aca="false">K32-J32</f>
        <v>-1160.656</v>
      </c>
      <c r="L31" s="26" t="n">
        <f aca="false">H31/D31/C31/1000000</f>
        <v>1.12402100525131</v>
      </c>
      <c r="M31" s="25" t="n">
        <f aca="false">E31/$C31</f>
        <v>46.7697741935484</v>
      </c>
      <c r="N31" s="25" t="n">
        <f aca="false">G31/$C31</f>
        <v>51.6861612903226</v>
      </c>
      <c r="O31" s="27" t="n">
        <f aca="false">M31/$L31/1000000</f>
        <v>4.1609341796145E-005</v>
      </c>
      <c r="P31" s="27" t="n">
        <f aca="false">N31/$L31/1000000</f>
        <v>4.59832699289871E-005</v>
      </c>
      <c r="Q31" s="28" t="n">
        <f aca="false">IF(P31&gt;0.00415%,ROUND(P31-0.0041%,6),"")</f>
        <v>5E-006</v>
      </c>
    </row>
    <row r="32" customFormat="false" ht="12.75" hidden="false" customHeight="false" outlineLevel="0" collapsed="false">
      <c r="A32" s="17" t="n">
        <f aca="false">A31+1</f>
        <v>32</v>
      </c>
      <c r="B32" s="7" t="n">
        <v>35096</v>
      </c>
      <c r="C32" s="20" t="n">
        <f aca="false">DAY(EOMONTH(B32,0))</f>
        <v>29</v>
      </c>
      <c r="D32" s="21" t="n">
        <f aca="false">filings!M45</f>
        <v>4.3E-005</v>
      </c>
      <c r="E32" s="22" t="n">
        <f aca="false">filings!O45</f>
        <v>1130.731</v>
      </c>
      <c r="F32" s="22" t="n">
        <f aca="false">filings!P45</f>
        <v>84.967</v>
      </c>
      <c r="G32" s="22" t="n">
        <f aca="false">filings!Q45</f>
        <v>1215.698</v>
      </c>
      <c r="H32" s="22" t="n">
        <f aca="false">filings!R45</f>
        <v>1350.338</v>
      </c>
      <c r="I32" s="22" t="n">
        <f aca="false">filings!S45</f>
        <v>62.806</v>
      </c>
      <c r="J32" s="22" t="n">
        <f aca="false">(H32-G32)</f>
        <v>134.64</v>
      </c>
      <c r="K32" s="25" t="n">
        <f aca="false">K33-J33</f>
        <v>-1026.016</v>
      </c>
      <c r="L32" s="26" t="n">
        <f aca="false">H32/D32/C32/1000000</f>
        <v>1.08286928628709</v>
      </c>
      <c r="M32" s="25" t="n">
        <f aca="false">E32/$C32</f>
        <v>38.990724137931</v>
      </c>
      <c r="N32" s="25" t="n">
        <f aca="false">G32/$C32</f>
        <v>41.9206206896552</v>
      </c>
      <c r="O32" s="27" t="n">
        <f aca="false">M32/$L32/1000000</f>
        <v>3.60068612451105E-005</v>
      </c>
      <c r="P32" s="27" t="n">
        <f aca="false">N32/$L32/1000000</f>
        <v>3.87125401195849E-005</v>
      </c>
      <c r="Q32" s="28" t="str">
        <f aca="false">IF(P32&gt;0.00415%,ROUND(P32-0.0041%,6),"")</f>
        <v/>
      </c>
    </row>
    <row r="33" customFormat="false" ht="12.75" hidden="false" customHeight="false" outlineLevel="0" collapsed="false">
      <c r="A33" s="0" t="n">
        <f aca="false">A32+1</f>
        <v>33</v>
      </c>
      <c r="B33" s="7" t="n">
        <v>35125</v>
      </c>
      <c r="C33" s="20" t="n">
        <f aca="false">DAY(EOMONTH(B33,0))</f>
        <v>31</v>
      </c>
      <c r="D33" s="21" t="n">
        <f aca="false">filings!M46</f>
        <v>4.3E-005</v>
      </c>
      <c r="E33" s="22" t="n">
        <f aca="false">filings!O46</f>
        <v>1073.666</v>
      </c>
      <c r="F33" s="22" t="n">
        <f aca="false">filings!P46</f>
        <v>247.01</v>
      </c>
      <c r="G33" s="22" t="n">
        <f aca="false">filings!Q46</f>
        <v>1320.676</v>
      </c>
      <c r="H33" s="22" t="n">
        <f aca="false">filings!R46</f>
        <v>1483.407</v>
      </c>
      <c r="I33" s="22" t="n">
        <f aca="false">filings!S46</f>
        <v>98.996</v>
      </c>
      <c r="J33" s="22" t="n">
        <f aca="false">(H33-G33)</f>
        <v>162.731</v>
      </c>
      <c r="K33" s="25" t="n">
        <f aca="false">K34-J34</f>
        <v>-863.285000000001</v>
      </c>
      <c r="L33" s="26" t="n">
        <f aca="false">H33/D33/C33/1000000</f>
        <v>1.11283345836459</v>
      </c>
      <c r="M33" s="25" t="n">
        <f aca="false">E33/$C33</f>
        <v>34.6343870967742</v>
      </c>
      <c r="N33" s="25" t="n">
        <f aca="false">G33/$C33</f>
        <v>42.6024516129032</v>
      </c>
      <c r="O33" s="27" t="n">
        <f aca="false">M33/$L33/1000000</f>
        <v>3.11227046926434E-005</v>
      </c>
      <c r="P33" s="27" t="n">
        <f aca="false">N33/$L33/1000000</f>
        <v>3.82828637049711E-005</v>
      </c>
      <c r="Q33" s="28" t="str">
        <f aca="false">IF(P33&gt;0.00415%,ROUND(P33-0.0041%,6),"")</f>
        <v/>
      </c>
    </row>
    <row r="34" customFormat="false" ht="12.75" hidden="false" customHeight="false" outlineLevel="0" collapsed="false">
      <c r="A34" s="17" t="n">
        <f aca="false">A33+1</f>
        <v>34</v>
      </c>
      <c r="B34" s="7" t="n">
        <v>35156</v>
      </c>
      <c r="C34" s="20" t="n">
        <f aca="false">DAY(EOMONTH(B34,0))</f>
        <v>30</v>
      </c>
      <c r="D34" s="21" t="n">
        <f aca="false">filings!M47</f>
        <v>3.5E-005</v>
      </c>
      <c r="E34" s="22" t="n">
        <f aca="false">filings!O47</f>
        <v>1074.714</v>
      </c>
      <c r="F34" s="22" t="n">
        <f aca="false">filings!P47</f>
        <v>18.62</v>
      </c>
      <c r="G34" s="22" t="n">
        <f aca="false">filings!Q47</f>
        <v>1093.334</v>
      </c>
      <c r="H34" s="22" t="n">
        <f aca="false">filings!R47</f>
        <v>1145.944</v>
      </c>
      <c r="I34" s="22" t="n">
        <f aca="false">filings!S47</f>
        <v>65.483</v>
      </c>
      <c r="J34" s="22" t="n">
        <f aca="false">(H34-G34)</f>
        <v>52.6100000000001</v>
      </c>
      <c r="K34" s="25" t="n">
        <f aca="false">K35-J35</f>
        <v>-810.675000000001</v>
      </c>
      <c r="L34" s="26" t="n">
        <f aca="false">H34/D34/C34/1000000</f>
        <v>1.09137523809524</v>
      </c>
      <c r="M34" s="25" t="n">
        <f aca="false">E34/$C34</f>
        <v>35.8238</v>
      </c>
      <c r="N34" s="25" t="n">
        <f aca="false">G34/$C34</f>
        <v>36.4444666666667</v>
      </c>
      <c r="O34" s="27" t="n">
        <f aca="false">M34/$L34/1000000</f>
        <v>3.2824457390588E-005</v>
      </c>
      <c r="P34" s="27" t="n">
        <f aca="false">N34/$L34/1000000</f>
        <v>3.33931588280056E-005</v>
      </c>
      <c r="Q34" s="28" t="str">
        <f aca="false">IF(P34&gt;0.00415%,ROUND(P34-0.0041%,6),"")</f>
        <v/>
      </c>
    </row>
    <row r="35" customFormat="false" ht="12.75" hidden="false" customHeight="false" outlineLevel="0" collapsed="false">
      <c r="A35" s="0" t="n">
        <f aca="false">A34+1</f>
        <v>35</v>
      </c>
      <c r="B35" s="7" t="n">
        <v>35186</v>
      </c>
      <c r="C35" s="20" t="n">
        <f aca="false">DAY(EOMONTH(B35,0))</f>
        <v>31</v>
      </c>
      <c r="D35" s="21" t="n">
        <f aca="false">filings!M48</f>
        <v>3.5E-005</v>
      </c>
      <c r="E35" s="22" t="n">
        <f aca="false">filings!O48</f>
        <v>1349.744</v>
      </c>
      <c r="F35" s="22" t="n">
        <f aca="false">filings!P48</f>
        <v>219.745</v>
      </c>
      <c r="G35" s="22" t="n">
        <f aca="false">filings!Q48</f>
        <v>1569.489</v>
      </c>
      <c r="H35" s="22" t="n">
        <f aca="false">filings!R48</f>
        <v>1317.703</v>
      </c>
      <c r="I35" s="22" t="n">
        <f aca="false">filings!S48</f>
        <v>75.297</v>
      </c>
      <c r="J35" s="22" t="n">
        <f aca="false">(H35-G35)</f>
        <v>-251.786</v>
      </c>
      <c r="K35" s="25" t="n">
        <f aca="false">K36-J36</f>
        <v>-1062.461</v>
      </c>
      <c r="L35" s="26" t="n">
        <f aca="false">H35/D35/C35/1000000</f>
        <v>1.21447281105991</v>
      </c>
      <c r="M35" s="25" t="n">
        <f aca="false">E35/$C35</f>
        <v>43.5401290322581</v>
      </c>
      <c r="N35" s="25" t="n">
        <f aca="false">G35/$C35</f>
        <v>50.6286774193548</v>
      </c>
      <c r="O35" s="27" t="n">
        <f aca="false">M35/$L35/1000000</f>
        <v>3.58510529307439E-005</v>
      </c>
      <c r="P35" s="27" t="n">
        <f aca="false">N35/$L35/1000000</f>
        <v>4.16877816928397E-005</v>
      </c>
      <c r="Q35" s="28" t="n">
        <f aca="false">IF(P35&gt;0.00415%,ROUND(P35-0.0041%,6),"")</f>
        <v>1E-006</v>
      </c>
    </row>
    <row r="36" customFormat="false" ht="12.75" hidden="false" customHeight="false" outlineLevel="0" collapsed="false">
      <c r="A36" s="17" t="n">
        <f aca="false">A35+1</f>
        <v>36</v>
      </c>
      <c r="B36" s="7" t="n">
        <v>35217</v>
      </c>
      <c r="C36" s="20" t="n">
        <f aca="false">DAY(EOMONTH(B36,0))</f>
        <v>30</v>
      </c>
      <c r="D36" s="21" t="n">
        <f aca="false">filings!M49</f>
        <v>3.8E-005</v>
      </c>
      <c r="E36" s="22" t="n">
        <f aca="false">filings!O49</f>
        <v>1517.858</v>
      </c>
      <c r="F36" s="22" t="n">
        <f aca="false">filings!P49</f>
        <v>86.455</v>
      </c>
      <c r="G36" s="22" t="n">
        <f aca="false">filings!Q49</f>
        <v>1604.313</v>
      </c>
      <c r="H36" s="22" t="n">
        <f aca="false">filings!R49</f>
        <v>1386.869</v>
      </c>
      <c r="I36" s="22" t="n">
        <f aca="false">filings!S49</f>
        <v>72.993</v>
      </c>
      <c r="J36" s="22" t="n">
        <f aca="false">(H36-G36)</f>
        <v>-217.444</v>
      </c>
      <c r="K36" s="25" t="n">
        <f aca="false">K37-J37</f>
        <v>-1279.905</v>
      </c>
      <c r="L36" s="26" t="n">
        <f aca="false">H36/D36/C36/1000000</f>
        <v>1.21655175438596</v>
      </c>
      <c r="M36" s="25" t="n">
        <f aca="false">E36/$C36</f>
        <v>50.5952666666667</v>
      </c>
      <c r="N36" s="25" t="n">
        <f aca="false">G36/$C36</f>
        <v>53.4771</v>
      </c>
      <c r="O36" s="27" t="n">
        <f aca="false">M36/$L36/1000000</f>
        <v>4.1589078708948E-005</v>
      </c>
      <c r="P36" s="27" t="n">
        <f aca="false">N36/$L36/1000000</f>
        <v>4.39579325805105E-005</v>
      </c>
      <c r="Q36" s="28" t="n">
        <f aca="false">IF(P36&gt;0.00415%,ROUND(P36-0.0041%,6),"")</f>
        <v>3E-006</v>
      </c>
    </row>
    <row r="37" customFormat="false" ht="12.75" hidden="false" customHeight="false" outlineLevel="0" collapsed="false">
      <c r="A37" s="0" t="n">
        <f aca="false">A36+1</f>
        <v>37</v>
      </c>
      <c r="B37" s="7" t="n">
        <v>35247</v>
      </c>
      <c r="C37" s="20" t="n">
        <f aca="false">DAY(EOMONTH(B37,0))</f>
        <v>31</v>
      </c>
      <c r="D37" s="21" t="n">
        <f aca="false">filings!M50</f>
        <v>4E-005</v>
      </c>
      <c r="E37" s="22" t="n">
        <f aca="false">filings!O50</f>
        <v>1633.104</v>
      </c>
      <c r="F37" s="22" t="n">
        <f aca="false">filings!P50</f>
        <v>381.243</v>
      </c>
      <c r="G37" s="22" t="n">
        <f aca="false">filings!Q50</f>
        <v>2014.347</v>
      </c>
      <c r="H37" s="22" t="n">
        <f aca="false">filings!R50</f>
        <v>1508.835</v>
      </c>
      <c r="I37" s="22" t="n">
        <f aca="false">filings!S50</f>
        <v>150.884</v>
      </c>
      <c r="J37" s="22" t="n">
        <f aca="false">(H37-G37)</f>
        <v>-505.512</v>
      </c>
      <c r="K37" s="25" t="n">
        <f aca="false">K38-J38</f>
        <v>-1785.417</v>
      </c>
      <c r="L37" s="26" t="n">
        <f aca="false">H37/D37/C37/1000000</f>
        <v>1.21680241935484</v>
      </c>
      <c r="M37" s="25" t="n">
        <f aca="false">E37/$C37</f>
        <v>52.6807741935484</v>
      </c>
      <c r="N37" s="25" t="n">
        <f aca="false">G37/$C37</f>
        <v>64.978935483871</v>
      </c>
      <c r="O37" s="27" t="n">
        <f aca="false">M37/$L37/1000000</f>
        <v>4.32944357732953E-005</v>
      </c>
      <c r="P37" s="27" t="n">
        <f aca="false">N37/$L37/1000000</f>
        <v>5.34013858374176E-005</v>
      </c>
      <c r="Q37" s="28" t="n">
        <f aca="false">IF(P37&gt;0.00415%,ROUND(P37-0.0041%,6),"")</f>
        <v>1.2E-005</v>
      </c>
    </row>
    <row r="38" customFormat="false" ht="12.75" hidden="false" customHeight="false" outlineLevel="0" collapsed="false">
      <c r="A38" s="17" t="n">
        <f aca="false">A37+1</f>
        <v>38</v>
      </c>
      <c r="B38" s="7" t="n">
        <v>35278</v>
      </c>
      <c r="C38" s="20" t="n">
        <f aca="false">DAY(EOMONTH(B38,0))</f>
        <v>31</v>
      </c>
      <c r="D38" s="21" t="n">
        <f aca="false">filings!M51</f>
        <v>4.3E-005</v>
      </c>
      <c r="E38" s="22" t="n">
        <f aca="false">filings!O51</f>
        <v>1611.388</v>
      </c>
      <c r="F38" s="22" t="n">
        <f aca="false">filings!P51</f>
        <v>429.254</v>
      </c>
      <c r="G38" s="22" t="n">
        <f aca="false">filings!Q51</f>
        <v>2040.642</v>
      </c>
      <c r="H38" s="22" t="n">
        <f aca="false">filings!R51</f>
        <v>1659.683</v>
      </c>
      <c r="I38" s="22" t="n">
        <f aca="false">filings!S51</f>
        <v>154.389</v>
      </c>
      <c r="J38" s="22" t="n">
        <f aca="false">(H38-G38)</f>
        <v>-380.959</v>
      </c>
      <c r="K38" s="25" t="n">
        <f aca="false">K39-J39</f>
        <v>-2166.376</v>
      </c>
      <c r="L38" s="26" t="n">
        <f aca="false">H38/D38/C38/1000000</f>
        <v>1.24507351837959</v>
      </c>
      <c r="M38" s="25" t="n">
        <f aca="false">E38/$C38</f>
        <v>51.9802580645161</v>
      </c>
      <c r="N38" s="25" t="n">
        <f aca="false">G38/$C38</f>
        <v>65.8271612903226</v>
      </c>
      <c r="O38" s="27" t="n">
        <f aca="false">M38/$L38/1000000</f>
        <v>4.17487459954702E-005</v>
      </c>
      <c r="P38" s="27" t="n">
        <f aca="false">N38/$L38/1000000</f>
        <v>5.28700998925699E-005</v>
      </c>
      <c r="Q38" s="28" t="n">
        <f aca="false">IF(P38&gt;0.00415%,ROUND(P38-0.0041%,6),"")</f>
        <v>1.2E-005</v>
      </c>
    </row>
    <row r="39" customFormat="false" ht="12.75" hidden="false" customHeight="false" outlineLevel="0" collapsed="false">
      <c r="A39" s="0" t="n">
        <f aca="false">A38+1</f>
        <v>39</v>
      </c>
      <c r="B39" s="7" t="n">
        <v>35309</v>
      </c>
      <c r="C39" s="20" t="n">
        <f aca="false">DAY(EOMONTH(B39,0))</f>
        <v>30</v>
      </c>
      <c r="D39" s="21" t="n">
        <f aca="false">filings!M52</f>
        <v>4.4E-005</v>
      </c>
      <c r="E39" s="22" t="n">
        <f aca="false">filings!O52</f>
        <v>1691.665</v>
      </c>
      <c r="F39" s="22" t="n">
        <f aca="false">filings!P52</f>
        <v>401.91</v>
      </c>
      <c r="G39" s="22" t="n">
        <f aca="false">filings!Q52</f>
        <v>2093.575</v>
      </c>
      <c r="H39" s="22" t="n">
        <f aca="false">filings!R52</f>
        <v>1652.756</v>
      </c>
      <c r="I39" s="22" t="n">
        <f aca="false">filings!S52</f>
        <v>150.251</v>
      </c>
      <c r="J39" s="22" t="n">
        <f aca="false">(H39-G39)</f>
        <v>-440.819</v>
      </c>
      <c r="K39" s="25" t="n">
        <f aca="false">K40-J40</f>
        <v>-2607.195</v>
      </c>
      <c r="L39" s="26" t="n">
        <f aca="false">H39/D39/C39/1000000</f>
        <v>1.25208787878788</v>
      </c>
      <c r="M39" s="25" t="n">
        <f aca="false">E39/$C39</f>
        <v>56.3888333333333</v>
      </c>
      <c r="N39" s="25" t="n">
        <f aca="false">G39/$C39</f>
        <v>69.7858333333333</v>
      </c>
      <c r="O39" s="27" t="n">
        <f aca="false">M39/$L39/1000000</f>
        <v>4.5035843161362E-005</v>
      </c>
      <c r="P39" s="27" t="n">
        <f aca="false">N39/$L39/1000000</f>
        <v>5.57355713729068E-005</v>
      </c>
      <c r="Q39" s="28" t="n">
        <f aca="false">IF(P39&gt;0.00415%,ROUND(P39-0.0041%,6),"")</f>
        <v>1.5E-005</v>
      </c>
    </row>
    <row r="40" customFormat="false" ht="12.75" hidden="false" customHeight="false" outlineLevel="0" collapsed="false">
      <c r="A40" s="17" t="n">
        <f aca="false">A39+1</f>
        <v>40</v>
      </c>
      <c r="B40" s="7" t="n">
        <v>35339</v>
      </c>
      <c r="C40" s="20" t="n">
        <f aca="false">DAY(EOMONTH(B40,0))</f>
        <v>31</v>
      </c>
      <c r="D40" s="21" t="n">
        <f aca="false">filings!M53</f>
        <v>4.5E-005</v>
      </c>
      <c r="E40" s="22" t="n">
        <f aca="false">filings!O53</f>
        <v>1719.011</v>
      </c>
      <c r="F40" s="22" t="n">
        <f aca="false">filings!P53</f>
        <v>373.047</v>
      </c>
      <c r="G40" s="22" t="n">
        <f aca="false">filings!Q53</f>
        <v>2092.058</v>
      </c>
      <c r="H40" s="22" t="n">
        <f aca="false">filings!R53</f>
        <v>1763.236</v>
      </c>
      <c r="I40" s="22" t="n">
        <f aca="false">filings!S53</f>
        <v>156.732</v>
      </c>
      <c r="J40" s="22" t="n">
        <f aca="false">(H40-G40)</f>
        <v>-328.822</v>
      </c>
      <c r="K40" s="25" t="n">
        <f aca="false">K41-J41</f>
        <v>-2936.017</v>
      </c>
      <c r="L40" s="26" t="n">
        <f aca="false">H40/D40/C40/1000000</f>
        <v>1.26396845878136</v>
      </c>
      <c r="M40" s="25" t="n">
        <f aca="false">E40/$C40</f>
        <v>55.4519677419355</v>
      </c>
      <c r="N40" s="25" t="n">
        <f aca="false">G40/$C40</f>
        <v>67.4857419354839</v>
      </c>
      <c r="O40" s="27" t="n">
        <f aca="false">M40/$L40/1000000</f>
        <v>4.38713223867934E-005</v>
      </c>
      <c r="P40" s="27" t="n">
        <f aca="false">N40/$L40/1000000</f>
        <v>5.3391950935666E-005</v>
      </c>
      <c r="Q40" s="28" t="n">
        <f aca="false">IF(P40&gt;0.00415%,ROUND(P40-0.0041%,6),"")</f>
        <v>1.2E-005</v>
      </c>
    </row>
    <row r="41" customFormat="false" ht="12.75" hidden="false" customHeight="false" outlineLevel="0" collapsed="false">
      <c r="A41" s="0" t="n">
        <f aca="false">A40+1</f>
        <v>41</v>
      </c>
      <c r="B41" s="7" t="n">
        <v>35370</v>
      </c>
      <c r="C41" s="20" t="n">
        <f aca="false">DAY(EOMONTH(B41,0))</f>
        <v>30</v>
      </c>
      <c r="D41" s="21" t="n">
        <f aca="false">filings!M54</f>
        <v>4.5E-005</v>
      </c>
      <c r="E41" s="22" t="n">
        <f aca="false">filings!O54</f>
        <v>1955.753</v>
      </c>
      <c r="F41" s="22" t="n">
        <f aca="false">filings!P54</f>
        <v>275.067</v>
      </c>
      <c r="G41" s="22" t="n">
        <f aca="false">filings!Q54</f>
        <v>2230.82</v>
      </c>
      <c r="H41" s="22" t="n">
        <f aca="false">filings!R54</f>
        <v>1733.829</v>
      </c>
      <c r="I41" s="22" t="n">
        <f aca="false">filings!S54</f>
        <v>154.118</v>
      </c>
      <c r="J41" s="22" t="n">
        <f aca="false">(H41-G41)</f>
        <v>-496.991</v>
      </c>
      <c r="K41" s="25" t="n">
        <f aca="false">K42-J42</f>
        <v>-3433.008</v>
      </c>
      <c r="L41" s="26" t="n">
        <f aca="false">H41/D41/C41/1000000</f>
        <v>1.28431777777778</v>
      </c>
      <c r="M41" s="25" t="n">
        <f aca="false">E41/$C41</f>
        <v>65.1917666666667</v>
      </c>
      <c r="N41" s="25" t="n">
        <f aca="false">G41/$C41</f>
        <v>74.3606666666667</v>
      </c>
      <c r="O41" s="27" t="n">
        <f aca="false">M41/$L41/1000000</f>
        <v>5.07598413684395E-005</v>
      </c>
      <c r="P41" s="27" t="n">
        <f aca="false">N41/$L41/1000000</f>
        <v>5.7898962354419E-005</v>
      </c>
      <c r="Q41" s="28" t="n">
        <f aca="false">IF(P41&gt;0.00415%,ROUND(P41-0.0041%,6),"")</f>
        <v>1.7E-005</v>
      </c>
    </row>
    <row r="42" customFormat="false" ht="12.75" hidden="false" customHeight="false" outlineLevel="0" collapsed="false">
      <c r="A42" s="17" t="n">
        <f aca="false">A41+1</f>
        <v>42</v>
      </c>
      <c r="B42" s="7" t="n">
        <v>35400</v>
      </c>
      <c r="C42" s="20" t="n">
        <f aca="false">DAY(EOMONTH(B42,0))</f>
        <v>31</v>
      </c>
      <c r="D42" s="21" t="n">
        <f aca="false">filings!M55</f>
        <v>4.5E-005</v>
      </c>
      <c r="E42" s="22" t="n">
        <f aca="false">filings!O55</f>
        <v>1857.119</v>
      </c>
      <c r="F42" s="22" t="n">
        <f aca="false">filings!P55</f>
        <v>147.828</v>
      </c>
      <c r="G42" s="22" t="n">
        <f aca="false">filings!Q55</f>
        <v>2004.947</v>
      </c>
      <c r="H42" s="22" t="n">
        <f aca="false">filings!R55</f>
        <v>1765.524</v>
      </c>
      <c r="I42" s="22" t="n">
        <f aca="false">filings!S55</f>
        <v>156.935</v>
      </c>
      <c r="J42" s="22" t="n">
        <f aca="false">(H42-G42)</f>
        <v>-239.423</v>
      </c>
      <c r="K42" s="25" t="n">
        <f aca="false">K43-J43</f>
        <v>-3672.431</v>
      </c>
      <c r="L42" s="26" t="n">
        <f aca="false">H42/D42/C42/1000000</f>
        <v>1.26560860215054</v>
      </c>
      <c r="M42" s="25" t="n">
        <f aca="false">E42/$C42</f>
        <v>59.907064516129</v>
      </c>
      <c r="N42" s="25" t="n">
        <f aca="false">G42/$C42</f>
        <v>64.6757096774194</v>
      </c>
      <c r="O42" s="27" t="n">
        <f aca="false">M42/$L42/1000000</f>
        <v>4.73345901839907E-005</v>
      </c>
      <c r="P42" s="27" t="n">
        <f aca="false">N42/$L42/1000000</f>
        <v>5.1102457400749E-005</v>
      </c>
      <c r="Q42" s="28" t="n">
        <f aca="false">IF(P42&gt;0.00415%,ROUND(P42-0.0041%,6),"")</f>
        <v>1E-005</v>
      </c>
    </row>
    <row r="43" customFormat="false" ht="12.75" hidden="false" customHeight="false" outlineLevel="0" collapsed="false">
      <c r="A43" s="0" t="n">
        <f aca="false">A42+1</f>
        <v>43</v>
      </c>
      <c r="B43" s="7" t="n">
        <v>35431</v>
      </c>
      <c r="C43" s="20" t="n">
        <f aca="false">DAY(EOMONTH(B43,0))</f>
        <v>31</v>
      </c>
      <c r="D43" s="21" t="n">
        <f aca="false">filings!M56</f>
        <v>5.7E-005</v>
      </c>
      <c r="E43" s="22" t="n">
        <f aca="false">filings!O56</f>
        <v>1569.287</v>
      </c>
      <c r="F43" s="22" t="n">
        <f aca="false">filings!P56</f>
        <v>57.258</v>
      </c>
      <c r="G43" s="22" t="n">
        <f aca="false">filings!Q56</f>
        <v>1626.545</v>
      </c>
      <c r="H43" s="22" t="n">
        <f aca="false">filings!R56</f>
        <v>2116.552</v>
      </c>
      <c r="I43" s="22" t="n">
        <f aca="false">filings!S56</f>
        <v>594.12</v>
      </c>
      <c r="J43" s="22" t="n">
        <f aca="false">(H43-G43)</f>
        <v>490.007</v>
      </c>
      <c r="K43" s="25" t="n">
        <f aca="false">K44-J44</f>
        <v>-3182.424</v>
      </c>
      <c r="L43" s="26" t="n">
        <f aca="false">H43/D43/C43/1000000</f>
        <v>1.19782229767968</v>
      </c>
      <c r="M43" s="25" t="n">
        <f aca="false">E43/$C43</f>
        <v>50.6221612903226</v>
      </c>
      <c r="N43" s="25" t="n">
        <f aca="false">G43/$C43</f>
        <v>52.4691935483871</v>
      </c>
      <c r="O43" s="27" t="n">
        <f aca="false">M43/$L43/1000000</f>
        <v>4.226182914476E-005</v>
      </c>
      <c r="P43" s="27" t="n">
        <f aca="false">N43/$L43/1000000</f>
        <v>4.38038210258949E-005</v>
      </c>
      <c r="Q43" s="28" t="n">
        <f aca="false">IF(P43&gt;0.00415%,ROUND(P43-0.0041%,6),"")</f>
        <v>3E-006</v>
      </c>
    </row>
    <row r="44" customFormat="false" ht="12.75" hidden="false" customHeight="false" outlineLevel="0" collapsed="false">
      <c r="A44" s="17" t="n">
        <f aca="false">A43+1</f>
        <v>44</v>
      </c>
      <c r="B44" s="7" t="n">
        <v>35462</v>
      </c>
      <c r="C44" s="20" t="n">
        <f aca="false">DAY(EOMONTH(B44,0))</f>
        <v>28</v>
      </c>
      <c r="D44" s="21" t="n">
        <f aca="false">filings!M57</f>
        <v>5.7E-005</v>
      </c>
      <c r="E44" s="22" t="n">
        <f aca="false">filings!O57</f>
        <v>1304.432</v>
      </c>
      <c r="F44" s="22" t="n">
        <f aca="false">filings!P57</f>
        <v>71.845</v>
      </c>
      <c r="G44" s="22" t="n">
        <f aca="false">filings!Q57</f>
        <v>1376.277</v>
      </c>
      <c r="H44" s="22" t="n">
        <f aca="false">filings!R57</f>
        <v>1951.706</v>
      </c>
      <c r="I44" s="22" t="n">
        <f aca="false">filings!S57</f>
        <v>547.847</v>
      </c>
      <c r="J44" s="22" t="n">
        <f aca="false">(H44-G44)</f>
        <v>575.429</v>
      </c>
      <c r="K44" s="25" t="n">
        <f aca="false">K45-J45</f>
        <v>-2606.995</v>
      </c>
      <c r="L44" s="26" t="n">
        <f aca="false">H44/D44/C44/1000000</f>
        <v>1.22287343358396</v>
      </c>
      <c r="M44" s="25" t="n">
        <f aca="false">E44/$C44</f>
        <v>46.5868571428571</v>
      </c>
      <c r="N44" s="25" t="n">
        <f aca="false">G44/$C44</f>
        <v>49.15275</v>
      </c>
      <c r="O44" s="27" t="n">
        <f aca="false">M44/$L44/1000000</f>
        <v>3.80962214595846E-005</v>
      </c>
      <c r="P44" s="27" t="n">
        <f aca="false">N44/$L44/1000000</f>
        <v>4.01944703761735E-005</v>
      </c>
      <c r="Q44" s="28" t="str">
        <f aca="false">IF(P44&gt;0.00415%,ROUND(P44-0.0041%,6),"")</f>
        <v/>
      </c>
    </row>
    <row r="45" customFormat="false" ht="12.75" hidden="false" customHeight="false" outlineLevel="0" collapsed="false">
      <c r="A45" s="0" t="n">
        <f aca="false">A44+1</f>
        <v>45</v>
      </c>
      <c r="B45" s="7" t="n">
        <v>35490</v>
      </c>
      <c r="C45" s="20" t="n">
        <f aca="false">DAY(EOMONTH(B45,0))</f>
        <v>31</v>
      </c>
      <c r="D45" s="21" t="n">
        <f aca="false">filings!M58</f>
        <v>5.2E-005</v>
      </c>
      <c r="E45" s="22" t="n">
        <f aca="false">filings!O58</f>
        <v>1510.538</v>
      </c>
      <c r="F45" s="22" t="n">
        <f aca="false">filings!P58</f>
        <v>-1.785</v>
      </c>
      <c r="G45" s="22" t="n">
        <f aca="false">filings!Q58</f>
        <v>1508.753</v>
      </c>
      <c r="H45" s="22" t="n">
        <f aca="false">filings!R58</f>
        <v>2070.057</v>
      </c>
      <c r="I45" s="22" t="n">
        <f aca="false">filings!S58</f>
        <v>636.941</v>
      </c>
      <c r="J45" s="22" t="n">
        <f aca="false">(H45-G45)</f>
        <v>561.304</v>
      </c>
      <c r="K45" s="25" t="n">
        <f aca="false">K46-J46</f>
        <v>-2045.691</v>
      </c>
      <c r="L45" s="26" t="n">
        <f aca="false">H45/D45/C45/1000000</f>
        <v>1.28415446650124</v>
      </c>
      <c r="M45" s="25" t="n">
        <f aca="false">E45/$C45</f>
        <v>48.7270322580645</v>
      </c>
      <c r="N45" s="25" t="n">
        <f aca="false">G45/$C45</f>
        <v>48.6694516129032</v>
      </c>
      <c r="O45" s="27" t="n">
        <f aca="false">M45/$L45/1000000</f>
        <v>3.79448372677661E-005</v>
      </c>
      <c r="P45" s="27" t="n">
        <f aca="false">N45/$L45/1000000</f>
        <v>3.78999979227625E-005</v>
      </c>
      <c r="Q45" s="28" t="str">
        <f aca="false">IF(P45&gt;0.00415%,ROUND(P45-0.0041%,6),"")</f>
        <v/>
      </c>
    </row>
    <row r="46" customFormat="false" ht="12.75" hidden="false" customHeight="false" outlineLevel="0" collapsed="false">
      <c r="A46" s="17" t="n">
        <f aca="false">A45+1</f>
        <v>46</v>
      </c>
      <c r="B46" s="7" t="n">
        <v>35521</v>
      </c>
      <c r="C46" s="20" t="n">
        <f aca="false">DAY(EOMONTH(B46,0))</f>
        <v>30</v>
      </c>
      <c r="D46" s="21" t="n">
        <f aca="false">filings!M59</f>
        <v>4.9E-005</v>
      </c>
      <c r="E46" s="22" t="n">
        <f aca="false">filings!O59</f>
        <v>1460.451</v>
      </c>
      <c r="F46" s="22" t="n">
        <f aca="false">filings!P59</f>
        <v>123.15</v>
      </c>
      <c r="G46" s="22" t="n">
        <f aca="false">filings!Q59</f>
        <v>1583.601</v>
      </c>
      <c r="H46" s="22" t="n">
        <f aca="false">filings!R59</f>
        <v>1842.744</v>
      </c>
      <c r="I46" s="22" t="n">
        <f aca="false">filings!S59</f>
        <v>601.712</v>
      </c>
      <c r="J46" s="22" t="n">
        <f aca="false">(H46-G46)</f>
        <v>259.143</v>
      </c>
      <c r="K46" s="25" t="n">
        <f aca="false">K47-J47</f>
        <v>-1786.548</v>
      </c>
      <c r="L46" s="26" t="n">
        <f aca="false">H46/D46/C46/1000000</f>
        <v>1.25356734693878</v>
      </c>
      <c r="M46" s="25" t="n">
        <f aca="false">E46/$C46</f>
        <v>48.6817</v>
      </c>
      <c r="N46" s="25" t="n">
        <f aca="false">G46/$C46</f>
        <v>52.7867</v>
      </c>
      <c r="O46" s="27" t="n">
        <f aca="false">M46/$L46/1000000</f>
        <v>3.8834531003764E-005</v>
      </c>
      <c r="P46" s="27" t="n">
        <f aca="false">N46/$L46/1000000</f>
        <v>4.21091855406937E-005</v>
      </c>
      <c r="Q46" s="28" t="n">
        <f aca="false">IF(P46&gt;0.00415%,ROUND(P46-0.0041%,6),"")</f>
        <v>1E-006</v>
      </c>
    </row>
    <row r="47" customFormat="false" ht="12.75" hidden="false" customHeight="false" outlineLevel="0" collapsed="false">
      <c r="A47" s="0" t="n">
        <f aca="false">A46+1</f>
        <v>47</v>
      </c>
      <c r="B47" s="7" t="n">
        <v>35551</v>
      </c>
      <c r="C47" s="20" t="n">
        <f aca="false">DAY(EOMONTH(B47,0))</f>
        <v>31</v>
      </c>
      <c r="D47" s="21" t="n">
        <f aca="false">filings!M60</f>
        <v>4.9E-005</v>
      </c>
      <c r="E47" s="22" t="n">
        <f aca="false">filings!O60</f>
        <v>1454.894</v>
      </c>
      <c r="F47" s="22" t="n">
        <f aca="false">filings!P60</f>
        <v>-63.433</v>
      </c>
      <c r="G47" s="22" t="n">
        <f aca="false">filings!Q60</f>
        <v>1391.461</v>
      </c>
      <c r="H47" s="22" t="n">
        <f aca="false">filings!R60</f>
        <v>1840.743</v>
      </c>
      <c r="I47" s="22" t="n">
        <f aca="false">filings!S60</f>
        <v>601.059</v>
      </c>
      <c r="J47" s="22" t="n">
        <f aca="false">(H47-G47)</f>
        <v>449.282</v>
      </c>
      <c r="K47" s="25" t="n">
        <f aca="false">K48-J48</f>
        <v>-1337.266</v>
      </c>
      <c r="L47" s="26" t="n">
        <f aca="false">H47/D47/C47/1000000</f>
        <v>1.21181237656353</v>
      </c>
      <c r="M47" s="25" t="n">
        <f aca="false">E47/$C47</f>
        <v>46.932064516129</v>
      </c>
      <c r="N47" s="25" t="n">
        <f aca="false">G47/$C47</f>
        <v>44.8858387096774</v>
      </c>
      <c r="O47" s="27" t="n">
        <f aca="false">M47/$L47/1000000</f>
        <v>3.87288209163365E-005</v>
      </c>
      <c r="P47" s="27" t="n">
        <f aca="false">N47/$L47/1000000</f>
        <v>3.70402543972733E-005</v>
      </c>
      <c r="Q47" s="28" t="str">
        <f aca="false">IF(P47&gt;0.00415%,ROUND(P47-0.0041%,6),"")</f>
        <v/>
      </c>
    </row>
    <row r="48" customFormat="false" ht="12.75" hidden="false" customHeight="false" outlineLevel="0" collapsed="false">
      <c r="A48" s="17" t="n">
        <f aca="false">A47+1</f>
        <v>48</v>
      </c>
      <c r="B48" s="7" t="n">
        <v>35582</v>
      </c>
      <c r="C48" s="20" t="n">
        <f aca="false">DAY(EOMONTH(B48,0))</f>
        <v>30</v>
      </c>
      <c r="D48" s="21" t="n">
        <f aca="false">filings!M61</f>
        <v>4.4E-005</v>
      </c>
      <c r="E48" s="22" t="n">
        <f aca="false">filings!O61</f>
        <v>1625.984</v>
      </c>
      <c r="F48" s="22" t="n">
        <f aca="false">filings!P61</f>
        <v>-162.032</v>
      </c>
      <c r="G48" s="22" t="n">
        <f aca="false">filings!Q61</f>
        <v>1463.952</v>
      </c>
      <c r="H48" s="22" t="n">
        <f aca="false">filings!R61</f>
        <v>1672.089</v>
      </c>
      <c r="I48" s="22" t="n">
        <f aca="false">filings!S61</f>
        <v>608.032</v>
      </c>
      <c r="J48" s="22" t="n">
        <f aca="false">(H48-G48)</f>
        <v>208.137</v>
      </c>
      <c r="K48" s="25" t="n">
        <f aca="false">K49-J49</f>
        <v>-1129.129</v>
      </c>
      <c r="L48" s="26" t="n">
        <f aca="false">H48/D48/C48/1000000</f>
        <v>1.26673409090909</v>
      </c>
      <c r="M48" s="25" t="n">
        <f aca="false">E48/$C48</f>
        <v>54.1994666666667</v>
      </c>
      <c r="N48" s="25" t="n">
        <f aca="false">G48/$C48</f>
        <v>48.7984</v>
      </c>
      <c r="O48" s="27" t="n">
        <f aca="false">M48/$L48/1000000</f>
        <v>4.27867751058706E-005</v>
      </c>
      <c r="P48" s="27" t="n">
        <f aca="false">N48/$L48/1000000</f>
        <v>3.85230020650815E-005</v>
      </c>
      <c r="Q48" s="28" t="str">
        <f aca="false">IF(P48&gt;0.00415%,ROUND(P48-0.0041%,6),"")</f>
        <v/>
      </c>
    </row>
    <row r="49" customFormat="false" ht="12.75" hidden="false" customHeight="false" outlineLevel="0" collapsed="false">
      <c r="A49" s="0" t="n">
        <f aca="false">A48+1</f>
        <v>49</v>
      </c>
      <c r="B49" s="7" t="n">
        <v>35612</v>
      </c>
      <c r="C49" s="20" t="n">
        <f aca="false">DAY(EOMONTH(B49,0))</f>
        <v>31</v>
      </c>
      <c r="D49" s="21" t="n">
        <f aca="false">filings!M62</f>
        <v>4.4E-005</v>
      </c>
      <c r="E49" s="22" t="n">
        <f aca="false">filings!O62</f>
        <v>1829.954</v>
      </c>
      <c r="F49" s="22" t="n">
        <f aca="false">filings!P62</f>
        <v>17.978</v>
      </c>
      <c r="G49" s="22" t="n">
        <f aca="false">filings!Q62</f>
        <v>1847.932</v>
      </c>
      <c r="H49" s="22" t="n">
        <f aca="false">filings!R62</f>
        <v>1735.496</v>
      </c>
      <c r="I49" s="22" t="n">
        <f aca="false">filings!S62</f>
        <v>276.117</v>
      </c>
      <c r="J49" s="22" t="n">
        <f aca="false">(H49-G49)</f>
        <v>-112.436</v>
      </c>
      <c r="K49" s="25" t="n">
        <f aca="false">K50-J50</f>
        <v>-1241.565</v>
      </c>
      <c r="L49" s="26" t="n">
        <f aca="false">H49/D49/C49/1000000</f>
        <v>1.272357771261</v>
      </c>
      <c r="M49" s="25" t="n">
        <f aca="false">E49/$C49</f>
        <v>59.0307741935484</v>
      </c>
      <c r="N49" s="25" t="n">
        <f aca="false">G49/$C49</f>
        <v>59.6107096774194</v>
      </c>
      <c r="O49" s="27" t="n">
        <f aca="false">M49/$L49/1000000</f>
        <v>4.63947920363977E-005</v>
      </c>
      <c r="P49" s="27" t="n">
        <f aca="false">N49/$L49/1000000</f>
        <v>4.68505879587161E-005</v>
      </c>
      <c r="Q49" s="28" t="n">
        <f aca="false">IF(P49&gt;0.00415%,ROUND(P49-0.0041%,6),"")</f>
        <v>6E-006</v>
      </c>
    </row>
    <row r="50" customFormat="false" ht="12.75" hidden="false" customHeight="false" outlineLevel="0" collapsed="false">
      <c r="A50" s="17" t="n">
        <f aca="false">A49+1</f>
        <v>50</v>
      </c>
      <c r="B50" s="7" t="n">
        <v>35643</v>
      </c>
      <c r="C50" s="20" t="n">
        <f aca="false">DAY(EOMONTH(B50,0))</f>
        <v>31</v>
      </c>
      <c r="D50" s="21" t="n">
        <f aca="false">filings!M63</f>
        <v>4.6E-005</v>
      </c>
      <c r="E50" s="22" t="n">
        <f aca="false">filings!O63</f>
        <v>1894.216</v>
      </c>
      <c r="F50" s="22" t="n">
        <f aca="false">filings!P63</f>
        <v>123.665</v>
      </c>
      <c r="G50" s="22" t="n">
        <f aca="false">filings!Q63</f>
        <v>2017.881</v>
      </c>
      <c r="H50" s="22" t="n">
        <f aca="false">filings!R63</f>
        <v>1882.536</v>
      </c>
      <c r="I50" s="22" t="n">
        <f aca="false">filings!S63</f>
        <v>286.522</v>
      </c>
      <c r="J50" s="22" t="n">
        <f aca="false">(H50-G50)</f>
        <v>-135.345</v>
      </c>
      <c r="K50" s="25" t="n">
        <f aca="false">K51-J51</f>
        <v>-1376.91</v>
      </c>
      <c r="L50" s="26" t="n">
        <f aca="false">H50/D50/C50/1000000</f>
        <v>1.32015147265077</v>
      </c>
      <c r="M50" s="25" t="n">
        <f aca="false">E50/$C50</f>
        <v>61.1037419354839</v>
      </c>
      <c r="N50" s="25" t="n">
        <f aca="false">G50/$C50</f>
        <v>65.092935483871</v>
      </c>
      <c r="O50" s="27" t="n">
        <f aca="false">M50/$L50/1000000</f>
        <v>4.62854022446317E-005</v>
      </c>
      <c r="P50" s="27" t="n">
        <f aca="false">N50/$L50/1000000</f>
        <v>4.9307171815041E-005</v>
      </c>
      <c r="Q50" s="28" t="n">
        <f aca="false">IF(P50&gt;0.00415%,ROUND(P50-0.0041%,6),"")</f>
        <v>8E-006</v>
      </c>
    </row>
    <row r="51" customFormat="false" ht="12.75" hidden="false" customHeight="false" outlineLevel="0" collapsed="false">
      <c r="A51" s="0" t="n">
        <f aca="false">A50+1</f>
        <v>51</v>
      </c>
      <c r="B51" s="7" t="n">
        <v>35674</v>
      </c>
      <c r="C51" s="20" t="n">
        <f aca="false">DAY(EOMONTH(B51,0))</f>
        <v>30</v>
      </c>
      <c r="D51" s="21" t="n">
        <f aca="false">filings!M64</f>
        <v>4.6E-005</v>
      </c>
      <c r="E51" s="22" t="n">
        <f aca="false">filings!O64</f>
        <v>1991.826</v>
      </c>
      <c r="F51" s="22" t="n">
        <f aca="false">filings!P64</f>
        <v>-85.351</v>
      </c>
      <c r="G51" s="22" t="n">
        <f aca="false">filings!Q64</f>
        <v>1906.475</v>
      </c>
      <c r="H51" s="22" t="n">
        <f aca="false">filings!R64</f>
        <v>1804.075</v>
      </c>
      <c r="I51" s="22" t="n">
        <f aca="false">filings!S64</f>
        <v>274.58</v>
      </c>
      <c r="J51" s="22" t="n">
        <f aca="false">(H51-G51)</f>
        <v>-102.4</v>
      </c>
      <c r="K51" s="25" t="n">
        <f aca="false">K52-J52</f>
        <v>-1479.31</v>
      </c>
      <c r="L51" s="26" t="n">
        <f aca="false">H51/D51/C51/1000000</f>
        <v>1.30730072463768</v>
      </c>
      <c r="M51" s="25" t="n">
        <f aca="false">E51/$C51</f>
        <v>66.3942</v>
      </c>
      <c r="N51" s="25" t="n">
        <f aca="false">G51/$C51</f>
        <v>63.5491666666667</v>
      </c>
      <c r="O51" s="27" t="n">
        <f aca="false">M51/$L51/1000000</f>
        <v>5.07872433241412E-005</v>
      </c>
      <c r="P51" s="27" t="n">
        <f aca="false">N51/$L51/1000000</f>
        <v>4.86109779249754E-005</v>
      </c>
      <c r="Q51" s="28" t="n">
        <f aca="false">IF(P51&gt;0.00415%,ROUND(P51-0.0041%,6),"")</f>
        <v>8E-006</v>
      </c>
    </row>
    <row r="52" customFormat="false" ht="12.75" hidden="false" customHeight="false" outlineLevel="0" collapsed="false">
      <c r="A52" s="17" t="n">
        <f aca="false">A51+1</f>
        <v>52</v>
      </c>
      <c r="B52" s="7" t="n">
        <v>35704</v>
      </c>
      <c r="C52" s="20" t="n">
        <f aca="false">DAY(EOMONTH(B52,0))</f>
        <v>31</v>
      </c>
      <c r="D52" s="21" t="n">
        <f aca="false">filings!M65</f>
        <v>4.9E-005</v>
      </c>
      <c r="E52" s="22" t="n">
        <f aca="false">filings!O65</f>
        <v>2073.294</v>
      </c>
      <c r="F52" s="22" t="n">
        <f aca="false">filings!P65</f>
        <v>134.187</v>
      </c>
      <c r="G52" s="22" t="n">
        <f aca="false">filings!Q65</f>
        <v>2207.481</v>
      </c>
      <c r="H52" s="22" t="n">
        <f aca="false">filings!R65</f>
        <v>2003.657</v>
      </c>
      <c r="I52" s="22" t="n">
        <f aca="false">filings!S65</f>
        <v>286.323</v>
      </c>
      <c r="J52" s="22" t="n">
        <f aca="false">(H52-G52)</f>
        <v>-203.824</v>
      </c>
      <c r="K52" s="25" t="n">
        <f aca="false">K53-J53</f>
        <v>-1683.134</v>
      </c>
      <c r="L52" s="26" t="n">
        <f aca="false">H52/D52/C52/1000000</f>
        <v>1.31906319947334</v>
      </c>
      <c r="M52" s="25" t="n">
        <f aca="false">E52/$C52</f>
        <v>66.8804516129032</v>
      </c>
      <c r="N52" s="25" t="n">
        <f aca="false">G52/$C52</f>
        <v>71.209064516129</v>
      </c>
      <c r="O52" s="27" t="n">
        <f aca="false">M52/$L52/1000000</f>
        <v>5.0702992578071E-005</v>
      </c>
      <c r="P52" s="27" t="n">
        <f aca="false">N52/$L52/1000000</f>
        <v>5.39845737069768E-005</v>
      </c>
      <c r="Q52" s="28" t="n">
        <f aca="false">IF(P52&gt;0.00415%,ROUND(P52-0.0041%,6),"")</f>
        <v>1.3E-005</v>
      </c>
    </row>
    <row r="53" customFormat="false" ht="12.75" hidden="false" customHeight="false" outlineLevel="0" collapsed="false">
      <c r="A53" s="0" t="n">
        <f aca="false">A52+1</f>
        <v>53</v>
      </c>
      <c r="B53" s="7" t="n">
        <v>35735</v>
      </c>
      <c r="C53" s="20" t="n">
        <f aca="false">DAY(EOMONTH(B53,0))</f>
        <v>30</v>
      </c>
      <c r="D53" s="21" t="n">
        <f aca="false">filings!M66</f>
        <v>4.8E-005</v>
      </c>
      <c r="E53" s="22" t="n">
        <f aca="false">filings!O66</f>
        <v>2057.59</v>
      </c>
      <c r="F53" s="22" t="n">
        <f aca="false">filings!P66</f>
        <v>-59.137</v>
      </c>
      <c r="G53" s="22" t="n">
        <f aca="false">filings!Q66</f>
        <v>1998.453</v>
      </c>
      <c r="H53" s="22" t="n">
        <f aca="false">filings!R66</f>
        <v>1994.185</v>
      </c>
      <c r="I53" s="22" t="n">
        <f aca="false">filings!S66</f>
        <v>283.462</v>
      </c>
      <c r="J53" s="22" t="n">
        <f aca="false">(H53-G53)</f>
        <v>-4.26800000000026</v>
      </c>
      <c r="K53" s="25" t="n">
        <f aca="false">K54-J54</f>
        <v>-1687.402</v>
      </c>
      <c r="L53" s="26" t="n">
        <f aca="false">H53/D53/C53/1000000</f>
        <v>1.38485069444444</v>
      </c>
      <c r="M53" s="25" t="n">
        <f aca="false">E53/$C53</f>
        <v>68.5863333333333</v>
      </c>
      <c r="N53" s="25" t="n">
        <f aca="false">G53/$C53</f>
        <v>66.6151</v>
      </c>
      <c r="O53" s="27" t="n">
        <f aca="false">M53/$L53/1000000</f>
        <v>4.95261573023566E-005</v>
      </c>
      <c r="P53" s="27" t="n">
        <f aca="false">N53/$L53/1000000</f>
        <v>4.81027306894797E-005</v>
      </c>
      <c r="Q53" s="28" t="n">
        <f aca="false">IF(P53&gt;0.00415%,ROUND(P53-0.0041%,6),"")</f>
        <v>7E-006</v>
      </c>
    </row>
    <row r="54" customFormat="false" ht="12.75" hidden="false" customHeight="false" outlineLevel="0" collapsed="false">
      <c r="A54" s="17" t="n">
        <f aca="false">A53+1</f>
        <v>54</v>
      </c>
      <c r="B54" s="7" t="n">
        <v>35765</v>
      </c>
      <c r="C54" s="20" t="n">
        <f aca="false">DAY(EOMONTH(B54,0))</f>
        <v>31</v>
      </c>
      <c r="D54" s="21" t="n">
        <f aca="false">filings!M67</f>
        <v>4.8E-005</v>
      </c>
      <c r="E54" s="22" t="n">
        <f aca="false">filings!O67</f>
        <v>1929.14</v>
      </c>
      <c r="F54" s="22" t="n">
        <f aca="false">filings!P67</f>
        <v>84.739</v>
      </c>
      <c r="G54" s="22" t="n">
        <f aca="false">filings!Q67</f>
        <v>2013.879</v>
      </c>
      <c r="H54" s="22" t="n">
        <f aca="false">filings!R67</f>
        <v>1993.232</v>
      </c>
      <c r="I54" s="22" t="n">
        <f aca="false">filings!S67</f>
        <v>281.865</v>
      </c>
      <c r="J54" s="22" t="n">
        <f aca="false">(H54-G54)</f>
        <v>-20.6470000000002</v>
      </c>
      <c r="K54" s="25" t="n">
        <f aca="false">K55-J55</f>
        <v>-1708.049</v>
      </c>
      <c r="L54" s="26" t="n">
        <f aca="false">H54/D54/C54/1000000</f>
        <v>1.3395376344086</v>
      </c>
      <c r="M54" s="25" t="n">
        <f aca="false">E54/$C54</f>
        <v>62.2303225806452</v>
      </c>
      <c r="N54" s="25" t="n">
        <f aca="false">G54/$C54</f>
        <v>64.9638387096774</v>
      </c>
      <c r="O54" s="27" t="n">
        <f aca="false">M54/$L54/1000000</f>
        <v>4.64565690295962E-005</v>
      </c>
      <c r="P54" s="27" t="n">
        <f aca="false">N54/$L54/1000000</f>
        <v>4.84972105605369E-005</v>
      </c>
      <c r="Q54" s="28" t="n">
        <f aca="false">IF(P54&gt;0.00415%,ROUND(P54-0.0041%,6),"")</f>
        <v>7E-006</v>
      </c>
    </row>
    <row r="55" customFormat="false" ht="12.75" hidden="false" customHeight="false" outlineLevel="0" collapsed="false">
      <c r="A55" s="0" t="n">
        <f aca="false">A54+1</f>
        <v>55</v>
      </c>
      <c r="B55" s="7" t="n">
        <v>35796</v>
      </c>
      <c r="C55" s="20" t="n">
        <f aca="false">DAY(EOMONTH(B55,0))</f>
        <v>31</v>
      </c>
      <c r="D55" s="21" t="n">
        <f aca="false">filings!M68</f>
        <v>4.8E-005</v>
      </c>
      <c r="E55" s="22" t="n">
        <f aca="false">filings!O68</f>
        <v>1780.483</v>
      </c>
      <c r="F55" s="22" t="n">
        <f aca="false">filings!P68</f>
        <v>-99.911</v>
      </c>
      <c r="G55" s="22" t="n">
        <f aca="false">filings!Q68</f>
        <v>1680.572</v>
      </c>
      <c r="H55" s="22" t="n">
        <f aca="false">filings!R68</f>
        <v>1919.217</v>
      </c>
      <c r="I55" s="22" t="n">
        <f aca="false">filings!S68</f>
        <v>279.8858125</v>
      </c>
      <c r="J55" s="22" t="n">
        <f aca="false">(H55-G55)</f>
        <v>238.645</v>
      </c>
      <c r="K55" s="25" t="n">
        <f aca="false">K56-J56</f>
        <v>-1469.404</v>
      </c>
      <c r="L55" s="26" t="n">
        <f aca="false">H55/D55/C55/1000000</f>
        <v>1.28979637096774</v>
      </c>
      <c r="M55" s="25" t="n">
        <f aca="false">E55/$C55</f>
        <v>57.434935483871</v>
      </c>
      <c r="N55" s="25" t="n">
        <f aca="false">G55/$C55</f>
        <v>54.212</v>
      </c>
      <c r="O55" s="27" t="n">
        <f aca="false">M55/$L55/1000000</f>
        <v>4.45302349864554E-005</v>
      </c>
      <c r="P55" s="27" t="n">
        <f aca="false">N55/$L55/1000000</f>
        <v>4.20314409470112E-005</v>
      </c>
      <c r="Q55" s="28" t="n">
        <f aca="false">IF(P55&gt;0.00415%,ROUND(P55-0.0041%,6),"")</f>
        <v>1E-006</v>
      </c>
    </row>
    <row r="56" customFormat="false" ht="12.75" hidden="false" customHeight="false" outlineLevel="0" collapsed="false">
      <c r="A56" s="17" t="n">
        <f aca="false">A55+1</f>
        <v>56</v>
      </c>
      <c r="B56" s="7" t="n">
        <v>35827</v>
      </c>
      <c r="C56" s="20" t="n">
        <f aca="false">DAY(EOMONTH(B56,0))</f>
        <v>28</v>
      </c>
      <c r="D56" s="21" t="n">
        <f aca="false">filings!M69</f>
        <v>4.8E-005</v>
      </c>
      <c r="E56" s="22" t="n">
        <f aca="false">filings!O69</f>
        <v>1682.54</v>
      </c>
      <c r="F56" s="22" t="n">
        <f aca="false">filings!P69</f>
        <v>-10.306</v>
      </c>
      <c r="G56" s="22" t="n">
        <f aca="false">filings!Q69</f>
        <v>1672.234</v>
      </c>
      <c r="H56" s="22" t="n">
        <f aca="false">filings!R69</f>
        <v>1805.737</v>
      </c>
      <c r="I56" s="22" t="n">
        <f aca="false">filings!S69</f>
        <v>263.336645833333</v>
      </c>
      <c r="J56" s="22" t="n">
        <f aca="false">(H56-G56)</f>
        <v>133.503</v>
      </c>
      <c r="K56" s="25" t="n">
        <f aca="false">K57-J57</f>
        <v>-1335.901</v>
      </c>
      <c r="L56" s="26" t="n">
        <f aca="false">H56/D56/C56/1000000</f>
        <v>1.34355431547619</v>
      </c>
      <c r="M56" s="25" t="n">
        <f aca="false">E56/$C56</f>
        <v>60.0907142857143</v>
      </c>
      <c r="N56" s="25" t="n">
        <f aca="false">G56/$C56</f>
        <v>59.7226428571429</v>
      </c>
      <c r="O56" s="27" t="n">
        <f aca="false">M56/$L56/1000000</f>
        <v>4.47251842322553E-005</v>
      </c>
      <c r="P56" s="27" t="n">
        <f aca="false">N56/$L56/1000000</f>
        <v>4.44512307163225E-005</v>
      </c>
      <c r="Q56" s="28" t="n">
        <f aca="false">IF(P56&gt;0.00415%,ROUND(P56-0.0041%,6),"")</f>
        <v>3E-006</v>
      </c>
    </row>
    <row r="57" customFormat="false" ht="12.75" hidden="false" customHeight="false" outlineLevel="0" collapsed="false">
      <c r="A57" s="0" t="n">
        <f aca="false">A56+1</f>
        <v>57</v>
      </c>
      <c r="B57" s="7" t="n">
        <v>35855</v>
      </c>
      <c r="C57" s="20" t="n">
        <f aca="false">DAY(EOMONTH(B57,0))</f>
        <v>31</v>
      </c>
      <c r="D57" s="21" t="n">
        <f aca="false">filings!M70</f>
        <v>4.5E-005</v>
      </c>
      <c r="E57" s="22" t="n">
        <f aca="false">filings!O70</f>
        <v>1986.875</v>
      </c>
      <c r="F57" s="22" t="n">
        <f aca="false">filings!P70</f>
        <v>-44.44</v>
      </c>
      <c r="G57" s="22" t="n">
        <f aca="false">filings!Q70</f>
        <v>1942.435</v>
      </c>
      <c r="H57" s="22" t="n">
        <f aca="false">filings!R70</f>
        <v>1924.862</v>
      </c>
      <c r="I57" s="22" t="n">
        <f aca="false">filings!S70</f>
        <v>299.422977777778</v>
      </c>
      <c r="J57" s="22" t="n">
        <f aca="false">(H57-G57)</f>
        <v>-17.5729999999999</v>
      </c>
      <c r="K57" s="25" t="n">
        <f aca="false">K58-J58</f>
        <v>-1353.474</v>
      </c>
      <c r="L57" s="26" t="n">
        <f aca="false">H57/D57/C57/1000000</f>
        <v>1.379829390681</v>
      </c>
      <c r="M57" s="25" t="n">
        <f aca="false">E57/$C57</f>
        <v>64.0927419354839</v>
      </c>
      <c r="N57" s="25" t="n">
        <f aca="false">G57/$C57</f>
        <v>62.6591935483871</v>
      </c>
      <c r="O57" s="27" t="n">
        <f aca="false">M57/$L57/1000000</f>
        <v>4.64497584761921E-005</v>
      </c>
      <c r="P57" s="27" t="n">
        <f aca="false">N57/$L57/1000000</f>
        <v>4.5410826854081E-005</v>
      </c>
      <c r="Q57" s="28" t="n">
        <f aca="false">IF(P57&gt;0.00415%,ROUND(P57-0.0041%,6),"")</f>
        <v>4E-006</v>
      </c>
    </row>
    <row r="58" customFormat="false" ht="12.75" hidden="false" customHeight="false" outlineLevel="0" collapsed="false">
      <c r="A58" s="17" t="n">
        <f aca="false">A57+1</f>
        <v>58</v>
      </c>
      <c r="B58" s="7" t="n">
        <v>35886</v>
      </c>
      <c r="C58" s="20" t="n">
        <f aca="false">DAY(EOMONTH(B58,0))</f>
        <v>30</v>
      </c>
      <c r="D58" s="21" t="n">
        <f aca="false">filings!M71</f>
        <v>4.3E-005</v>
      </c>
      <c r="E58" s="22" t="n">
        <f aca="false">filings!O71</f>
        <v>1942.135</v>
      </c>
      <c r="F58" s="22" t="n">
        <f aca="false">filings!P71</f>
        <v>16.253</v>
      </c>
      <c r="G58" s="22" t="n">
        <f aca="false">filings!Q71</f>
        <v>1958.388</v>
      </c>
      <c r="H58" s="22" t="n">
        <f aca="false">filings!R71</f>
        <v>1751.758</v>
      </c>
      <c r="I58" s="22" t="n">
        <f aca="false">filings!S71</f>
        <v>285.169906976744</v>
      </c>
      <c r="J58" s="22" t="n">
        <f aca="false">(H58-G58)</f>
        <v>-206.63</v>
      </c>
      <c r="K58" s="25" t="n">
        <f aca="false">K59-J59</f>
        <v>-1560.104</v>
      </c>
      <c r="L58" s="26" t="n">
        <f aca="false">H58/D58/C58/1000000</f>
        <v>1.3579519379845</v>
      </c>
      <c r="M58" s="25" t="n">
        <f aca="false">E58/$C58</f>
        <v>64.7378333333333</v>
      </c>
      <c r="N58" s="25" t="n">
        <f aca="false">G58/$C58</f>
        <v>65.2796</v>
      </c>
      <c r="O58" s="27" t="n">
        <f aca="false">M58/$L58/1000000</f>
        <v>4.76731403538617E-005</v>
      </c>
      <c r="P58" s="27" t="n">
        <f aca="false">N58/$L58/1000000</f>
        <v>4.8072098999976E-005</v>
      </c>
      <c r="Q58" s="28" t="n">
        <f aca="false">IF(P58&gt;0.00415%,ROUND(P58-0.0041%,6),"")</f>
        <v>7E-006</v>
      </c>
    </row>
    <row r="59" customFormat="false" ht="12.75" hidden="false" customHeight="false" outlineLevel="0" collapsed="false">
      <c r="A59" s="0" t="n">
        <f aca="false">A58+1</f>
        <v>59</v>
      </c>
      <c r="B59" s="7" t="n">
        <v>35916</v>
      </c>
      <c r="C59" s="20" t="n">
        <f aca="false">DAY(EOMONTH(B59,0))</f>
        <v>31</v>
      </c>
      <c r="D59" s="21" t="n">
        <f aca="false">filings!M72</f>
        <v>4.4E-005</v>
      </c>
      <c r="E59" s="22" t="n">
        <f aca="false">filings!O72</f>
        <v>1786.213</v>
      </c>
      <c r="F59" s="22" t="n">
        <f aca="false">filings!P72</f>
        <v>209.734</v>
      </c>
      <c r="G59" s="22" t="n">
        <f aca="false">filings!Q72</f>
        <v>1995.947</v>
      </c>
      <c r="H59" s="22" t="n">
        <f aca="false">filings!R72</f>
        <v>1763.697</v>
      </c>
      <c r="I59" s="22" t="n">
        <f aca="false">filings!S72</f>
        <v>280.588159090909</v>
      </c>
      <c r="J59" s="22" t="n">
        <f aca="false">(H59-G59)</f>
        <v>-232.25</v>
      </c>
      <c r="K59" s="25" t="n">
        <f aca="false">K60-J60</f>
        <v>-1792.354</v>
      </c>
      <c r="L59" s="26" t="n">
        <f aca="false">H59/D59/C59/1000000</f>
        <v>1.29303299120235</v>
      </c>
      <c r="M59" s="25" t="n">
        <f aca="false">E59/$C59</f>
        <v>57.6197741935484</v>
      </c>
      <c r="N59" s="25" t="n">
        <f aca="false">G59/$C59</f>
        <v>64.3853870967742</v>
      </c>
      <c r="O59" s="27" t="n">
        <f aca="false">M59/$L59/1000000</f>
        <v>4.45617200686966E-005</v>
      </c>
      <c r="P59" s="27" t="n">
        <f aca="false">N59/$L59/1000000</f>
        <v>4.9794079141712E-005</v>
      </c>
      <c r="Q59" s="28" t="n">
        <f aca="false">IF(P59&gt;0.00415%,ROUND(P59-0.0041%,6),"")</f>
        <v>9E-006</v>
      </c>
    </row>
    <row r="60" customFormat="false" ht="12.75" hidden="false" customHeight="false" outlineLevel="0" collapsed="false">
      <c r="A60" s="17" t="n">
        <f aca="false">A59+1</f>
        <v>60</v>
      </c>
      <c r="B60" s="7" t="n">
        <v>35947</v>
      </c>
      <c r="C60" s="20" t="n">
        <f aca="false">DAY(EOMONTH(B60,0))</f>
        <v>30</v>
      </c>
      <c r="D60" s="21" t="n">
        <f aca="false">filings!M73</f>
        <v>4.4E-005</v>
      </c>
      <c r="E60" s="22" t="n">
        <f aca="false">filings!O73</f>
        <v>1640.374</v>
      </c>
      <c r="F60" s="22" t="n">
        <f aca="false">filings!P73</f>
        <v>-48.986</v>
      </c>
      <c r="G60" s="22" t="n">
        <f aca="false">filings!Q73</f>
        <v>1591.388</v>
      </c>
      <c r="H60" s="22" t="n">
        <f aca="false">filings!R73</f>
        <v>1742.585</v>
      </c>
      <c r="I60" s="22" t="n">
        <f aca="false">filings!S73</f>
        <v>277.229431818182</v>
      </c>
      <c r="J60" s="22" t="n">
        <f aca="false">(H60-G60)</f>
        <v>151.197</v>
      </c>
      <c r="K60" s="25" t="n">
        <f aca="false">K61-J61</f>
        <v>-1641.157</v>
      </c>
      <c r="L60" s="26" t="n">
        <f aca="false">H60/D60/C60/1000000</f>
        <v>1.32014015151515</v>
      </c>
      <c r="M60" s="25" t="n">
        <f aca="false">E60/$C60</f>
        <v>54.6791333333333</v>
      </c>
      <c r="N60" s="25" t="n">
        <f aca="false">G60/$C60</f>
        <v>53.0462666666667</v>
      </c>
      <c r="O60" s="27" t="n">
        <f aca="false">M60/$L60/1000000</f>
        <v>4.14191881601184E-005</v>
      </c>
      <c r="P60" s="27" t="n">
        <f aca="false">N60/$L60/1000000</f>
        <v>4.01822992852572E-005</v>
      </c>
      <c r="Q60" s="28" t="str">
        <f aca="false">IF(P60&gt;0.00415%,ROUND(P60-0.0041%,6),"")</f>
        <v/>
      </c>
    </row>
    <row r="61" customFormat="false" ht="12.75" hidden="false" customHeight="false" outlineLevel="0" collapsed="false">
      <c r="A61" s="0" t="n">
        <f aca="false">A60+1</f>
        <v>61</v>
      </c>
      <c r="B61" s="7" t="n">
        <v>35977</v>
      </c>
      <c r="C61" s="20" t="n">
        <f aca="false">DAY(EOMONTH(B61,0))</f>
        <v>31</v>
      </c>
      <c r="D61" s="21" t="n">
        <f aca="false">filings!M74</f>
        <v>4.4E-005</v>
      </c>
      <c r="E61" s="22" t="n">
        <f aca="false">filings!O74</f>
        <v>1928.029</v>
      </c>
      <c r="F61" s="22" t="n">
        <f aca="false">filings!P74</f>
        <v>103.751</v>
      </c>
      <c r="G61" s="22" t="n">
        <f aca="false">filings!Q74</f>
        <v>2031.78</v>
      </c>
      <c r="H61" s="22" t="n">
        <f aca="false">filings!R74</f>
        <v>1798.757</v>
      </c>
      <c r="I61" s="22" t="n">
        <f aca="false">filings!S74</f>
        <v>286.182</v>
      </c>
      <c r="J61" s="22" t="n">
        <f aca="false">(H61-G61)</f>
        <v>-233.023</v>
      </c>
      <c r="K61" s="25" t="n">
        <f aca="false">K62-J62</f>
        <v>-1874.18</v>
      </c>
      <c r="L61" s="26" t="n">
        <f aca="false">H61/D61/C61/1000000</f>
        <v>1.31873680351906</v>
      </c>
      <c r="M61" s="25" t="n">
        <f aca="false">E61/$C61</f>
        <v>62.1944838709677</v>
      </c>
      <c r="N61" s="25" t="n">
        <f aca="false">G61/$C61</f>
        <v>65.5412903225807</v>
      </c>
      <c r="O61" s="27" t="n">
        <f aca="false">M61/$L61/1000000</f>
        <v>4.71621658734337E-005</v>
      </c>
      <c r="P61" s="27" t="n">
        <f aca="false">N61/$L61/1000000</f>
        <v>4.97000539817218E-005</v>
      </c>
      <c r="Q61" s="28" t="n">
        <f aca="false">IF(P61&gt;0.00415%,ROUND(P61-0.0041%,6),"")</f>
        <v>9E-006</v>
      </c>
    </row>
    <row r="62" customFormat="false" ht="12.75" hidden="false" customHeight="false" outlineLevel="0" collapsed="false">
      <c r="A62" s="17" t="n">
        <f aca="false">A61+1</f>
        <v>62</v>
      </c>
      <c r="B62" s="7" t="n">
        <v>36008</v>
      </c>
      <c r="C62" s="20" t="n">
        <f aca="false">DAY(EOMONTH(B62,0))</f>
        <v>31</v>
      </c>
      <c r="D62" s="21" t="n">
        <f aca="false">filings!M75</f>
        <v>4.8E-005</v>
      </c>
      <c r="E62" s="22" t="n">
        <f aca="false">filings!O75</f>
        <v>1939.057</v>
      </c>
      <c r="F62" s="22" t="n">
        <f aca="false">filings!P75</f>
        <v>-10.227</v>
      </c>
      <c r="G62" s="22" t="n">
        <f aca="false">filings!Q75</f>
        <v>1928.83</v>
      </c>
      <c r="H62" s="22" t="n">
        <f aca="false">filings!R75</f>
        <v>1947.445</v>
      </c>
      <c r="I62" s="22" t="n">
        <f aca="false">filings!S75</f>
        <v>283.937</v>
      </c>
      <c r="J62" s="22" t="n">
        <f aca="false">(H62-G62)</f>
        <v>18.615</v>
      </c>
      <c r="K62" s="25" t="n">
        <f aca="false">K63-J63</f>
        <v>-1855.565</v>
      </c>
      <c r="L62" s="26" t="n">
        <f aca="false">H62/D62/C62/1000000</f>
        <v>1.30876680107527</v>
      </c>
      <c r="M62" s="25" t="n">
        <f aca="false">E62/$C62</f>
        <v>62.5502258064516</v>
      </c>
      <c r="N62" s="25" t="n">
        <f aca="false">G62/$C62</f>
        <v>62.2203225806452</v>
      </c>
      <c r="O62" s="27" t="n">
        <f aca="false">M62/$L62/1000000</f>
        <v>4.77932552652322E-005</v>
      </c>
      <c r="P62" s="27" t="n">
        <f aca="false">N62/$L62/1000000</f>
        <v>4.75411834480563E-005</v>
      </c>
      <c r="Q62" s="28" t="n">
        <f aca="false">IF(P62&gt;0.00415%,ROUND(P62-0.0041%,6),"")</f>
        <v>7E-006</v>
      </c>
    </row>
    <row r="63" customFormat="false" ht="12.75" hidden="false" customHeight="false" outlineLevel="0" collapsed="false">
      <c r="A63" s="0" t="n">
        <f aca="false">A62+1</f>
        <v>63</v>
      </c>
      <c r="B63" s="7" t="n">
        <v>36039</v>
      </c>
      <c r="C63" s="20" t="n">
        <f aca="false">DAY(EOMONTH(B63,0))</f>
        <v>30</v>
      </c>
      <c r="D63" s="21" t="n">
        <f aca="false">filings!M76</f>
        <v>4.8E-005</v>
      </c>
      <c r="E63" s="22" t="n">
        <f aca="false">filings!O76</f>
        <v>1939.432</v>
      </c>
      <c r="F63" s="22" t="n">
        <f aca="false">filings!P76</f>
        <v>221.003</v>
      </c>
      <c r="G63" s="22" t="n">
        <f aca="false">filings!Q76</f>
        <v>2160.435</v>
      </c>
      <c r="H63" s="22" t="n">
        <f aca="false">filings!R76</f>
        <v>1927.23</v>
      </c>
      <c r="I63" s="22" t="n">
        <f aca="false">filings!S76</f>
        <v>280.99</v>
      </c>
      <c r="J63" s="22" t="n">
        <f aca="false">(H63-G63)</f>
        <v>-233.205</v>
      </c>
      <c r="K63" s="25" t="n">
        <f aca="false">K64-J64</f>
        <v>-2088.77</v>
      </c>
      <c r="L63" s="26" t="n">
        <f aca="false">H63/D63/C63/1000000</f>
        <v>1.33835416666667</v>
      </c>
      <c r="M63" s="25" t="n">
        <f aca="false">E63/$C63</f>
        <v>64.6477333333333</v>
      </c>
      <c r="N63" s="25" t="n">
        <f aca="false">G63/$C63</f>
        <v>72.0145</v>
      </c>
      <c r="O63" s="27" t="n">
        <f aca="false">M63/$L63/1000000</f>
        <v>4.83039056054545E-005</v>
      </c>
      <c r="P63" s="27" t="n">
        <f aca="false">N63/$L63/1000000</f>
        <v>5.38082532961816E-005</v>
      </c>
      <c r="Q63" s="28" t="n">
        <f aca="false">IF(P63&gt;0.00415%,ROUND(P63-0.0041%,6),"")</f>
        <v>1.3E-005</v>
      </c>
    </row>
    <row r="64" customFormat="false" ht="12.75" hidden="false" customHeight="false" outlineLevel="0" collapsed="false">
      <c r="A64" s="17" t="n">
        <f aca="false">A63+1</f>
        <v>64</v>
      </c>
      <c r="B64" s="7" t="n">
        <v>36069</v>
      </c>
      <c r="C64" s="20" t="n">
        <f aca="false">DAY(EOMONTH(B64,0))</f>
        <v>31</v>
      </c>
      <c r="D64" s="21" t="n">
        <f aca="false">filings!M77</f>
        <v>4.8E-005</v>
      </c>
      <c r="E64" s="22" t="n">
        <f aca="false">filings!O77</f>
        <v>1855.204</v>
      </c>
      <c r="F64" s="22" t="n">
        <f aca="false">filings!P77</f>
        <v>-353.259</v>
      </c>
      <c r="G64" s="22" t="n">
        <f aca="false">filings!Q77</f>
        <v>1501.945</v>
      </c>
      <c r="H64" s="22" t="n">
        <f aca="false">filings!R77</f>
        <v>1920.366</v>
      </c>
      <c r="I64" s="22" t="n">
        <f aca="false">filings!S77</f>
        <v>279.989</v>
      </c>
      <c r="J64" s="22" t="n">
        <f aca="false">(H64-G64)</f>
        <v>418.421</v>
      </c>
      <c r="K64" s="25" t="n">
        <f aca="false">K65-J65</f>
        <v>-1670.349</v>
      </c>
      <c r="L64" s="26" t="n">
        <f aca="false">H64/D64/C64/1000000</f>
        <v>1.2905685483871</v>
      </c>
      <c r="M64" s="25" t="n">
        <f aca="false">E64/$C64</f>
        <v>59.8452903225806</v>
      </c>
      <c r="N64" s="25" t="n">
        <f aca="false">G64/$C64</f>
        <v>48.4498387096774</v>
      </c>
      <c r="O64" s="27" t="n">
        <f aca="false">M64/$L64/1000000</f>
        <v>4.63712604784713E-005</v>
      </c>
      <c r="P64" s="27" t="n">
        <f aca="false">N64/$L64/1000000</f>
        <v>3.75414686575372E-005</v>
      </c>
      <c r="Q64" s="28" t="str">
        <f aca="false">IF(P64&gt;0.00415%,ROUND(P64-0.0041%,6),"")</f>
        <v/>
      </c>
    </row>
    <row r="65" customFormat="false" ht="12.75" hidden="false" customHeight="false" outlineLevel="0" collapsed="false">
      <c r="A65" s="0" t="n">
        <f aca="false">A64+1</f>
        <v>65</v>
      </c>
      <c r="B65" s="7" t="n">
        <v>36100</v>
      </c>
      <c r="C65" s="20" t="n">
        <f aca="false">DAY(EOMONTH(B65,0))</f>
        <v>30</v>
      </c>
      <c r="D65" s="21" t="n">
        <f aca="false">filings!M78</f>
        <v>4.8E-005</v>
      </c>
      <c r="E65" s="22" t="n">
        <f aca="false">filings!O78</f>
        <v>1792.65</v>
      </c>
      <c r="F65" s="22" t="n">
        <f aca="false">filings!P78</f>
        <v>-73.004</v>
      </c>
      <c r="G65" s="22" t="n">
        <f aca="false">filings!Q78</f>
        <v>1719.646</v>
      </c>
      <c r="H65" s="22" t="n">
        <f aca="false">filings!R78</f>
        <v>1907.647</v>
      </c>
      <c r="I65" s="22" t="n">
        <f aca="false">filings!S78</f>
        <v>278.135</v>
      </c>
      <c r="J65" s="22" t="n">
        <f aca="false">(H65-G65)</f>
        <v>188.001</v>
      </c>
      <c r="K65" s="25" t="n">
        <f aca="false">K66-J66</f>
        <v>-1482.348</v>
      </c>
      <c r="L65" s="26" t="n">
        <f aca="false">H65/D65/C65/1000000</f>
        <v>1.32475486111111</v>
      </c>
      <c r="M65" s="25" t="n">
        <f aca="false">E65/$C65</f>
        <v>59.755</v>
      </c>
      <c r="N65" s="25" t="n">
        <f aca="false">G65/$C65</f>
        <v>57.3215333333333</v>
      </c>
      <c r="O65" s="27" t="n">
        <f aca="false">M65/$L65/1000000</f>
        <v>4.51064583751606E-005</v>
      </c>
      <c r="P65" s="27" t="n">
        <f aca="false">N65/$L65/1000000</f>
        <v>4.32695399096374E-005</v>
      </c>
      <c r="Q65" s="28" t="n">
        <f aca="false">IF(P65&gt;0.00415%,ROUND(P65-0.0041%,6),"")</f>
        <v>2E-006</v>
      </c>
    </row>
    <row r="66" customFormat="false" ht="12.75" hidden="false" customHeight="false" outlineLevel="0" collapsed="false">
      <c r="A66" s="17" t="n">
        <f aca="false">A65+1</f>
        <v>66</v>
      </c>
      <c r="B66" s="7" t="n">
        <v>36130</v>
      </c>
      <c r="C66" s="20" t="n">
        <f aca="false">DAY(EOMONTH(B66,0))</f>
        <v>31</v>
      </c>
      <c r="D66" s="21" t="n">
        <f aca="false">filings!M79</f>
        <v>4.8E-005</v>
      </c>
      <c r="E66" s="22" t="n">
        <f aca="false">filings!O79</f>
        <v>1811.33</v>
      </c>
      <c r="F66" s="22" t="n">
        <f aca="false">filings!P79</f>
        <v>-68.061</v>
      </c>
      <c r="G66" s="22" t="n">
        <f aca="false">filings!Q79</f>
        <v>1743.269</v>
      </c>
      <c r="H66" s="22" t="n">
        <f aca="false">filings!R79</f>
        <v>1970.166</v>
      </c>
      <c r="I66" s="22" t="n">
        <f aca="false">filings!S79</f>
        <v>287.25</v>
      </c>
      <c r="J66" s="22" t="n">
        <f aca="false">(H66-G66)</f>
        <v>226.897</v>
      </c>
      <c r="K66" s="25" t="n">
        <f aca="false">K67-J67</f>
        <v>-1255.451</v>
      </c>
      <c r="L66" s="26" t="n">
        <f aca="false">H66/D66/C66/1000000</f>
        <v>1.32403629032258</v>
      </c>
      <c r="M66" s="25" t="n">
        <f aca="false">E66/$C66</f>
        <v>58.43</v>
      </c>
      <c r="N66" s="25" t="n">
        <f aca="false">G66/$C66</f>
        <v>56.2344838709677</v>
      </c>
      <c r="O66" s="27" t="n">
        <f aca="false">M66/$L66/1000000</f>
        <v>4.41302103477575E-005</v>
      </c>
      <c r="P66" s="27" t="n">
        <f aca="false">N66/$L66/1000000</f>
        <v>4.24720109879066E-005</v>
      </c>
      <c r="Q66" s="28" t="n">
        <f aca="false">IF(P66&gt;0.00415%,ROUND(P66-0.0041%,6),"")</f>
        <v>1E-006</v>
      </c>
    </row>
    <row r="67" customFormat="false" ht="12.75" hidden="false" customHeight="false" outlineLevel="0" collapsed="false">
      <c r="A67" s="0" t="n">
        <f aca="false">A66+1</f>
        <v>67</v>
      </c>
      <c r="B67" s="7" t="n">
        <v>36161</v>
      </c>
      <c r="C67" s="20" t="n">
        <f aca="false">DAY(EOMONTH(B67,0))</f>
        <v>31</v>
      </c>
      <c r="D67" s="21" t="n">
        <f aca="false">filings!M80</f>
        <v>4.8E-005</v>
      </c>
      <c r="E67" s="22" t="n">
        <f aca="false">filings!O80</f>
        <v>1485.582</v>
      </c>
      <c r="F67" s="22" t="n">
        <f aca="false">filings!P80</f>
        <v>-157.213</v>
      </c>
      <c r="G67" s="22" t="n">
        <f aca="false">filings!Q80</f>
        <v>1328.369</v>
      </c>
      <c r="H67" s="22" t="n">
        <f aca="false">filings!R80</f>
        <v>1876.355</v>
      </c>
      <c r="I67" s="22" t="n">
        <f aca="false">filings!S80</f>
        <v>351.817</v>
      </c>
      <c r="J67" s="22" t="n">
        <f aca="false">(H67-G67)</f>
        <v>547.986</v>
      </c>
      <c r="K67" s="25" t="n">
        <f aca="false">K68-J68</f>
        <v>-707.465</v>
      </c>
      <c r="L67" s="26" t="n">
        <f aca="false">H67/D67/C67/1000000</f>
        <v>1.26099126344086</v>
      </c>
      <c r="M67" s="25" t="n">
        <f aca="false">E67/$C67</f>
        <v>47.922</v>
      </c>
      <c r="N67" s="25" t="n">
        <f aca="false">G67/$C67</f>
        <v>42.8506129032258</v>
      </c>
      <c r="O67" s="27" t="n">
        <f aca="false">M67/$L67/1000000</f>
        <v>3.80034353840291E-005</v>
      </c>
      <c r="P67" s="27" t="n">
        <f aca="false">N67/$L67/1000000</f>
        <v>3.39816889661072E-005</v>
      </c>
      <c r="Q67" s="28" t="str">
        <f aca="false">IF(P67&gt;0.00415%,ROUND(P67-0.0041%,6),"")</f>
        <v/>
      </c>
    </row>
    <row r="68" customFormat="false" ht="12.75" hidden="false" customHeight="false" outlineLevel="0" collapsed="false">
      <c r="A68" s="17" t="n">
        <f aca="false">A67+1</f>
        <v>68</v>
      </c>
      <c r="B68" s="7" t="n">
        <v>36192</v>
      </c>
      <c r="C68" s="20" t="n">
        <f aca="false">DAY(EOMONTH(B68,0))</f>
        <v>28</v>
      </c>
      <c r="D68" s="21" t="n">
        <f aca="false">filings!M81</f>
        <v>4.2E-005</v>
      </c>
      <c r="E68" s="22" t="n">
        <f aca="false">filings!O81</f>
        <v>1271.339</v>
      </c>
      <c r="F68" s="22" t="n">
        <f aca="false">filings!P81</f>
        <v>-340.498</v>
      </c>
      <c r="G68" s="22" t="n">
        <f aca="false">filings!Q81</f>
        <v>930.841</v>
      </c>
      <c r="H68" s="22" t="n">
        <f aca="false">filings!R81</f>
        <v>1467.979</v>
      </c>
      <c r="I68" s="22" t="n">
        <f aca="false">filings!S81</f>
        <v>314.588</v>
      </c>
      <c r="J68" s="22" t="n">
        <f aca="false">(H68-G68)</f>
        <v>537.138</v>
      </c>
      <c r="K68" s="25" t="n">
        <f aca="false">K69-J69</f>
        <v>-170.327</v>
      </c>
      <c r="L68" s="26" t="n">
        <f aca="false">H68/D68/C68/1000000</f>
        <v>1.24828146258503</v>
      </c>
      <c r="M68" s="25" t="n">
        <f aca="false">E68/$C68</f>
        <v>45.4049642857143</v>
      </c>
      <c r="N68" s="25" t="n">
        <f aca="false">G68/$C68</f>
        <v>33.2443214285714</v>
      </c>
      <c r="O68" s="27" t="n">
        <f aca="false">M68/$L68/1000000</f>
        <v>3.63739794642839E-005</v>
      </c>
      <c r="P68" s="27" t="n">
        <f aca="false">N68/$L68/1000000</f>
        <v>2.66320717121975E-005</v>
      </c>
      <c r="Q68" s="28" t="str">
        <f aca="false">IF(P68&gt;0.00415%,ROUND(P68-0.0041%,6),"")</f>
        <v/>
      </c>
    </row>
    <row r="69" customFormat="false" ht="12.75" hidden="false" customHeight="false" outlineLevel="0" collapsed="false">
      <c r="A69" s="0" t="n">
        <f aca="false">A68+1</f>
        <v>69</v>
      </c>
      <c r="B69" s="7" t="n">
        <v>36220</v>
      </c>
      <c r="C69" s="20" t="n">
        <f aca="false">DAY(EOMONTH(B69,0))</f>
        <v>31</v>
      </c>
      <c r="D69" s="21" t="n">
        <f aca="false">filings!M82</f>
        <v>3.6E-005</v>
      </c>
      <c r="E69" s="22" t="n">
        <f aca="false">filings!O82</f>
        <v>1185.685</v>
      </c>
      <c r="F69" s="22" t="n">
        <f aca="false">filings!P82</f>
        <v>-305.107</v>
      </c>
      <c r="G69" s="22" t="n">
        <f aca="false">filings!Q82</f>
        <v>880.578</v>
      </c>
      <c r="H69" s="22" t="n">
        <f aca="false">filings!R82</f>
        <v>1297.914</v>
      </c>
      <c r="I69" s="22" t="n">
        <f aca="false">filings!S82</f>
        <v>324.479</v>
      </c>
      <c r="J69" s="22" t="n">
        <f aca="false">(H69-G69)</f>
        <v>417.336</v>
      </c>
      <c r="K69" s="25" t="n">
        <f aca="false">K70-J70</f>
        <v>247.009</v>
      </c>
      <c r="L69" s="26" t="n">
        <f aca="false">H69/D69/C69/1000000</f>
        <v>1.16300537634409</v>
      </c>
      <c r="M69" s="25" t="n">
        <f aca="false">E69/$C69</f>
        <v>38.2479032258064</v>
      </c>
      <c r="N69" s="25" t="n">
        <f aca="false">G69/$C69</f>
        <v>28.4057419354839</v>
      </c>
      <c r="O69" s="27" t="n">
        <f aca="false">M69/$L69/1000000</f>
        <v>3.28871250329375E-005</v>
      </c>
      <c r="P69" s="27" t="n">
        <f aca="false">N69/$L69/1000000</f>
        <v>2.44244287371891E-005</v>
      </c>
      <c r="Q69" s="28" t="str">
        <f aca="false">IF(P69&gt;0.00415%,ROUND(P69-0.0041%,6),"")</f>
        <v/>
      </c>
    </row>
    <row r="70" customFormat="false" ht="12.75" hidden="false" customHeight="false" outlineLevel="0" collapsed="false">
      <c r="A70" s="17" t="n">
        <f aca="false">A69+1</f>
        <v>70</v>
      </c>
      <c r="B70" s="7" t="n">
        <v>36251</v>
      </c>
      <c r="C70" s="20" t="n">
        <f aca="false">DAY(EOMONTH(B70,0))</f>
        <v>30</v>
      </c>
      <c r="D70" s="21" t="n">
        <f aca="false">filings!M83</f>
        <v>3.5E-005</v>
      </c>
      <c r="E70" s="22" t="n">
        <f aca="false">filings!O83</f>
        <v>1517.31</v>
      </c>
      <c r="F70" s="22" t="n">
        <f aca="false">filings!P83</f>
        <v>63.145</v>
      </c>
      <c r="G70" s="22" t="n">
        <f aca="false">filings!Q83</f>
        <v>1580.455</v>
      </c>
      <c r="H70" s="22" t="n">
        <f aca="false">filings!R83</f>
        <v>1318.643</v>
      </c>
      <c r="I70" s="22" t="n">
        <f aca="false">filings!S83</f>
        <v>339.023</v>
      </c>
      <c r="J70" s="22" t="n">
        <f aca="false">(H70-G70)</f>
        <v>-261.812</v>
      </c>
      <c r="K70" s="25" t="n">
        <f aca="false">K71-J71</f>
        <v>-14.8030000000001</v>
      </c>
      <c r="L70" s="26" t="n">
        <f aca="false">H70/D70/C70/1000000</f>
        <v>1.25585047619048</v>
      </c>
      <c r="M70" s="25" t="n">
        <f aca="false">E70/$C70</f>
        <v>50.577</v>
      </c>
      <c r="N70" s="25" t="n">
        <f aca="false">G70/$C70</f>
        <v>52.6818333333333</v>
      </c>
      <c r="O70" s="27" t="n">
        <f aca="false">M70/$L70/1000000</f>
        <v>4.02731065193536E-005</v>
      </c>
      <c r="P70" s="27" t="n">
        <f aca="false">N70/$L70/1000000</f>
        <v>4.19491287634333E-005</v>
      </c>
      <c r="Q70" s="28" t="n">
        <f aca="false">IF(P70&gt;0.00415%,ROUND(P70-0.0041%,6),"")</f>
        <v>1E-006</v>
      </c>
    </row>
    <row r="71" customFormat="false" ht="12.75" hidden="false" customHeight="false" outlineLevel="0" collapsed="false">
      <c r="A71" s="0" t="n">
        <f aca="false">A70+1</f>
        <v>71</v>
      </c>
      <c r="B71" s="7" t="n">
        <v>36281</v>
      </c>
      <c r="C71" s="20" t="n">
        <f aca="false">DAY(EOMONTH(B71,0))</f>
        <v>31</v>
      </c>
      <c r="D71" s="21" t="n">
        <f aca="false">filings!M84</f>
        <v>3.5E-005</v>
      </c>
      <c r="E71" s="22" t="n">
        <f aca="false">filings!O84</f>
        <v>1417.01</v>
      </c>
      <c r="F71" s="22" t="n">
        <f aca="false">filings!P84</f>
        <v>-73.617</v>
      </c>
      <c r="G71" s="22" t="n">
        <f aca="false">filings!Q84</f>
        <v>1343.393</v>
      </c>
      <c r="H71" s="22" t="n">
        <f aca="false">filings!R84</f>
        <v>1283.991</v>
      </c>
      <c r="I71" s="22" t="n">
        <f aca="false">filings!S84</f>
        <v>330.114</v>
      </c>
      <c r="J71" s="22" t="n">
        <f aca="false">(H71-G71)</f>
        <v>-59.402</v>
      </c>
      <c r="K71" s="25" t="n">
        <f aca="false">K72-J72</f>
        <v>-74.2050000000002</v>
      </c>
      <c r="L71" s="26" t="n">
        <f aca="false">H71/D71/C71/1000000</f>
        <v>1.18340184331797</v>
      </c>
      <c r="M71" s="25" t="n">
        <f aca="false">E71/$C71</f>
        <v>45.71</v>
      </c>
      <c r="N71" s="25" t="n">
        <f aca="false">G71/$C71</f>
        <v>43.3352580645161</v>
      </c>
      <c r="O71" s="27" t="n">
        <f aca="false">M71/$L71/1000000</f>
        <v>3.86259327362887E-005</v>
      </c>
      <c r="P71" s="27" t="n">
        <f aca="false">N71/$L71/1000000</f>
        <v>3.66192247453448E-005</v>
      </c>
      <c r="Q71" s="28" t="str">
        <f aca="false">IF(P71&gt;0.00415%,ROUND(P71-0.0041%,6),"")</f>
        <v/>
      </c>
    </row>
    <row r="72" customFormat="false" ht="12.75" hidden="false" customHeight="false" outlineLevel="0" collapsed="false">
      <c r="A72" s="17" t="n">
        <f aca="false">A71+1</f>
        <v>72</v>
      </c>
      <c r="B72" s="7" t="n">
        <v>36312</v>
      </c>
      <c r="C72" s="20" t="n">
        <f aca="false">DAY(EOMONTH(B72,0))</f>
        <v>30</v>
      </c>
      <c r="D72" s="21" t="n">
        <f aca="false">filings!M85</f>
        <v>3.8E-005</v>
      </c>
      <c r="E72" s="22" t="n">
        <f aca="false">filings!O85</f>
        <v>1059.406</v>
      </c>
      <c r="F72" s="22" t="n">
        <f aca="false">filings!P85</f>
        <v>-87.925</v>
      </c>
      <c r="G72" s="22" t="n">
        <f aca="false">filings!Q85</f>
        <v>971.481</v>
      </c>
      <c r="H72" s="22" t="n">
        <f aca="false">filings!R85</f>
        <v>1284.601</v>
      </c>
      <c r="I72" s="22" t="n">
        <f aca="false">filings!S85</f>
        <v>304.194</v>
      </c>
      <c r="J72" s="22" t="n">
        <f aca="false">(H72-G72)</f>
        <v>313.12</v>
      </c>
      <c r="K72" s="25" t="n">
        <f aca="false">K73-J73</f>
        <v>238.915</v>
      </c>
      <c r="L72" s="26" t="n">
        <f aca="false">H72/D72/C72/1000000</f>
        <v>1.12684298245614</v>
      </c>
      <c r="M72" s="25" t="n">
        <f aca="false">E72/$C72</f>
        <v>35.3135333333333</v>
      </c>
      <c r="N72" s="25" t="n">
        <f aca="false">G72/$C72</f>
        <v>32.3827</v>
      </c>
      <c r="O72" s="27" t="n">
        <f aca="false">M72/$L72/1000000</f>
        <v>3.13384685205756E-005</v>
      </c>
      <c r="P72" s="27" t="n">
        <f aca="false">N72/$L72/1000000</f>
        <v>2.8737544186872E-005</v>
      </c>
      <c r="Q72" s="28" t="str">
        <f aca="false">IF(P72&gt;0.00415%,ROUND(P72-0.0041%,6),"")</f>
        <v/>
      </c>
    </row>
    <row r="73" customFormat="false" ht="12.75" hidden="false" customHeight="false" outlineLevel="0" collapsed="false">
      <c r="A73" s="0" t="n">
        <f aca="false">A72+1</f>
        <v>73</v>
      </c>
      <c r="B73" s="7" t="n">
        <v>36342</v>
      </c>
      <c r="C73" s="20" t="n">
        <f aca="false">DAY(EOMONTH(B73,0))</f>
        <v>31</v>
      </c>
      <c r="D73" s="21" t="n">
        <f aca="false">filings!M86</f>
        <v>3E-005</v>
      </c>
      <c r="E73" s="22" t="n">
        <f aca="false">filings!O86</f>
        <v>1325.959</v>
      </c>
      <c r="F73" s="22" t="n">
        <f aca="false">filings!P86</f>
        <v>-99.841</v>
      </c>
      <c r="G73" s="22" t="n">
        <f aca="false">filings!Q86</f>
        <v>1226.118</v>
      </c>
      <c r="H73" s="22" t="n">
        <f aca="false">filings!R86</f>
        <v>1096.718</v>
      </c>
      <c r="I73" s="22" t="n">
        <f aca="false">filings!S86</f>
        <v>-36.521</v>
      </c>
      <c r="J73" s="22" t="n">
        <f aca="false">(H73-G73)</f>
        <v>-129.4</v>
      </c>
      <c r="K73" s="25" t="n">
        <f aca="false">K74-J74</f>
        <v>109.515</v>
      </c>
      <c r="L73" s="26" t="n">
        <f aca="false">H73/D73/C73/1000000</f>
        <v>1.17926666666667</v>
      </c>
      <c r="M73" s="25" t="n">
        <f aca="false">E73/$C73</f>
        <v>42.7728709677419</v>
      </c>
      <c r="N73" s="25" t="n">
        <f aca="false">G73/$C73</f>
        <v>39.5521935483871</v>
      </c>
      <c r="O73" s="27" t="n">
        <f aca="false">M73/$L73/1000000</f>
        <v>3.62707368712832E-005</v>
      </c>
      <c r="P73" s="27" t="n">
        <f aca="false">N73/$L73/1000000</f>
        <v>3.35396519433437E-005</v>
      </c>
      <c r="Q73" s="28" t="str">
        <f aca="false">IF(P73&gt;0.00415%,ROUND(P73-0.0041%,6),"")</f>
        <v/>
      </c>
    </row>
    <row r="74" customFormat="false" ht="12.75" hidden="false" customHeight="false" outlineLevel="0" collapsed="false">
      <c r="A74" s="17" t="n">
        <f aca="false">A73+1</f>
        <v>74</v>
      </c>
      <c r="B74" s="7" t="n">
        <v>36373</v>
      </c>
      <c r="C74" s="20" t="n">
        <f aca="false">DAY(EOMONTH(B74,0))</f>
        <v>31</v>
      </c>
      <c r="D74" s="21" t="n">
        <f aca="false">filings!M87</f>
        <v>3E-005</v>
      </c>
      <c r="E74" s="22" t="n">
        <f aca="false">filings!O87</f>
        <v>1506.546</v>
      </c>
      <c r="F74" s="22" t="n">
        <f aca="false">filings!P87</f>
        <v>-70.756</v>
      </c>
      <c r="G74" s="22" t="n">
        <f aca="false">filings!Q87</f>
        <v>1435.79</v>
      </c>
      <c r="H74" s="22" t="n">
        <f aca="false">filings!R87</f>
        <v>1134.819</v>
      </c>
      <c r="I74" s="22" t="n">
        <f aca="false">filings!S87</f>
        <v>-37.789</v>
      </c>
      <c r="J74" s="22" t="n">
        <f aca="false">(H74-G74)</f>
        <v>-300.971</v>
      </c>
      <c r="K74" s="25" t="n">
        <f aca="false">K75-J75</f>
        <v>-191.456</v>
      </c>
      <c r="L74" s="26" t="n">
        <f aca="false">H74/D74/C74/1000000</f>
        <v>1.22023548387097</v>
      </c>
      <c r="M74" s="25" t="n">
        <f aca="false">E74/$C74</f>
        <v>48.5982580645161</v>
      </c>
      <c r="N74" s="25" t="n">
        <f aca="false">G74/$C74</f>
        <v>46.3158064516129</v>
      </c>
      <c r="O74" s="27" t="n">
        <f aca="false">M74/$L74/1000000</f>
        <v>3.98269503771086E-005</v>
      </c>
      <c r="P74" s="27" t="n">
        <f aca="false">N74/$L74/1000000</f>
        <v>3.79564494425983E-005</v>
      </c>
      <c r="Q74" s="28" t="str">
        <f aca="false">IF(P74&gt;0.00415%,ROUND(P74-0.0041%,6),"")</f>
        <v/>
      </c>
    </row>
    <row r="75" customFormat="false" ht="12.75" hidden="false" customHeight="false" outlineLevel="0" collapsed="false">
      <c r="A75" s="0" t="n">
        <f aca="false">A74+1</f>
        <v>75</v>
      </c>
      <c r="B75" s="7" t="n">
        <v>36404</v>
      </c>
      <c r="C75" s="20" t="n">
        <f aca="false">DAY(EOMONTH(B75,0))</f>
        <v>30</v>
      </c>
      <c r="D75" s="21" t="n">
        <f aca="false">filings!M88</f>
        <v>4E-005</v>
      </c>
      <c r="E75" s="22" t="n">
        <f aca="false">filings!O88</f>
        <v>1808.964</v>
      </c>
      <c r="F75" s="22" t="n">
        <f aca="false">filings!P88</f>
        <v>81.646</v>
      </c>
      <c r="G75" s="22" t="n">
        <f aca="false">filings!Q88</f>
        <v>1890.61</v>
      </c>
      <c r="H75" s="22" t="n">
        <f aca="false">filings!R88</f>
        <v>1544.004</v>
      </c>
      <c r="I75" s="22" t="n">
        <f aca="false">filings!S88</f>
        <v>-38.6</v>
      </c>
      <c r="J75" s="22" t="n">
        <f aca="false">(H75-G75)</f>
        <v>-346.606</v>
      </c>
      <c r="K75" s="25" t="n">
        <f aca="false">K76-J76</f>
        <v>-538.062</v>
      </c>
      <c r="L75" s="26" t="n">
        <f aca="false">H75/D75/C75/1000000</f>
        <v>1.28667</v>
      </c>
      <c r="M75" s="25" t="n">
        <f aca="false">E75/$C75</f>
        <v>60.2988</v>
      </c>
      <c r="N75" s="25" t="n">
        <f aca="false">G75/$C75</f>
        <v>63.0203333333333</v>
      </c>
      <c r="O75" s="27" t="n">
        <f aca="false">M75/$L75/1000000</f>
        <v>4.68642309216816E-005</v>
      </c>
      <c r="P75" s="27" t="n">
        <f aca="false">N75/$L75/1000000</f>
        <v>4.89794067891016E-005</v>
      </c>
      <c r="Q75" s="28" t="n">
        <f aca="false">IF(P75&gt;0.00415%,ROUND(P75-0.0041%,6),"")</f>
        <v>8E-006</v>
      </c>
    </row>
    <row r="76" customFormat="false" ht="12.75" hidden="false" customHeight="false" outlineLevel="0" collapsed="false">
      <c r="A76" s="17" t="n">
        <f aca="false">A75+1</f>
        <v>76</v>
      </c>
      <c r="B76" s="7" t="n">
        <v>36434</v>
      </c>
      <c r="C76" s="20" t="n">
        <f aca="false">DAY(EOMONTH(B76,0))</f>
        <v>31</v>
      </c>
      <c r="D76" s="21" t="n">
        <f aca="false">filings!M89</f>
        <v>4E-005</v>
      </c>
      <c r="E76" s="22" t="n">
        <f aca="false">filings!O89</f>
        <v>1919.318</v>
      </c>
      <c r="F76" s="22" t="n">
        <f aca="false">filings!P89</f>
        <v>224.085</v>
      </c>
      <c r="G76" s="22" t="n">
        <f aca="false">filings!Q89</f>
        <v>2143.403</v>
      </c>
      <c r="H76" s="22" t="n">
        <f aca="false">filings!R89</f>
        <v>1594.875</v>
      </c>
      <c r="I76" s="22" t="n">
        <f aca="false">filings!S89</f>
        <v>-39.872</v>
      </c>
      <c r="J76" s="22" t="n">
        <f aca="false">(H76-G76)</f>
        <v>-548.528</v>
      </c>
      <c r="K76" s="25" t="n">
        <f aca="false">K77-J77</f>
        <v>-1086.59</v>
      </c>
      <c r="L76" s="26" t="n">
        <f aca="false">H76/D76/C76/1000000</f>
        <v>1.28618951612903</v>
      </c>
      <c r="M76" s="25" t="n">
        <f aca="false">E76/$C76</f>
        <v>61.9134838709677</v>
      </c>
      <c r="N76" s="25" t="n">
        <f aca="false">G76/$C76</f>
        <v>69.1420322580645</v>
      </c>
      <c r="O76" s="27" t="n">
        <f aca="false">M76/$L76/1000000</f>
        <v>4.81371392742378E-005</v>
      </c>
      <c r="P76" s="27" t="n">
        <f aca="false">N76/$L76/1000000</f>
        <v>5.3757266243436E-005</v>
      </c>
      <c r="Q76" s="28" t="n">
        <f aca="false">IF(P76&gt;0.00415%,ROUND(P76-0.0041%,6),"")</f>
        <v>1.3E-005</v>
      </c>
    </row>
    <row r="77" customFormat="false" ht="12.75" hidden="false" customHeight="false" outlineLevel="0" collapsed="false">
      <c r="A77" s="0" t="n">
        <f aca="false">A76+1</f>
        <v>77</v>
      </c>
      <c r="B77" s="7" t="n">
        <v>36465</v>
      </c>
      <c r="C77" s="20" t="n">
        <f aca="false">DAY(EOMONTH(B77,0))</f>
        <v>30</v>
      </c>
      <c r="D77" s="21" t="n">
        <f aca="false">filings!M90</f>
        <v>4E-005</v>
      </c>
      <c r="E77" s="22" t="n">
        <f aca="false">filings!O90</f>
        <v>1659.502</v>
      </c>
      <c r="F77" s="22" t="n">
        <f aca="false">filings!P90</f>
        <v>0.934</v>
      </c>
      <c r="G77" s="22" t="n">
        <f aca="false">filings!Q90</f>
        <v>1660.436</v>
      </c>
      <c r="H77" s="22" t="n">
        <f aca="false">filings!R90</f>
        <v>1542.469</v>
      </c>
      <c r="I77" s="22" t="n">
        <f aca="false">filings!S90</f>
        <v>-38.562</v>
      </c>
      <c r="J77" s="22" t="n">
        <f aca="false">(H77-G77)</f>
        <v>-117.967</v>
      </c>
      <c r="K77" s="25" t="n">
        <f aca="false">K78-J78</f>
        <v>-1204.557</v>
      </c>
      <c r="L77" s="26" t="n">
        <f aca="false">H77/D77/C77/1000000</f>
        <v>1.28539083333333</v>
      </c>
      <c r="M77" s="25" t="n">
        <f aca="false">E77/$C77</f>
        <v>55.3167333333333</v>
      </c>
      <c r="N77" s="25" t="n">
        <f aca="false">G77/$C77</f>
        <v>55.3478666666667</v>
      </c>
      <c r="O77" s="27" t="n">
        <f aca="false">M77/$L77/1000000</f>
        <v>4.30349524042298E-005</v>
      </c>
      <c r="P77" s="27" t="n">
        <f aca="false">N77/$L77/1000000</f>
        <v>4.30591733123972E-005</v>
      </c>
      <c r="Q77" s="28" t="n">
        <f aca="false">IF(P77&gt;0.00415%,ROUND(P77-0.0041%,6),"")</f>
        <v>2E-006</v>
      </c>
    </row>
    <row r="78" customFormat="false" ht="12.75" hidden="false" customHeight="false" outlineLevel="0" collapsed="false">
      <c r="A78" s="17" t="n">
        <f aca="false">A77+1</f>
        <v>78</v>
      </c>
      <c r="B78" s="7" t="n">
        <v>36495</v>
      </c>
      <c r="C78" s="20" t="n">
        <f aca="false">DAY(EOMONTH(B78,0))</f>
        <v>31</v>
      </c>
      <c r="D78" s="21" t="n">
        <f aca="false">filings!M91</f>
        <v>4E-005</v>
      </c>
      <c r="E78" s="22" t="n">
        <f aca="false">filings!O91</f>
        <v>1933.872</v>
      </c>
      <c r="F78" s="22" t="n">
        <f aca="false">filings!P91</f>
        <v>-94.383</v>
      </c>
      <c r="G78" s="22" t="n">
        <f aca="false">filings!Q91</f>
        <v>1839.489</v>
      </c>
      <c r="H78" s="22" t="n">
        <f aca="false">filings!R91</f>
        <v>1647.16</v>
      </c>
      <c r="I78" s="22" t="n">
        <f aca="false">filings!S91</f>
        <v>-41.179</v>
      </c>
      <c r="J78" s="22" t="n">
        <f aca="false">(H78-G78)</f>
        <v>-192.329</v>
      </c>
      <c r="K78" s="25" t="n">
        <f aca="false">K79-J79</f>
        <v>-1396.886</v>
      </c>
      <c r="L78" s="26" t="n">
        <f aca="false">H78/D78/C78/1000000</f>
        <v>1.32835483870968</v>
      </c>
      <c r="M78" s="25" t="n">
        <f aca="false">E78/$C78</f>
        <v>62.3829677419355</v>
      </c>
      <c r="N78" s="25" t="n">
        <f aca="false">G78/$C78</f>
        <v>59.3383548387097</v>
      </c>
      <c r="O78" s="27" t="n">
        <f aca="false">M78/$L78/1000000</f>
        <v>4.69625780130649E-005</v>
      </c>
      <c r="P78" s="27" t="n">
        <f aca="false">N78/$L78/1000000</f>
        <v>4.4670560237014E-005</v>
      </c>
      <c r="Q78" s="28" t="n">
        <f aca="false">IF(P78&gt;0.00415%,ROUND(P78-0.0041%,6),"")</f>
        <v>4E-006</v>
      </c>
    </row>
    <row r="79" customFormat="false" ht="12.75" hidden="false" customHeight="false" outlineLevel="0" collapsed="false">
      <c r="A79" s="0" t="n">
        <f aca="false">A78+1</f>
        <v>79</v>
      </c>
      <c r="B79" s="7" t="n">
        <v>36526</v>
      </c>
      <c r="C79" s="20" t="n">
        <f aca="false">DAY(EOMONTH(B79,0))</f>
        <v>31</v>
      </c>
      <c r="D79" s="21" t="n">
        <f aca="false">filings!M92</f>
        <v>4.6E-005</v>
      </c>
      <c r="E79" s="22" t="n">
        <f aca="false">filings!O92</f>
        <v>1783.065</v>
      </c>
      <c r="F79" s="22" t="n">
        <f aca="false">filings!P92</f>
        <v>-178.281</v>
      </c>
      <c r="G79" s="22" t="n">
        <f aca="false">filings!Q92</f>
        <v>1604.784</v>
      </c>
      <c r="H79" s="22" t="n">
        <f aca="false">filings!R92</f>
        <v>1872.09</v>
      </c>
      <c r="I79" s="22" t="n">
        <f aca="false">filings!S92</f>
        <v>203.496</v>
      </c>
      <c r="J79" s="22" t="n">
        <f aca="false">(H79-G79)</f>
        <v>267.306</v>
      </c>
      <c r="K79" s="25" t="n">
        <f aca="false">K80-J80</f>
        <v>-1129.58</v>
      </c>
      <c r="L79" s="26" t="n">
        <f aca="false">H79/D79/C79/1000000</f>
        <v>1.31282608695652</v>
      </c>
      <c r="M79" s="25" t="n">
        <f aca="false">E79/$C79</f>
        <v>57.5182258064516</v>
      </c>
      <c r="N79" s="25" t="n">
        <f aca="false">G79/$C79</f>
        <v>51.7672258064516</v>
      </c>
      <c r="O79" s="27" t="n">
        <f aca="false">M79/$L79/1000000</f>
        <v>4.38125250388603E-005</v>
      </c>
      <c r="P79" s="27" t="n">
        <f aca="false">N79/$L79/1000000</f>
        <v>3.94318991074147E-005</v>
      </c>
      <c r="Q79" s="28" t="str">
        <f aca="false">IF(P79&gt;0.00415%,ROUND(P79-0.0041%,6),"")</f>
        <v/>
      </c>
    </row>
    <row r="80" customFormat="false" ht="12.75" hidden="false" customHeight="false" outlineLevel="0" collapsed="false">
      <c r="A80" s="17" t="n">
        <f aca="false">A79+1</f>
        <v>80</v>
      </c>
      <c r="B80" s="7" t="n">
        <v>36557</v>
      </c>
      <c r="C80" s="20" t="n">
        <f aca="false">DAY(EOMONTH(B80,0))</f>
        <v>29</v>
      </c>
      <c r="D80" s="21" t="n">
        <f aca="false">filings!M93</f>
        <v>4.6E-005</v>
      </c>
      <c r="E80" s="22" t="n">
        <f aca="false">filings!O93</f>
        <v>1483.834</v>
      </c>
      <c r="F80" s="22" t="n">
        <f aca="false">filings!P93</f>
        <v>-101.388</v>
      </c>
      <c r="G80" s="22" t="n">
        <f aca="false">filings!Q93</f>
        <v>1382.446</v>
      </c>
      <c r="H80" s="22" t="n">
        <f aca="false">filings!R93</f>
        <v>1765.445</v>
      </c>
      <c r="I80" s="22" t="n">
        <f aca="false">filings!S93</f>
        <v>191.904</v>
      </c>
      <c r="J80" s="22" t="n">
        <f aca="false">(H80-G80)</f>
        <v>382.999</v>
      </c>
      <c r="K80" s="25" t="n">
        <f aca="false">K81-J81</f>
        <v>-746.581</v>
      </c>
      <c r="L80" s="26" t="n">
        <f aca="false">H80/D80/C80/1000000</f>
        <v>1.32342203898051</v>
      </c>
      <c r="M80" s="25" t="n">
        <f aca="false">E80/$C80</f>
        <v>51.1666896551724</v>
      </c>
      <c r="N80" s="25" t="n">
        <f aca="false">G80/$C80</f>
        <v>47.6705517241379</v>
      </c>
      <c r="O80" s="27" t="n">
        <f aca="false">M80/$L80/1000000</f>
        <v>3.86624131592885E-005</v>
      </c>
      <c r="P80" s="27" t="n">
        <f aca="false">N80/$L80/1000000</f>
        <v>3.6020672408373E-005</v>
      </c>
      <c r="Q80" s="28" t="str">
        <f aca="false">IF(P80&gt;0.00415%,ROUND(P80-0.0041%,6),"")</f>
        <v/>
      </c>
    </row>
    <row r="81" customFormat="false" ht="12.75" hidden="false" customHeight="false" outlineLevel="0" collapsed="false">
      <c r="A81" s="0" t="n">
        <f aca="false">A80+1</f>
        <v>81</v>
      </c>
      <c r="B81" s="7" t="n">
        <v>36586</v>
      </c>
      <c r="C81" s="20" t="n">
        <f aca="false">DAY(EOMONTH(B81,0))</f>
        <v>31</v>
      </c>
      <c r="D81" s="21" t="n">
        <f aca="false">filings!M94</f>
        <v>3.4E-005</v>
      </c>
      <c r="E81" s="22" t="n">
        <f aca="false">filings!O94</f>
        <v>1468.965</v>
      </c>
      <c r="F81" s="22" t="n">
        <f aca="false">filings!P94</f>
        <v>132.413</v>
      </c>
      <c r="G81" s="22" t="n">
        <f aca="false">filings!Q94</f>
        <v>1601.378</v>
      </c>
      <c r="H81" s="22" t="n">
        <f aca="false">filings!R94</f>
        <v>1348.708</v>
      </c>
      <c r="I81" s="22" t="n">
        <f aca="false">filings!S94</f>
        <v>198.395</v>
      </c>
      <c r="J81" s="22" t="n">
        <f aca="false">(H81-G81)</f>
        <v>-252.67</v>
      </c>
      <c r="K81" s="25" t="n">
        <f aca="false">K82-J82</f>
        <v>-999.251</v>
      </c>
      <c r="L81" s="26" t="n">
        <f aca="false">H81/D81/C81/1000000</f>
        <v>1.27960910815939</v>
      </c>
      <c r="M81" s="25" t="n">
        <f aca="false">E81/$C81</f>
        <v>47.3859677419355</v>
      </c>
      <c r="N81" s="25" t="n">
        <f aca="false">G81/$C81</f>
        <v>51.6573548387097</v>
      </c>
      <c r="O81" s="27" t="n">
        <f aca="false">M81/$L81/1000000</f>
        <v>3.70315961646257E-005</v>
      </c>
      <c r="P81" s="27" t="n">
        <f aca="false">N81/$L81/1000000</f>
        <v>4.03696367189933E-005</v>
      </c>
      <c r="Q81" s="28" t="str">
        <f aca="false">IF(P81&gt;0.00415%,ROUND(P81-0.0041%,6),"")</f>
        <v/>
      </c>
    </row>
    <row r="82" customFormat="false" ht="12.75" hidden="false" customHeight="false" outlineLevel="0" collapsed="false">
      <c r="A82" s="17" t="n">
        <f aca="false">A81+1</f>
        <v>82</v>
      </c>
      <c r="B82" s="7" t="n">
        <v>36617</v>
      </c>
      <c r="C82" s="20" t="n">
        <f aca="false">DAY(EOMONTH(B82,0))</f>
        <v>30</v>
      </c>
      <c r="D82" s="21" t="n">
        <f aca="false">filings!M95</f>
        <v>3.2E-005</v>
      </c>
      <c r="E82" s="22" t="n">
        <f aca="false">filings!O95</f>
        <v>1235.547</v>
      </c>
      <c r="F82" s="22" t="n">
        <f aca="false">filings!P95</f>
        <v>13.686</v>
      </c>
      <c r="G82" s="22" t="n">
        <f aca="false">filings!Q95</f>
        <v>1249.233</v>
      </c>
      <c r="H82" s="22" t="n">
        <f aca="false">filings!R95</f>
        <v>1133.626</v>
      </c>
      <c r="I82" s="22" t="n">
        <f aca="false">filings!S95</f>
        <v>177.186</v>
      </c>
      <c r="J82" s="22" t="n">
        <f aca="false">(H82-G82)</f>
        <v>-115.607</v>
      </c>
      <c r="K82" s="25" t="n">
        <f aca="false">K83-J83</f>
        <v>-1114.858</v>
      </c>
      <c r="L82" s="26" t="n">
        <f aca="false">H82/D82/C82/1000000</f>
        <v>1.18086041666667</v>
      </c>
      <c r="M82" s="25" t="n">
        <f aca="false">E82/$C82</f>
        <v>41.1849</v>
      </c>
      <c r="N82" s="25" t="n">
        <f aca="false">G82/$C82</f>
        <v>41.6411</v>
      </c>
      <c r="O82" s="27" t="n">
        <f aca="false">M82/$L82/1000000</f>
        <v>3.48770264619901E-005</v>
      </c>
      <c r="P82" s="27" t="n">
        <f aca="false">N82/$L82/1000000</f>
        <v>3.52633549336377E-005</v>
      </c>
      <c r="Q82" s="28" t="str">
        <f aca="false">IF(P82&gt;0.00415%,ROUND(P82-0.0041%,6),"")</f>
        <v/>
      </c>
    </row>
    <row r="83" customFormat="false" ht="12.75" hidden="false" customHeight="false" outlineLevel="0" collapsed="false">
      <c r="A83" s="0" t="n">
        <f aca="false">A82+1</f>
        <v>83</v>
      </c>
      <c r="B83" s="7" t="n">
        <v>36647</v>
      </c>
      <c r="C83" s="20" t="n">
        <f aca="false">DAY(EOMONTH(B83,0))</f>
        <v>31</v>
      </c>
      <c r="D83" s="21" t="n">
        <f aca="false">filings!M96</f>
        <v>3.2E-005</v>
      </c>
      <c r="E83" s="22" t="n">
        <f aca="false">filings!O96</f>
        <v>1539.122</v>
      </c>
      <c r="F83" s="22" t="n">
        <f aca="false">filings!P96</f>
        <v>-2.943</v>
      </c>
      <c r="G83" s="22" t="n">
        <f aca="false">filings!Q96</f>
        <v>1536.179</v>
      </c>
      <c r="H83" s="22" t="n">
        <f aca="false">filings!R96</f>
        <v>1241.247</v>
      </c>
      <c r="I83" s="22" t="n">
        <f aca="false">filings!S96</f>
        <v>194.007</v>
      </c>
      <c r="J83" s="22" t="n">
        <f aca="false">(H83-G83)</f>
        <v>-294.932</v>
      </c>
      <c r="K83" s="25" t="n">
        <f aca="false">K84-J84</f>
        <v>-1409.79</v>
      </c>
      <c r="L83" s="26" t="n">
        <f aca="false">H83/D83/C83/1000000</f>
        <v>1.25125705645161</v>
      </c>
      <c r="M83" s="25" t="n">
        <f aca="false">E83/$C83</f>
        <v>49.6490967741936</v>
      </c>
      <c r="N83" s="25" t="n">
        <f aca="false">G83/$C83</f>
        <v>49.5541612903226</v>
      </c>
      <c r="O83" s="27" t="n">
        <f aca="false">M83/$L83/1000000</f>
        <v>3.96793740488396E-005</v>
      </c>
      <c r="P83" s="27" t="n">
        <f aca="false">N83/$L83/1000000</f>
        <v>3.96035019621397E-005</v>
      </c>
      <c r="Q83" s="28" t="str">
        <f aca="false">IF(P83&gt;0.00415%,ROUND(P83-0.0041%,6),"")</f>
        <v/>
      </c>
    </row>
    <row r="84" customFormat="false" ht="12.75" hidden="false" customHeight="false" outlineLevel="0" collapsed="false">
      <c r="A84" s="17" t="n">
        <f aca="false">A83+1</f>
        <v>84</v>
      </c>
      <c r="B84" s="7" t="n">
        <v>36678</v>
      </c>
      <c r="C84" s="20" t="n">
        <f aca="false">DAY(EOMONTH(B84,0))</f>
        <v>30</v>
      </c>
      <c r="D84" s="21" t="n">
        <f aca="false">filings!M97</f>
        <v>3.4E-005</v>
      </c>
      <c r="E84" s="22" t="n">
        <f aca="false">filings!O97</f>
        <v>1685.465</v>
      </c>
      <c r="F84" s="22" t="n">
        <f aca="false">filings!P97</f>
        <v>38.534</v>
      </c>
      <c r="G84" s="22" t="n">
        <f aca="false">filings!Q97</f>
        <v>1723.999</v>
      </c>
      <c r="H84" s="22" t="n">
        <f aca="false">filings!R97</f>
        <v>1312.478</v>
      </c>
      <c r="I84" s="22" t="n">
        <f aca="false">filings!S97</f>
        <v>193.066</v>
      </c>
      <c r="J84" s="22" t="n">
        <f aca="false">(H84-G84)</f>
        <v>-411.521</v>
      </c>
      <c r="K84" s="25" t="n">
        <f aca="false">K85-J85</f>
        <v>-1821.311</v>
      </c>
      <c r="L84" s="26" t="n">
        <f aca="false">H84/D84/C84/1000000</f>
        <v>1.2867431372549</v>
      </c>
      <c r="M84" s="25" t="n">
        <f aca="false">E84/$C84</f>
        <v>56.1821666666667</v>
      </c>
      <c r="N84" s="25" t="n">
        <f aca="false">G84/$C84</f>
        <v>57.4666333333333</v>
      </c>
      <c r="O84" s="27" t="n">
        <f aca="false">M84/$L84/1000000</f>
        <v>4.36623013871471E-005</v>
      </c>
      <c r="P84" s="27" t="n">
        <f aca="false">N84/$L84/1000000</f>
        <v>4.46605322146352E-005</v>
      </c>
      <c r="Q84" s="28" t="n">
        <f aca="false">IF(P84&gt;0.00415%,ROUND(P84-0.0041%,6),"")</f>
        <v>4E-006</v>
      </c>
    </row>
    <row r="85" customFormat="false" ht="12.75" hidden="false" customHeight="false" outlineLevel="0" collapsed="false">
      <c r="A85" s="0" t="n">
        <f aca="false">A84+1</f>
        <v>85</v>
      </c>
      <c r="B85" s="7" t="n">
        <v>36708</v>
      </c>
      <c r="C85" s="20" t="n">
        <f aca="false">DAY(EOMONTH(B85,0))</f>
        <v>31</v>
      </c>
      <c r="D85" s="21" t="n">
        <f aca="false">filings!M98</f>
        <v>4.3E-005</v>
      </c>
      <c r="E85" s="22" t="n">
        <f aca="false">filings!O98</f>
        <v>1935.295</v>
      </c>
      <c r="F85" s="22" t="n">
        <f aca="false">filings!P98</f>
        <v>143.068</v>
      </c>
      <c r="G85" s="22" t="n">
        <f aca="false">filings!Q98</f>
        <v>2078.363</v>
      </c>
      <c r="H85" s="22" t="n">
        <f aca="false">filings!R98</f>
        <v>1750.294</v>
      </c>
      <c r="I85" s="22" t="n">
        <f aca="false">filings!S98</f>
        <v>244.166</v>
      </c>
      <c r="J85" s="22" t="n">
        <f aca="false">(H85-G85)</f>
        <v>-328.069</v>
      </c>
      <c r="K85" s="25" t="n">
        <f aca="false">K86-J86</f>
        <v>-2149.38</v>
      </c>
      <c r="L85" s="26" t="n">
        <f aca="false">H85/D85/C85/1000000</f>
        <v>1.31304876219055</v>
      </c>
      <c r="M85" s="25" t="n">
        <f aca="false">E85/$C85</f>
        <v>62.4288709677419</v>
      </c>
      <c r="N85" s="25" t="n">
        <f aca="false">G85/$C85</f>
        <v>67.0439677419355</v>
      </c>
      <c r="O85" s="27" t="n">
        <f aca="false">M85/$L85/1000000</f>
        <v>4.75449753012922E-005</v>
      </c>
      <c r="P85" s="27" t="n">
        <f aca="false">N85/$L85/1000000</f>
        <v>5.10597699586469E-005</v>
      </c>
      <c r="Q85" s="28" t="n">
        <f aca="false">IF(P85&gt;0.00415%,ROUND(P85-0.0041%,6),"")</f>
        <v>1E-005</v>
      </c>
    </row>
    <row r="86" customFormat="false" ht="12.75" hidden="false" customHeight="false" outlineLevel="0" collapsed="false">
      <c r="A86" s="17" t="n">
        <f aca="false">A85+1</f>
        <v>86</v>
      </c>
      <c r="B86" s="7" t="n">
        <v>36739</v>
      </c>
      <c r="C86" s="20" t="n">
        <f aca="false">DAY(EOMONTH(B86,0))</f>
        <v>31</v>
      </c>
      <c r="D86" s="21" t="n">
        <f aca="false">filings!M99</f>
        <v>4.7E-005</v>
      </c>
      <c r="E86" s="22" t="n">
        <f aca="false">filings!O99</f>
        <v>1772.638</v>
      </c>
      <c r="F86" s="22" t="n">
        <f aca="false">filings!P99</f>
        <v>219.155</v>
      </c>
      <c r="G86" s="22" t="n">
        <f aca="false">filings!Q99</f>
        <v>1991.793</v>
      </c>
      <c r="H86" s="22" t="n">
        <f aca="false">filings!R99</f>
        <v>1808.959</v>
      </c>
      <c r="I86" s="22" t="n">
        <f aca="false">filings!S99</f>
        <v>231.004</v>
      </c>
      <c r="J86" s="22" t="n">
        <f aca="false">(H86-G86)</f>
        <v>-182.834</v>
      </c>
      <c r="K86" s="25" t="n">
        <f aca="false">K87-J87</f>
        <v>-2332.214</v>
      </c>
      <c r="L86" s="26" t="n">
        <f aca="false">H86/D86/C86/1000000</f>
        <v>1.24156417295813</v>
      </c>
      <c r="M86" s="25" t="n">
        <f aca="false">E86/$C86</f>
        <v>57.1818709677419</v>
      </c>
      <c r="N86" s="25" t="n">
        <f aca="false">G86/$C86</f>
        <v>64.2513870967742</v>
      </c>
      <c r="O86" s="27" t="n">
        <f aca="false">M86/$L86/1000000</f>
        <v>4.60563152619822E-005</v>
      </c>
      <c r="P86" s="27" t="n">
        <f aca="false">N86/$L86/1000000</f>
        <v>5.17503553148524E-005</v>
      </c>
      <c r="Q86" s="28" t="n">
        <f aca="false">IF(P86&gt;0.00415%,ROUND(P86-0.0041%,6),"")</f>
        <v>1.1E-005</v>
      </c>
    </row>
    <row r="87" customFormat="false" ht="12.75" hidden="false" customHeight="false" outlineLevel="0" collapsed="false">
      <c r="A87" s="0" t="n">
        <f aca="false">A86+1</f>
        <v>87</v>
      </c>
      <c r="B87" s="7" t="n">
        <v>36770</v>
      </c>
      <c r="C87" s="20" t="n">
        <f aca="false">DAY(EOMONTH(B87,0))</f>
        <v>30</v>
      </c>
      <c r="D87" s="21" t="n">
        <f aca="false">filings!M100</f>
        <v>4.7E-005</v>
      </c>
      <c r="E87" s="22" t="n">
        <f aca="false">filings!O100</f>
        <v>1710.653</v>
      </c>
      <c r="F87" s="22" t="n">
        <f aca="false">filings!P100</f>
        <v>126.595</v>
      </c>
      <c r="G87" s="22" t="n">
        <f aca="false">filings!Q100</f>
        <v>1837.248</v>
      </c>
      <c r="H87" s="22" t="n">
        <f aca="false">filings!R100</f>
        <v>1795.718</v>
      </c>
      <c r="I87" s="22" t="n">
        <f aca="false">filings!S100</f>
        <v>229.313</v>
      </c>
      <c r="J87" s="22" t="n">
        <f aca="false">(H87-G87)</f>
        <v>-41.53</v>
      </c>
      <c r="K87" s="25" t="n">
        <f aca="false">K88-J88</f>
        <v>-2373.744</v>
      </c>
      <c r="L87" s="26" t="n">
        <f aca="false">H87/D87/C87/1000000</f>
        <v>1.27355886524823</v>
      </c>
      <c r="M87" s="25" t="n">
        <f aca="false">E87/$C87</f>
        <v>57.0217666666667</v>
      </c>
      <c r="N87" s="25" t="n">
        <f aca="false">G87/$C87</f>
        <v>61.2416</v>
      </c>
      <c r="O87" s="27" t="n">
        <f aca="false">M87/$L87/1000000</f>
        <v>4.47735618844384E-005</v>
      </c>
      <c r="P87" s="27" t="n">
        <f aca="false">N87/$L87/1000000</f>
        <v>4.80869802496829E-005</v>
      </c>
      <c r="Q87" s="28" t="n">
        <f aca="false">IF(P87&gt;0.00415%,ROUND(P87-0.0041%,6),"")</f>
        <v>7E-006</v>
      </c>
    </row>
    <row r="88" customFormat="false" ht="13.5" hidden="false" customHeight="false" outlineLevel="0" collapsed="false">
      <c r="A88" s="17" t="n">
        <f aca="false">A87+1</f>
        <v>88</v>
      </c>
      <c r="B88" s="7" t="n">
        <v>36800</v>
      </c>
      <c r="C88" s="20" t="n">
        <f aca="false">DAY(EOMONTH(B88,0))</f>
        <v>31</v>
      </c>
      <c r="D88" s="21" t="n">
        <f aca="false">filings!M101</f>
        <v>4.7E-005</v>
      </c>
      <c r="E88" s="22" t="n">
        <f aca="false">filings!O101</f>
        <v>1747.199</v>
      </c>
      <c r="F88" s="22" t="n">
        <f aca="false">filings!P101</f>
        <v>-73.159</v>
      </c>
      <c r="G88" s="22" t="n">
        <f aca="false">filings!Q101</f>
        <v>1674.04</v>
      </c>
      <c r="H88" s="22" t="n">
        <f aca="false">filings!R101</f>
        <v>1879.284</v>
      </c>
      <c r="I88" s="22" t="n">
        <f aca="false">filings!S101</f>
        <v>239.985</v>
      </c>
      <c r="J88" s="22" t="n">
        <f aca="false">(H88-G88)</f>
        <v>205.244</v>
      </c>
      <c r="K88" s="30" t="n">
        <f aca="false">filings!AB101</f>
        <v>-2168.5</v>
      </c>
      <c r="L88" s="26" t="n">
        <f aca="false">H88/D88/C88/1000000</f>
        <v>1.28983115991764</v>
      </c>
      <c r="M88" s="25" t="n">
        <f aca="false">E88/$C88</f>
        <v>56.3612580645161</v>
      </c>
      <c r="N88" s="25" t="n">
        <f aca="false">G88/$C88</f>
        <v>54.0012903225806</v>
      </c>
      <c r="O88" s="27" t="n">
        <f aca="false">M88/$L88/1000000</f>
        <v>4.36966169030333E-005</v>
      </c>
      <c r="P88" s="27" t="n">
        <f aca="false">N88/$L88/1000000</f>
        <v>4.18669450705694E-005</v>
      </c>
      <c r="Q88" s="28" t="n">
        <f aca="false">IF(P88&gt;0.00415%,ROUND(P88-0.0041%,6),"")</f>
        <v>1E-006</v>
      </c>
    </row>
    <row r="89" customFormat="false" ht="13.5" hidden="false" customHeight="false" outlineLevel="0" collapsed="false">
      <c r="A89" s="17" t="n">
        <f aca="false">A88+1</f>
        <v>89</v>
      </c>
      <c r="B89" s="7" t="n">
        <v>36831</v>
      </c>
      <c r="C89" s="20" t="n">
        <f aca="false">DAY(EOMONTH(B89,0))</f>
        <v>30</v>
      </c>
      <c r="D89" s="21" t="n">
        <f aca="false">filings!M102</f>
        <v>4.7E-005</v>
      </c>
      <c r="E89" s="31"/>
      <c r="F89" s="32"/>
      <c r="G89" s="32"/>
      <c r="H89" s="32"/>
      <c r="I89" s="33"/>
      <c r="J89" s="22"/>
      <c r="L89" s="26" t="n">
        <f aca="false">H89/D89/C89/1000000</f>
        <v>0</v>
      </c>
      <c r="M89" s="25" t="n">
        <f aca="false">E89/$C89</f>
        <v>0</v>
      </c>
      <c r="N89" s="25" t="n">
        <f aca="false">G89/$C89</f>
        <v>0</v>
      </c>
    </row>
    <row r="90" customFormat="false" ht="12.75" hidden="false" customHeight="false" outlineLevel="0" collapsed="false">
      <c r="A90" s="17" t="n">
        <f aca="false">A89+1</f>
        <v>90</v>
      </c>
      <c r="B90" s="7" t="n">
        <v>36861</v>
      </c>
      <c r="C90" s="20" t="n">
        <f aca="false">DAY(EOMONTH(B90,0))</f>
        <v>31</v>
      </c>
      <c r="D90" s="21" t="n">
        <f aca="false">filings!M103</f>
        <v>4.7E-005</v>
      </c>
      <c r="E90" s="34"/>
      <c r="F90" s="1"/>
      <c r="G90" s="1"/>
      <c r="H90" s="1"/>
      <c r="I90" s="35"/>
      <c r="J90" s="22"/>
      <c r="L90" s="26" t="n">
        <f aca="false">H90/D90/C90/1000000</f>
        <v>0</v>
      </c>
      <c r="M90" s="25" t="n">
        <f aca="false">E90/$C90</f>
        <v>0</v>
      </c>
      <c r="N90" s="25" t="n">
        <f aca="false">G90/$C90</f>
        <v>0</v>
      </c>
    </row>
    <row r="91" customFormat="false" ht="12.75" hidden="false" customHeight="false" outlineLevel="0" collapsed="false">
      <c r="A91" s="17" t="n">
        <f aca="false">A90+1</f>
        <v>91</v>
      </c>
      <c r="B91" s="7" t="n">
        <v>36892</v>
      </c>
      <c r="C91" s="20" t="n">
        <f aca="false">DAY(EOMONTH(B91,0))</f>
        <v>31</v>
      </c>
      <c r="D91" s="21" t="n">
        <f aca="false">filings!M104</f>
        <v>5.1E-005</v>
      </c>
      <c r="E91" s="34"/>
      <c r="F91" s="1"/>
      <c r="G91" s="1"/>
      <c r="H91" s="1"/>
      <c r="I91" s="35"/>
      <c r="J91" s="22"/>
      <c r="L91" s="26" t="n">
        <f aca="false">H91/D91/C91/1000000</f>
        <v>0</v>
      </c>
      <c r="M91" s="25" t="n">
        <f aca="false">E91/$C91</f>
        <v>0</v>
      </c>
      <c r="N91" s="25" t="n">
        <f aca="false">G91/$C91</f>
        <v>0</v>
      </c>
    </row>
    <row r="92" customFormat="false" ht="12.75" hidden="false" customHeight="false" outlineLevel="0" collapsed="false">
      <c r="A92" s="17" t="n">
        <f aca="false">A91+1</f>
        <v>92</v>
      </c>
      <c r="B92" s="7" t="n">
        <v>36923</v>
      </c>
      <c r="C92" s="20" t="n">
        <f aca="false">DAY(EOMONTH(B92,0))</f>
        <v>28</v>
      </c>
      <c r="D92" s="21" t="n">
        <f aca="false">filings!M105</f>
        <v>5.8E-005</v>
      </c>
      <c r="E92" s="34"/>
      <c r="F92" s="1"/>
      <c r="G92" s="1"/>
      <c r="H92" s="1"/>
      <c r="I92" s="35"/>
      <c r="J92" s="22"/>
      <c r="L92" s="26" t="n">
        <f aca="false">H92/D92/C92/1000000</f>
        <v>0</v>
      </c>
      <c r="M92" s="25" t="n">
        <f aca="false">E92/$C92</f>
        <v>0</v>
      </c>
      <c r="N92" s="25" t="n">
        <f aca="false">G92/$C92</f>
        <v>0</v>
      </c>
    </row>
    <row r="93" customFormat="false" ht="12.75" hidden="false" customHeight="false" outlineLevel="0" collapsed="false">
      <c r="A93" s="17" t="n">
        <f aca="false">A92+1</f>
        <v>93</v>
      </c>
      <c r="B93" s="7" t="n">
        <v>36951</v>
      </c>
      <c r="C93" s="20" t="n">
        <f aca="false">DAY(EOMONTH(B93,0))</f>
        <v>31</v>
      </c>
      <c r="D93" s="21" t="n">
        <f aca="false">filings!M106</f>
        <v>5.6E-005</v>
      </c>
      <c r="E93" s="34"/>
      <c r="F93" s="1"/>
      <c r="G93" s="1"/>
      <c r="H93" s="1"/>
      <c r="I93" s="35"/>
      <c r="J93" s="22"/>
      <c r="L93" s="26" t="n">
        <f aca="false">H93/D93/C93/1000000</f>
        <v>0</v>
      </c>
      <c r="M93" s="25" t="n">
        <f aca="false">E93/$C93</f>
        <v>0</v>
      </c>
      <c r="N93" s="25" t="n">
        <f aca="false">G93/$C93</f>
        <v>0</v>
      </c>
    </row>
    <row r="94" customFormat="false" ht="13.5" hidden="false" customHeight="false" outlineLevel="0" collapsed="false">
      <c r="A94" s="17" t="n">
        <f aca="false">A93+1</f>
        <v>94</v>
      </c>
      <c r="B94" s="7" t="n">
        <v>36982</v>
      </c>
      <c r="C94" s="20" t="n">
        <f aca="false">DAY(EOMONTH(B94,0))</f>
        <v>30</v>
      </c>
      <c r="D94" s="21" t="n">
        <f aca="false">filings!M107</f>
        <v>5.1E-005</v>
      </c>
      <c r="E94" s="36"/>
      <c r="F94" s="37"/>
      <c r="G94" s="37"/>
      <c r="H94" s="37"/>
      <c r="I94" s="38"/>
      <c r="J94" s="22"/>
      <c r="L94" s="26" t="n">
        <f aca="false">H94/D94/C94/1000000</f>
        <v>0</v>
      </c>
      <c r="M94" s="25" t="n">
        <f aca="false">E94/$C94</f>
        <v>0</v>
      </c>
      <c r="N94" s="25" t="n">
        <f aca="false">G94/$C94</f>
        <v>0</v>
      </c>
    </row>
    <row r="95" customFormat="false" ht="13.5" hidden="false" customHeight="false" outlineLevel="0" collapsed="false">
      <c r="A95" s="17" t="n">
        <f aca="false">A94+1</f>
        <v>95</v>
      </c>
      <c r="B95" s="7" t="n">
        <v>37012</v>
      </c>
      <c r="C95" s="20" t="n">
        <f aca="false">DAY(EOMONTH(B95,0))</f>
        <v>31</v>
      </c>
      <c r="D95" s="21" t="n">
        <f aca="false">filings!M108</f>
        <v>4.3E-005</v>
      </c>
      <c r="J95" s="22"/>
    </row>
    <row r="96" customFormat="false" ht="12.75" hidden="false" customHeight="false" outlineLevel="0" collapsed="false">
      <c r="A96" s="17" t="n">
        <f aca="false">A95+1</f>
        <v>96</v>
      </c>
      <c r="B96" s="7" t="n">
        <v>37043</v>
      </c>
      <c r="C96" s="20" t="n">
        <f aca="false">DAY(EOMONTH(B96,0))</f>
        <v>30</v>
      </c>
      <c r="D96" s="21"/>
      <c r="J96" s="22"/>
    </row>
    <row r="97" customFormat="false" ht="12.75" hidden="false" customHeight="false" outlineLevel="0" collapsed="false">
      <c r="A97" s="17" t="n">
        <f aca="false">A96+1</f>
        <v>97</v>
      </c>
      <c r="B97" s="7" t="n">
        <v>37073</v>
      </c>
      <c r="C97" s="20" t="n">
        <f aca="false">DAY(EOMONTH(B97,0))</f>
        <v>31</v>
      </c>
      <c r="D97" s="21"/>
    </row>
    <row r="98" customFormat="false" ht="12.75" hidden="false" customHeight="false" outlineLevel="0" collapsed="false">
      <c r="A98" s="0" t="n">
        <f aca="false">A97+1</f>
        <v>98</v>
      </c>
      <c r="B98" s="0" t="s">
        <v>49</v>
      </c>
      <c r="D98" s="0" t="n">
        <f aca="false">COUNT(D5:D97)</f>
        <v>91</v>
      </c>
      <c r="O98" s="0" t="n">
        <f aca="false">COUNT(O5:O97)</f>
        <v>84</v>
      </c>
      <c r="P98" s="0" t="n">
        <f aca="false">COUNT(P5:P97)</f>
        <v>84</v>
      </c>
      <c r="Q98" s="0" t="n">
        <f aca="false">COUNT(Q5:Q97)</f>
        <v>50</v>
      </c>
    </row>
    <row r="99" customFormat="false" ht="12.75" hidden="false" customHeight="false" outlineLevel="0" collapsed="false">
      <c r="A99" s="0" t="n">
        <f aca="false">A98+1</f>
        <v>99</v>
      </c>
      <c r="B99" s="0" t="s">
        <v>50</v>
      </c>
      <c r="D99" s="0" t="n">
        <f aca="false">COUNTIF(D3:D97,"&gt;0.00415%")</f>
        <v>56</v>
      </c>
      <c r="O99" s="0" t="n">
        <f aca="false">COUNTIF(O3:O97,"&gt;0.00415%")</f>
        <v>39</v>
      </c>
      <c r="P99" s="0" t="n">
        <f aca="false">COUNTIF(P3:P97,"&gt;0.00415%")</f>
        <v>50</v>
      </c>
    </row>
    <row r="100" customFormat="false" ht="12.75" hidden="false" customHeight="false" outlineLevel="0" collapsed="false">
      <c r="A100" s="0" t="n">
        <f aca="false">A99+1</f>
        <v>100</v>
      </c>
      <c r="D100" s="39" t="n">
        <f aca="false">D99/D98</f>
        <v>0.615384615384615</v>
      </c>
      <c r="O100" s="39" t="n">
        <f aca="false">O99/O98</f>
        <v>0.464285714285714</v>
      </c>
      <c r="P100" s="39" t="n">
        <f aca="false">P99/P98</f>
        <v>0.595238095238095</v>
      </c>
    </row>
  </sheetData>
  <conditionalFormatting sqref="O5:P88">
    <cfRule type="cellIs" priority="2" operator="greaterThanOrEqual" aboveAverage="0" equalAverage="0" bottom="0" percent="0" rank="0" text="" dxfId="0">
      <formula>0.0000415</formula>
    </cfRule>
  </conditionalFormatting>
  <printOptions headings="false" gridLines="false" gridLinesSet="true" horizontalCentered="false" verticalCentered="false"/>
  <pageMargins left="0.5" right="0.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8, Page &amp;P of   &amp;N</oddHeader>
    <oddFooter>&amp;LSource: PGT Filings with FERC, TM94-3-86 et al.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D95" activeCellId="0" sqref="D9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8.14"/>
    <col collapsed="false" customWidth="true" hidden="false" outlineLevel="0" max="3" min="3" style="0" width="5.99"/>
    <col collapsed="false" customWidth="true" hidden="false" outlineLevel="0" max="4" min="4" style="0" width="12.28"/>
    <col collapsed="false" customWidth="true" hidden="false" outlineLevel="0" max="7" min="6" style="0" width="10.41"/>
    <col collapsed="false" customWidth="true" hidden="false" outlineLevel="0" max="8" min="8" style="0" width="9.56"/>
    <col collapsed="false" customWidth="true" hidden="false" outlineLevel="0" max="10" min="10" style="0" width="9.99"/>
    <col collapsed="false" customWidth="true" hidden="false" outlineLevel="0" max="11" min="11" style="0" width="8.28"/>
  </cols>
  <sheetData>
    <row r="1" customFormat="false" ht="12.75" hidden="false" customHeight="false" outlineLevel="0" collapsed="false">
      <c r="B1" s="14" t="s">
        <v>8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4" t="s">
        <v>14</v>
      </c>
      <c r="I1" s="14" t="s">
        <v>51</v>
      </c>
      <c r="J1" s="14" t="s">
        <v>16</v>
      </c>
      <c r="K1" s="14" t="s">
        <v>17</v>
      </c>
      <c r="L1" s="14" t="s">
        <v>18</v>
      </c>
      <c r="M1" s="14" t="s">
        <v>19</v>
      </c>
    </row>
    <row r="2" customFormat="false" ht="12.75" hidden="false" customHeight="false" outlineLevel="0" collapsed="false">
      <c r="A2" s="14" t="n">
        <v>2</v>
      </c>
      <c r="B2" s="1"/>
      <c r="C2" s="2"/>
      <c r="D2" s="15" t="s">
        <v>52</v>
      </c>
      <c r="E2" s="16" t="s">
        <v>52</v>
      </c>
      <c r="F2" s="16" t="s">
        <v>52</v>
      </c>
      <c r="G2" s="16" t="s">
        <v>53</v>
      </c>
      <c r="H2" s="16" t="s">
        <v>53</v>
      </c>
      <c r="I2" s="16" t="s">
        <v>53</v>
      </c>
      <c r="J2" s="16" t="s">
        <v>53</v>
      </c>
      <c r="K2" s="16" t="s">
        <v>54</v>
      </c>
      <c r="L2" s="16" t="s">
        <v>55</v>
      </c>
      <c r="M2" s="16" t="s">
        <v>55</v>
      </c>
    </row>
    <row r="3" customFormat="false" ht="12.75" hidden="false" customHeight="false" outlineLevel="0" collapsed="false">
      <c r="A3" s="17" t="n">
        <f aca="false">A2+1</f>
        <v>3</v>
      </c>
      <c r="B3" s="17" t="s">
        <v>29</v>
      </c>
      <c r="C3" s="18" t="s">
        <v>56</v>
      </c>
      <c r="D3" s="15" t="s">
        <v>38</v>
      </c>
      <c r="E3" s="16" t="s">
        <v>34</v>
      </c>
      <c r="F3" s="16" t="s">
        <v>57</v>
      </c>
      <c r="G3" s="16" t="s">
        <v>38</v>
      </c>
      <c r="H3" s="16" t="s">
        <v>38</v>
      </c>
      <c r="I3" s="16" t="s">
        <v>34</v>
      </c>
      <c r="J3" s="16" t="s">
        <v>34</v>
      </c>
      <c r="K3" s="16" t="s">
        <v>43</v>
      </c>
      <c r="L3" s="16" t="s">
        <v>34</v>
      </c>
      <c r="M3" s="16" t="s">
        <v>43</v>
      </c>
    </row>
    <row r="4" customFormat="false" ht="12.75" hidden="false" customHeight="false" outlineLevel="0" collapsed="false">
      <c r="A4" s="17" t="n">
        <f aca="false">A3+1</f>
        <v>4</v>
      </c>
      <c r="B4" s="3"/>
      <c r="C4" s="4"/>
      <c r="D4" s="5" t="s">
        <v>45</v>
      </c>
      <c r="E4" s="6" t="s">
        <v>45</v>
      </c>
      <c r="F4" s="6" t="s">
        <v>58</v>
      </c>
      <c r="G4" s="6" t="s">
        <v>59</v>
      </c>
      <c r="H4" s="6" t="s">
        <v>46</v>
      </c>
      <c r="I4" s="6" t="s">
        <v>60</v>
      </c>
      <c r="J4" s="6" t="s">
        <v>44</v>
      </c>
      <c r="K4" s="6" t="s">
        <v>48</v>
      </c>
      <c r="L4" s="6" t="s">
        <v>44</v>
      </c>
      <c r="M4" s="6" t="s">
        <v>48</v>
      </c>
    </row>
    <row r="5" customFormat="false" ht="12.75" hidden="false" customHeight="false" outlineLevel="0" collapsed="false">
      <c r="A5" s="17" t="n">
        <f aca="false">A4+1</f>
        <v>5</v>
      </c>
      <c r="B5" s="7" t="n">
        <v>34274</v>
      </c>
      <c r="C5" s="20" t="n">
        <f aca="false">DAY(EOMONTH(B5,0))</f>
        <v>30</v>
      </c>
      <c r="D5" s="40"/>
      <c r="E5" s="12" t="s">
        <v>61</v>
      </c>
      <c r="F5" s="12"/>
      <c r="G5" s="12"/>
      <c r="H5" s="1"/>
      <c r="I5" s="12"/>
    </row>
    <row r="6" customFormat="false" ht="12.75" hidden="false" customHeight="false" outlineLevel="0" collapsed="false">
      <c r="A6" s="17" t="n">
        <f aca="false">A5+1</f>
        <v>6</v>
      </c>
      <c r="B6" s="7" t="n">
        <v>34304</v>
      </c>
      <c r="C6" s="20" t="n">
        <f aca="false">DAY(EOMONTH(B6,0))</f>
        <v>31</v>
      </c>
      <c r="D6" s="40"/>
      <c r="E6" s="12" t="s">
        <v>62</v>
      </c>
      <c r="F6" s="12"/>
      <c r="G6" s="12"/>
      <c r="H6" s="1"/>
      <c r="I6" s="12"/>
    </row>
    <row r="7" customFormat="false" ht="12.75" hidden="false" customHeight="false" outlineLevel="0" collapsed="false">
      <c r="A7" s="17" t="n">
        <f aca="false">A6+1</f>
        <v>7</v>
      </c>
      <c r="B7" s="7" t="n">
        <v>34335</v>
      </c>
      <c r="C7" s="20" t="n">
        <f aca="false">DAY(EOMONTH(B7,0))</f>
        <v>31</v>
      </c>
      <c r="D7" s="40"/>
      <c r="E7" s="24"/>
      <c r="F7" s="12"/>
      <c r="G7" s="41"/>
      <c r="I7" s="12"/>
    </row>
    <row r="8" customFormat="false" ht="12.75" hidden="false" customHeight="false" outlineLevel="0" collapsed="false">
      <c r="A8" s="17" t="n">
        <f aca="false">A7+1</f>
        <v>8</v>
      </c>
      <c r="B8" s="7" t="n">
        <v>34366</v>
      </c>
      <c r="C8" s="20" t="n">
        <f aca="false">DAY(EOMONTH(B8,0))</f>
        <v>28</v>
      </c>
      <c r="D8" s="42" t="n">
        <f aca="false">filings!C21</f>
        <v>51000</v>
      </c>
      <c r="E8" s="22" t="n">
        <f aca="false">filings!D21</f>
        <v>901.8</v>
      </c>
      <c r="F8" s="43" t="n">
        <f aca="false">0.0191938/0.000031</f>
        <v>619.154838709677</v>
      </c>
      <c r="G8" s="41" t="n">
        <f aca="false">(D8+E8)*F8/1000000</f>
        <v>32.1352506077419</v>
      </c>
      <c r="H8" s="41" t="n">
        <f aca="false">(D8+E8)*F8/C8/1000000</f>
        <v>1.14768752170507</v>
      </c>
      <c r="I8" s="12" t="n">
        <f aca="false">E8/C8</f>
        <v>32.2071428571429</v>
      </c>
      <c r="J8" s="27" t="n">
        <f aca="false">I8/H8/1000000</f>
        <v>2.8062640961099E-005</v>
      </c>
      <c r="K8" s="28" t="str">
        <f aca="false">IF(J8&gt;0.00415%,ROUND(J8-0.0041%,6),"")</f>
        <v/>
      </c>
      <c r="L8" s="27" t="n">
        <f aca="false">ex8!D8</f>
        <v>3.1E-005</v>
      </c>
      <c r="M8" s="28" t="str">
        <f aca="false">IF(L8&gt;0.00415%,ROUND(L8-0.0041%,6),"")</f>
        <v/>
      </c>
    </row>
    <row r="9" customFormat="false" ht="12.75" hidden="false" customHeight="false" outlineLevel="0" collapsed="false">
      <c r="A9" s="17" t="n">
        <f aca="false">A8+1</f>
        <v>9</v>
      </c>
      <c r="B9" s="7" t="n">
        <v>34394</v>
      </c>
      <c r="C9" s="20" t="n">
        <f aca="false">DAY(EOMONTH(B9,0))</f>
        <v>31</v>
      </c>
      <c r="D9" s="42" t="n">
        <f aca="false">filings!C22</f>
        <v>53000</v>
      </c>
      <c r="E9" s="22" t="n">
        <f aca="false">filings!D22</f>
        <v>729.9</v>
      </c>
      <c r="F9" s="44" t="n">
        <f aca="false">0.0204886/0.000033</f>
        <v>620.866666666667</v>
      </c>
      <c r="G9" s="41" t="n">
        <f aca="false">(D9+E9)*F9/1000000</f>
        <v>33.3591039133333</v>
      </c>
      <c r="H9" s="41" t="n">
        <f aca="false">(D9+E9)*F9/C9/1000000</f>
        <v>1.07610012623656</v>
      </c>
      <c r="I9" s="12" t="n">
        <f aca="false">E9/C9</f>
        <v>23.5451612903226</v>
      </c>
      <c r="J9" s="27" t="n">
        <f aca="false">I9/H9/1000000</f>
        <v>2.18800841262485E-005</v>
      </c>
      <c r="K9" s="28" t="str">
        <f aca="false">IF(J9&gt;0.00415%,ROUND(J9-0.0041%,6),"")</f>
        <v/>
      </c>
      <c r="L9" s="27" t="n">
        <f aca="false">ex8!D9</f>
        <v>3.3E-005</v>
      </c>
      <c r="M9" s="28" t="str">
        <f aca="false">IF(L9&gt;0.00415%,ROUND(L9-0.0041%,6),"")</f>
        <v/>
      </c>
    </row>
    <row r="10" customFormat="false" ht="12.75" hidden="false" customHeight="false" outlineLevel="0" collapsed="false">
      <c r="A10" s="17" t="n">
        <f aca="false">A9+1</f>
        <v>10</v>
      </c>
      <c r="B10" s="7" t="n">
        <v>34425</v>
      </c>
      <c r="C10" s="20" t="n">
        <f aca="false">DAY(EOMONTH(B10,0))</f>
        <v>30</v>
      </c>
      <c r="D10" s="42" t="n">
        <f aca="false">filings!C23</f>
        <v>49000</v>
      </c>
      <c r="E10" s="22" t="n">
        <f aca="false">filings!D23</f>
        <v>896.9</v>
      </c>
      <c r="F10" s="44" t="n">
        <f aca="false">0.0159979/0.000026</f>
        <v>615.303846153846</v>
      </c>
      <c r="G10" s="41" t="n">
        <f aca="false">(D10+E10)*F10/1000000</f>
        <v>30.7017544811539</v>
      </c>
      <c r="H10" s="41" t="n">
        <f aca="false">(D10+E10)*F10/C10/1000000</f>
        <v>1.02339181603846</v>
      </c>
      <c r="I10" s="12" t="n">
        <f aca="false">E10/C10</f>
        <v>29.8966666666667</v>
      </c>
      <c r="J10" s="27" t="n">
        <f aca="false">I10/H10/1000000</f>
        <v>2.92133141951402E-005</v>
      </c>
      <c r="K10" s="28" t="str">
        <f aca="false">IF(J10&gt;0.00415%,ROUND(J10-0.0041%,6),"")</f>
        <v/>
      </c>
      <c r="L10" s="27" t="n">
        <f aca="false">ex8!D10</f>
        <v>2.6E-005</v>
      </c>
      <c r="M10" s="28" t="str">
        <f aca="false">IF(L10&gt;0.00415%,ROUND(L10-0.0041%,6),"")</f>
        <v/>
      </c>
    </row>
    <row r="11" customFormat="false" ht="12.75" hidden="false" customHeight="false" outlineLevel="0" collapsed="false">
      <c r="A11" s="17" t="n">
        <f aca="false">A10+1</f>
        <v>11</v>
      </c>
      <c r="B11" s="7" t="n">
        <v>34455</v>
      </c>
      <c r="C11" s="20" t="n">
        <f aca="false">DAY(EOMONTH(B11,0))</f>
        <v>31</v>
      </c>
      <c r="D11" s="42" t="n">
        <f aca="false">filings!C24</f>
        <v>50000</v>
      </c>
      <c r="E11" s="22" t="n">
        <f aca="false">filings!D24</f>
        <v>1177</v>
      </c>
      <c r="F11" s="44" t="n">
        <f aca="false">0.01535/0.000025</f>
        <v>614</v>
      </c>
      <c r="G11" s="41" t="n">
        <f aca="false">(D11+E11)*F11/1000000</f>
        <v>31.422678</v>
      </c>
      <c r="H11" s="41" t="n">
        <f aca="false">(D11+E11)*F11/C11/1000000</f>
        <v>1.01363477419355</v>
      </c>
      <c r="I11" s="12" t="n">
        <f aca="false">E11/C11</f>
        <v>37.9677419354839</v>
      </c>
      <c r="J11" s="27" t="n">
        <f aca="false">I11/H11/1000000</f>
        <v>3.7457023873013E-005</v>
      </c>
      <c r="K11" s="28" t="str">
        <f aca="false">IF(J11&gt;0.00415%,ROUND(J11-0.0041%,6),"")</f>
        <v/>
      </c>
      <c r="L11" s="27" t="n">
        <f aca="false">ex8!D11</f>
        <v>2.5E-005</v>
      </c>
      <c r="M11" s="28" t="str">
        <f aca="false">IF(L11&gt;0.00415%,ROUND(L11-0.0041%,6),"")</f>
        <v/>
      </c>
    </row>
    <row r="12" customFormat="false" ht="12.75" hidden="false" customHeight="false" outlineLevel="0" collapsed="false">
      <c r="A12" s="17" t="n">
        <f aca="false">A11+1</f>
        <v>12</v>
      </c>
      <c r="B12" s="7" t="n">
        <v>34486</v>
      </c>
      <c r="C12" s="20" t="n">
        <f aca="false">DAY(EOMONTH(B12,0))</f>
        <v>30</v>
      </c>
      <c r="D12" s="42" t="n">
        <f aca="false">filings!C25</f>
        <v>52000</v>
      </c>
      <c r="E12" s="22" t="n">
        <f aca="false">filings!D25</f>
        <v>717.5</v>
      </c>
      <c r="F12" s="44" t="n">
        <f aca="false">0.012224/0.00002</f>
        <v>611.2</v>
      </c>
      <c r="G12" s="41" t="n">
        <f aca="false">(D12+E12)*F12/1000000</f>
        <v>32.220936</v>
      </c>
      <c r="H12" s="41" t="n">
        <f aca="false">(D12+E12)*F12/C12/1000000</f>
        <v>1.0740312</v>
      </c>
      <c r="I12" s="12" t="n">
        <f aca="false">E12/C12</f>
        <v>23.9166666666667</v>
      </c>
      <c r="J12" s="27" t="n">
        <f aca="false">I12/H12/1000000</f>
        <v>2.22681302616411E-005</v>
      </c>
      <c r="K12" s="28" t="str">
        <f aca="false">IF(J12&gt;0.00415%,ROUND(J12-0.0041%,6),"")</f>
        <v/>
      </c>
      <c r="L12" s="27" t="n">
        <f aca="false">ex8!D12</f>
        <v>2E-005</v>
      </c>
      <c r="M12" s="28" t="str">
        <f aca="false">IF(L12&gt;0.00415%,ROUND(L12-0.0041%,6),"")</f>
        <v/>
      </c>
    </row>
    <row r="13" customFormat="false" ht="12.75" hidden="false" customHeight="false" outlineLevel="0" collapsed="false">
      <c r="A13" s="17" t="n">
        <f aca="false">A12+1</f>
        <v>13</v>
      </c>
      <c r="B13" s="7" t="n">
        <v>34516</v>
      </c>
      <c r="C13" s="20" t="n">
        <f aca="false">DAY(EOMONTH(B13,0))</f>
        <v>31</v>
      </c>
      <c r="D13" s="42" t="n">
        <f aca="false">filings!C26</f>
        <v>60000</v>
      </c>
      <c r="E13" s="22" t="n">
        <f aca="false">filings!D26</f>
        <v>767.6</v>
      </c>
      <c r="F13" s="44" t="n">
        <f aca="false">0.012224/0.00002</f>
        <v>611.2</v>
      </c>
      <c r="G13" s="41" t="n">
        <f aca="false">(D13+E13)*F13/1000000</f>
        <v>37.14115712</v>
      </c>
      <c r="H13" s="41" t="n">
        <f aca="false">(D13+E13)*F13/C13/1000000</f>
        <v>1.19810184258065</v>
      </c>
      <c r="I13" s="12" t="n">
        <f aca="false">E13/C13</f>
        <v>24.7612903225806</v>
      </c>
      <c r="J13" s="27" t="n">
        <f aca="false">I13/H13/1000000</f>
        <v>2.0667099776131E-005</v>
      </c>
      <c r="K13" s="28" t="str">
        <f aca="false">IF(J13&gt;0.00415%,ROUND(J13-0.0041%,6),"")</f>
        <v/>
      </c>
      <c r="L13" s="27" t="n">
        <f aca="false">ex8!D13</f>
        <v>1.6E-005</v>
      </c>
      <c r="M13" s="28" t="str">
        <f aca="false">IF(L13&gt;0.00415%,ROUND(L13-0.0041%,6),"")</f>
        <v/>
      </c>
    </row>
    <row r="14" customFormat="false" ht="12.75" hidden="false" customHeight="false" outlineLevel="0" collapsed="false">
      <c r="A14" s="17" t="n">
        <f aca="false">A13+1</f>
        <v>14</v>
      </c>
      <c r="B14" s="7" t="n">
        <v>34547</v>
      </c>
      <c r="C14" s="20" t="n">
        <f aca="false">DAY(EOMONTH(B14,0))</f>
        <v>31</v>
      </c>
      <c r="D14" s="42" t="n">
        <f aca="false">filings!C27</f>
        <v>64000</v>
      </c>
      <c r="E14" s="22" t="n">
        <f aca="false">filings!D27</f>
        <v>935.9</v>
      </c>
      <c r="F14" s="44" t="n">
        <f aca="false">0.013464/0.000022</f>
        <v>612</v>
      </c>
      <c r="G14" s="41" t="n">
        <f aca="false">(D14+E14)*F14/1000000</f>
        <v>39.7407708</v>
      </c>
      <c r="H14" s="41" t="n">
        <f aca="false">(D14+E14)*F14/C14/1000000</f>
        <v>1.2819603483871</v>
      </c>
      <c r="I14" s="12" t="n">
        <f aca="false">E14/C14</f>
        <v>30.1903225806452</v>
      </c>
      <c r="J14" s="27" t="n">
        <f aca="false">I14/H14/1000000</f>
        <v>2.35501219820326E-005</v>
      </c>
      <c r="K14" s="28" t="str">
        <f aca="false">IF(J14&gt;0.00415%,ROUND(J14-0.0041%,6),"")</f>
        <v/>
      </c>
      <c r="L14" s="27" t="n">
        <f aca="false">ex8!D14</f>
        <v>1.8E-005</v>
      </c>
      <c r="M14" s="28" t="str">
        <f aca="false">IF(L14&gt;0.00415%,ROUND(L14-0.0041%,6),"")</f>
        <v/>
      </c>
    </row>
    <row r="15" customFormat="false" ht="12.75" hidden="false" customHeight="false" outlineLevel="0" collapsed="false">
      <c r="A15" s="17" t="n">
        <f aca="false">A14+1</f>
        <v>15</v>
      </c>
      <c r="B15" s="7" t="n">
        <v>34578</v>
      </c>
      <c r="C15" s="20" t="n">
        <f aca="false">DAY(EOMONTH(B15,0))</f>
        <v>30</v>
      </c>
      <c r="D15" s="42" t="n">
        <f aca="false">filings!C28</f>
        <v>64000</v>
      </c>
      <c r="E15" s="22" t="n">
        <f aca="false">filings!D28</f>
        <v>871.7</v>
      </c>
      <c r="F15" s="44" t="n">
        <f aca="false">0.017748/0.000029</f>
        <v>612</v>
      </c>
      <c r="G15" s="41" t="n">
        <f aca="false">(D15+E15)*F15/1000000</f>
        <v>39.7014804</v>
      </c>
      <c r="H15" s="41" t="n">
        <f aca="false">(D15+E15)*F15/C15/1000000</f>
        <v>1.32338268</v>
      </c>
      <c r="I15" s="12" t="n">
        <f aca="false">E15/C15</f>
        <v>29.0566666666667</v>
      </c>
      <c r="J15" s="27" t="n">
        <f aca="false">I15/H15/1000000</f>
        <v>2.19563600958316E-005</v>
      </c>
      <c r="K15" s="28" t="str">
        <f aca="false">IF(J15&gt;0.00415%,ROUND(J15-0.0041%,6),"")</f>
        <v/>
      </c>
      <c r="L15" s="27" t="n">
        <f aca="false">ex8!D15</f>
        <v>2.5E-005</v>
      </c>
      <c r="M15" s="28" t="str">
        <f aca="false">IF(L15&gt;0.00415%,ROUND(L15-0.0041%,6),"")</f>
        <v/>
      </c>
    </row>
    <row r="16" customFormat="false" ht="12.75" hidden="false" customHeight="false" outlineLevel="0" collapsed="false">
      <c r="A16" s="17" t="n">
        <f aca="false">A15+1</f>
        <v>16</v>
      </c>
      <c r="B16" s="7" t="n">
        <v>34608</v>
      </c>
      <c r="C16" s="20" t="n">
        <f aca="false">DAY(EOMONTH(B16,0))</f>
        <v>31</v>
      </c>
      <c r="D16" s="42" t="n">
        <f aca="false">filings!C29</f>
        <v>64000</v>
      </c>
      <c r="E16" s="22" t="n">
        <f aca="false">filings!D29</f>
        <v>701.5</v>
      </c>
      <c r="F16" s="44" t="n">
        <f aca="false">0.020808/0.000034</f>
        <v>612</v>
      </c>
      <c r="G16" s="41" t="n">
        <f aca="false">(D16+E16)*F16/1000000</f>
        <v>39.597318</v>
      </c>
      <c r="H16" s="41" t="n">
        <f aca="false">(D16+E16)*F16/C16/1000000</f>
        <v>1.27733283870968</v>
      </c>
      <c r="I16" s="12" t="n">
        <f aca="false">E16/C16</f>
        <v>22.6290322580645</v>
      </c>
      <c r="J16" s="27" t="n">
        <f aca="false">I16/H16/1000000</f>
        <v>1.77158463106011E-005</v>
      </c>
      <c r="K16" s="28" t="str">
        <f aca="false">IF(J16&gt;0.00415%,ROUND(J16-0.0041%,6),"")</f>
        <v/>
      </c>
      <c r="L16" s="27" t="n">
        <f aca="false">ex8!D16</f>
        <v>3E-005</v>
      </c>
      <c r="M16" s="28" t="str">
        <f aca="false">IF(L16&gt;0.00415%,ROUND(L16-0.0041%,6),"")</f>
        <v/>
      </c>
    </row>
    <row r="17" customFormat="false" ht="12.75" hidden="false" customHeight="false" outlineLevel="0" collapsed="false">
      <c r="A17" s="17" t="n">
        <f aca="false">A16+1</f>
        <v>17</v>
      </c>
      <c r="B17" s="7" t="n">
        <v>34639</v>
      </c>
      <c r="C17" s="20" t="n">
        <f aca="false">DAY(EOMONTH(B17,0))</f>
        <v>30</v>
      </c>
      <c r="D17" s="42" t="n">
        <f aca="false">filings!C30</f>
        <v>70163</v>
      </c>
      <c r="E17" s="22" t="n">
        <f aca="false">filings!D30</f>
        <v>1000</v>
      </c>
      <c r="F17" s="45" t="n">
        <f aca="false">0.018374/0.000037</f>
        <v>496.594594594595</v>
      </c>
      <c r="G17" s="41" t="n">
        <f aca="false">(D17+E17)*F17/1000000</f>
        <v>35.3391611351351</v>
      </c>
      <c r="H17" s="41" t="n">
        <f aca="false">(D17+E17)*F17/C17/1000000</f>
        <v>1.17797203783784</v>
      </c>
      <c r="I17" s="12" t="n">
        <f aca="false">E17/C17</f>
        <v>33.3333333333333</v>
      </c>
      <c r="J17" s="27" t="n">
        <f aca="false">I17/H17/1000000</f>
        <v>2.82972195116928E-005</v>
      </c>
      <c r="K17" s="28" t="str">
        <f aca="false">IF(J17&gt;0.00415%,ROUND(J17-0.0041%,6),"")</f>
        <v/>
      </c>
      <c r="L17" s="27" t="n">
        <f aca="false">ex8!D17</f>
        <v>3.7E-005</v>
      </c>
      <c r="M17" s="28" t="str">
        <f aca="false">IF(L17&gt;0.00415%,ROUND(L17-0.0041%,6),"")</f>
        <v/>
      </c>
    </row>
    <row r="18" customFormat="false" ht="12.75" hidden="false" customHeight="false" outlineLevel="0" collapsed="false">
      <c r="A18" s="17" t="n">
        <f aca="false">A17+1</f>
        <v>18</v>
      </c>
      <c r="B18" s="7" t="n">
        <v>34669</v>
      </c>
      <c r="C18" s="20" t="n">
        <f aca="false">DAY(EOMONTH(B18,0))</f>
        <v>31</v>
      </c>
      <c r="D18" s="42" t="n">
        <f aca="false">filings!C31</f>
        <v>70000</v>
      </c>
      <c r="E18" s="22" t="n">
        <f aca="false">filings!D31</f>
        <v>1250.7</v>
      </c>
      <c r="F18" s="44" t="n">
        <f aca="false">0.022661/0.000037</f>
        <v>612.45945945946</v>
      </c>
      <c r="G18" s="41" t="n">
        <f aca="false">(D18+E18)*F18/1000000</f>
        <v>43.6381652081081</v>
      </c>
      <c r="H18" s="41" t="n">
        <f aca="false">(D18+E18)*F18/C18/1000000</f>
        <v>1.40768274864865</v>
      </c>
      <c r="I18" s="12" t="n">
        <f aca="false">E18/C18</f>
        <v>40.3451612903226</v>
      </c>
      <c r="J18" s="27" t="n">
        <f aca="false">I18/H18/1000000</f>
        <v>2.86606917141332E-005</v>
      </c>
      <c r="K18" s="28" t="str">
        <f aca="false">IF(J18&gt;0.00415%,ROUND(J18-0.0041%,6),"")</f>
        <v/>
      </c>
      <c r="L18" s="27" t="n">
        <f aca="false">ex8!D18</f>
        <v>3.7E-005</v>
      </c>
      <c r="M18" s="28" t="str">
        <f aca="false">IF(L18&gt;0.00415%,ROUND(L18-0.0041%,6),"")</f>
        <v/>
      </c>
    </row>
    <row r="19" customFormat="false" ht="12.75" hidden="false" customHeight="false" outlineLevel="0" collapsed="false">
      <c r="A19" s="17" t="n">
        <f aca="false">A18+1</f>
        <v>19</v>
      </c>
      <c r="B19" s="7" t="n">
        <v>34700</v>
      </c>
      <c r="C19" s="20" t="n">
        <f aca="false">DAY(EOMONTH(B19,0))</f>
        <v>31</v>
      </c>
      <c r="D19" s="42" t="n">
        <f aca="false">filings!C32</f>
        <v>72000</v>
      </c>
      <c r="E19" s="22" t="n">
        <f aca="false">filings!D32</f>
        <v>1316.6</v>
      </c>
      <c r="F19" s="44" t="n">
        <f aca="false">0.024498/0.00004</f>
        <v>612.45</v>
      </c>
      <c r="G19" s="41" t="n">
        <f aca="false">(D19+E19)*F19/1000000</f>
        <v>44.90275167</v>
      </c>
      <c r="H19" s="41" t="n">
        <f aca="false">(D19+E19)*F19/C19/1000000</f>
        <v>1.44847586032258</v>
      </c>
      <c r="I19" s="12" t="n">
        <f aca="false">E19/C19</f>
        <v>42.4709677419355</v>
      </c>
      <c r="J19" s="27" t="n">
        <f aca="false">I19/H19/1000000</f>
        <v>2.93211429374301E-005</v>
      </c>
      <c r="K19" s="28" t="str">
        <f aca="false">IF(J19&gt;0.00415%,ROUND(J19-0.0041%,6),"")</f>
        <v/>
      </c>
      <c r="L19" s="27" t="n">
        <f aca="false">ex8!D19</f>
        <v>4E-005</v>
      </c>
      <c r="M19" s="28" t="str">
        <f aca="false">IF(L19&gt;0.00415%,ROUND(L19-0.0041%,6),"")</f>
        <v/>
      </c>
    </row>
    <row r="20" customFormat="false" ht="12.75" hidden="false" customHeight="false" outlineLevel="0" collapsed="false">
      <c r="A20" s="17" t="n">
        <f aca="false">A19+1</f>
        <v>20</v>
      </c>
      <c r="B20" s="7" t="n">
        <v>34731</v>
      </c>
      <c r="C20" s="20" t="n">
        <f aca="false">DAY(EOMONTH(B20,0))</f>
        <v>28</v>
      </c>
      <c r="D20" s="42" t="n">
        <f aca="false">filings!C33</f>
        <v>73730</v>
      </c>
      <c r="E20" s="22" t="n">
        <f aca="false">filings!D33</f>
        <v>1420</v>
      </c>
      <c r="F20" s="44" t="n">
        <f aca="false">0.026948/0.000044</f>
        <v>612.454545454546</v>
      </c>
      <c r="G20" s="41" t="n">
        <f aca="false">(D20+E20)*F20/1000000</f>
        <v>46.0259590909091</v>
      </c>
      <c r="H20" s="41" t="n">
        <f aca="false">(D20+E20)*F20/C20/1000000</f>
        <v>1.64378425324675</v>
      </c>
      <c r="I20" s="12" t="n">
        <f aca="false">E20/C20</f>
        <v>50.7142857142857</v>
      </c>
      <c r="J20" s="27" t="n">
        <f aca="false">I20/H20/1000000</f>
        <v>3.08521544808063E-005</v>
      </c>
      <c r="K20" s="28" t="str">
        <f aca="false">IF(J20&gt;0.00415%,ROUND(J20-0.0041%,6),"")</f>
        <v/>
      </c>
      <c r="L20" s="27" t="n">
        <f aca="false">ex8!D20</f>
        <v>4.4E-005</v>
      </c>
      <c r="M20" s="28" t="n">
        <f aca="false">IF(L20&gt;0.00415%,ROUND(L20-0.0041%,6),"")</f>
        <v>3E-006</v>
      </c>
    </row>
    <row r="21" customFormat="false" ht="12.75" hidden="false" customHeight="false" outlineLevel="0" collapsed="false">
      <c r="A21" s="17" t="n">
        <f aca="false">A20+1</f>
        <v>21</v>
      </c>
      <c r="B21" s="7" t="n">
        <v>34759</v>
      </c>
      <c r="C21" s="20" t="n">
        <f aca="false">DAY(EOMONTH(B21,0))</f>
        <v>31</v>
      </c>
      <c r="D21" s="42" t="n">
        <f aca="false">filings!C34</f>
        <v>71534</v>
      </c>
      <c r="E21" s="22" t="n">
        <f aca="false">filings!D34</f>
        <v>1275</v>
      </c>
      <c r="F21" s="44" t="n">
        <f aca="false">0.026948/0.000044</f>
        <v>612.454545454546</v>
      </c>
      <c r="G21" s="41" t="n">
        <f aca="false">(D21+E21)*F21/1000000</f>
        <v>44.592203</v>
      </c>
      <c r="H21" s="41" t="n">
        <f aca="false">(D21+E21)*F21/C21/1000000</f>
        <v>1.43845816129032</v>
      </c>
      <c r="I21" s="12" t="n">
        <f aca="false">E21/C21</f>
        <v>41.1290322580645</v>
      </c>
      <c r="J21" s="27" t="n">
        <f aca="false">I21/H21/1000000</f>
        <v>2.85924424949357E-005</v>
      </c>
      <c r="K21" s="28" t="str">
        <f aca="false">IF(J21&gt;0.00415%,ROUND(J21-0.0041%,6),"")</f>
        <v/>
      </c>
      <c r="L21" s="27" t="n">
        <f aca="false">ex8!D21</f>
        <v>4.4E-005</v>
      </c>
      <c r="M21" s="28" t="n">
        <f aca="false">IF(L21&gt;0.00415%,ROUND(L21-0.0041%,6),"")</f>
        <v>3E-006</v>
      </c>
    </row>
    <row r="22" customFormat="false" ht="12.75" hidden="false" customHeight="false" outlineLevel="0" collapsed="false">
      <c r="A22" s="17" t="n">
        <f aca="false">A21+1</f>
        <v>22</v>
      </c>
      <c r="B22" s="7" t="n">
        <v>34790</v>
      </c>
      <c r="C22" s="20" t="n">
        <f aca="false">DAY(EOMONTH(B22,0))</f>
        <v>30</v>
      </c>
      <c r="D22" s="42" t="n">
        <f aca="false">filings!C35</f>
        <v>47430</v>
      </c>
      <c r="E22" s="22" t="n">
        <f aca="false">filings!D35</f>
        <v>1490</v>
      </c>
      <c r="F22" s="46" t="n">
        <f aca="false">0.026948/0.000044</f>
        <v>612.454545454546</v>
      </c>
      <c r="G22" s="41" t="n">
        <f aca="false">(D22+E22)*F22/1000000</f>
        <v>29.9612763636364</v>
      </c>
      <c r="H22" s="41" t="n">
        <f aca="false">(D22+E22)*F22/C22/1000000</f>
        <v>0.998709212121212</v>
      </c>
      <c r="I22" s="12" t="n">
        <f aca="false">E22/C22</f>
        <v>49.6666666666667</v>
      </c>
      <c r="J22" s="27" t="n">
        <f aca="false">I22/H22/1000000</f>
        <v>4.97308586562218E-005</v>
      </c>
      <c r="K22" s="28" t="n">
        <f aca="false">IF(J22&gt;0.00415%,ROUND(J22-0.0041%,6),"")</f>
        <v>9E-006</v>
      </c>
      <c r="L22" s="27" t="n">
        <f aca="false">ex8!D22</f>
        <v>4.8E-005</v>
      </c>
      <c r="M22" s="28" t="n">
        <f aca="false">IF(L22&gt;0.00415%,ROUND(L22-0.0041%,6),"")</f>
        <v>7E-006</v>
      </c>
    </row>
    <row r="23" customFormat="false" ht="12.75" hidden="false" customHeight="false" outlineLevel="0" collapsed="false">
      <c r="A23" s="17" t="n">
        <f aca="false">A22+1</f>
        <v>23</v>
      </c>
      <c r="B23" s="7" t="n">
        <v>34820</v>
      </c>
      <c r="C23" s="20" t="n">
        <f aca="false">DAY(EOMONTH(B23,0))</f>
        <v>31</v>
      </c>
      <c r="D23" s="42" t="n">
        <f aca="false">filings!C36</f>
        <v>66400</v>
      </c>
      <c r="E23" s="22" t="n">
        <f aca="false">filings!D36</f>
        <v>1825</v>
      </c>
      <c r="F23" s="1" t="n">
        <f aca="false">filings!K36</f>
        <v>520</v>
      </c>
      <c r="G23" s="41" t="n">
        <f aca="false">(D23+E23)*F23/1000000</f>
        <v>35.477</v>
      </c>
      <c r="H23" s="41" t="n">
        <f aca="false">(D23+E23)*F23/C23/1000000</f>
        <v>1.14441935483871</v>
      </c>
      <c r="I23" s="12" t="n">
        <f aca="false">E23/C23</f>
        <v>58.8709677419355</v>
      </c>
      <c r="J23" s="27" t="n">
        <f aca="false">I23/H23/1000000</f>
        <v>5.14417791808778E-005</v>
      </c>
      <c r="K23" s="28" t="n">
        <f aca="false">IF(J23&gt;0.00415%,ROUND(J23-0.0041%,6),"")</f>
        <v>1E-005</v>
      </c>
      <c r="L23" s="27" t="n">
        <f aca="false">ex8!D23</f>
        <v>4.8E-005</v>
      </c>
      <c r="M23" s="28" t="n">
        <f aca="false">IF(L23&gt;0.00415%,ROUND(L23-0.0041%,6),"")</f>
        <v>7E-006</v>
      </c>
    </row>
    <row r="24" customFormat="false" ht="12.75" hidden="false" customHeight="false" outlineLevel="0" collapsed="false">
      <c r="A24" s="17" t="n">
        <f aca="false">A23+1</f>
        <v>24</v>
      </c>
      <c r="B24" s="7" t="n">
        <v>34851</v>
      </c>
      <c r="C24" s="20" t="n">
        <f aca="false">DAY(EOMONTH(B24,0))</f>
        <v>30</v>
      </c>
      <c r="D24" s="42" t="n">
        <f aca="false">filings!C37</f>
        <v>65500</v>
      </c>
      <c r="E24" s="22" t="n">
        <f aca="false">filings!D37</f>
        <v>1485</v>
      </c>
      <c r="F24" s="1" t="n">
        <f aca="false">filings!K37</f>
        <v>520</v>
      </c>
      <c r="G24" s="41" t="n">
        <f aca="false">(D24+E24)*F24/1000000</f>
        <v>34.8322</v>
      </c>
      <c r="H24" s="41" t="n">
        <f aca="false">(D24+E24)*F24/C24/1000000</f>
        <v>1.16107333333333</v>
      </c>
      <c r="I24" s="12" t="n">
        <f aca="false">E24/C24</f>
        <v>49.5</v>
      </c>
      <c r="J24" s="27" t="n">
        <f aca="false">I24/H24/1000000</f>
        <v>4.26329660486561E-005</v>
      </c>
      <c r="K24" s="28" t="n">
        <f aca="false">IF(J24&gt;0.00415%,ROUND(J24-0.0041%,6),"")</f>
        <v>2E-006</v>
      </c>
      <c r="L24" s="27" t="n">
        <f aca="false">ex8!D24</f>
        <v>4.8E-005</v>
      </c>
      <c r="M24" s="28" t="n">
        <f aca="false">IF(L24&gt;0.00415%,ROUND(L24-0.0041%,6),"")</f>
        <v>7E-006</v>
      </c>
    </row>
    <row r="25" customFormat="false" ht="12.75" hidden="false" customHeight="false" outlineLevel="0" collapsed="false">
      <c r="A25" s="17" t="n">
        <f aca="false">A24+1</f>
        <v>25</v>
      </c>
      <c r="B25" s="7" t="n">
        <v>34881</v>
      </c>
      <c r="C25" s="20" t="n">
        <f aca="false">DAY(EOMONTH(B25,0))</f>
        <v>31</v>
      </c>
      <c r="D25" s="42" t="n">
        <f aca="false">filings!C38</f>
        <v>66000</v>
      </c>
      <c r="E25" s="22" t="n">
        <f aca="false">filings!D38</f>
        <v>1580</v>
      </c>
      <c r="F25" s="1" t="n">
        <f aca="false">filings!K38</f>
        <v>520</v>
      </c>
      <c r="G25" s="41" t="n">
        <f aca="false">(D25+E25)*F25/1000000</f>
        <v>35.1416</v>
      </c>
      <c r="H25" s="41" t="n">
        <f aca="false">(D25+E25)*F25/C25/1000000</f>
        <v>1.1336</v>
      </c>
      <c r="I25" s="12" t="n">
        <f aca="false">E25/C25</f>
        <v>50.9677419354839</v>
      </c>
      <c r="J25" s="27" t="n">
        <f aca="false">I25/H25/1000000</f>
        <v>4.49609579529674E-005</v>
      </c>
      <c r="K25" s="28" t="n">
        <f aca="false">IF(J25&gt;0.00415%,ROUND(J25-0.0041%,6),"")</f>
        <v>4E-006</v>
      </c>
      <c r="L25" s="27" t="n">
        <f aca="false">ex8!D25</f>
        <v>4.7E-005</v>
      </c>
      <c r="M25" s="28" t="n">
        <f aca="false">IF(L25&gt;0.00415%,ROUND(L25-0.0041%,6),"")</f>
        <v>6E-006</v>
      </c>
    </row>
    <row r="26" customFormat="false" ht="12.75" hidden="false" customHeight="false" outlineLevel="0" collapsed="false">
      <c r="A26" s="17" t="n">
        <f aca="false">A25+1</f>
        <v>26</v>
      </c>
      <c r="B26" s="7" t="n">
        <v>34912</v>
      </c>
      <c r="C26" s="20" t="n">
        <f aca="false">DAY(EOMONTH(B26,0))</f>
        <v>31</v>
      </c>
      <c r="D26" s="42" t="n">
        <f aca="false">filings!C39</f>
        <v>70600</v>
      </c>
      <c r="E26" s="22" t="n">
        <f aca="false">filings!D39</f>
        <v>1800</v>
      </c>
      <c r="F26" s="1" t="n">
        <f aca="false">filings!K39</f>
        <v>520</v>
      </c>
      <c r="G26" s="41" t="n">
        <f aca="false">(D26+E26)*F26/1000000</f>
        <v>37.648</v>
      </c>
      <c r="H26" s="41" t="n">
        <f aca="false">(D26+E26)*F26/C26/1000000</f>
        <v>1.21445161290323</v>
      </c>
      <c r="I26" s="12" t="n">
        <f aca="false">E26/C26</f>
        <v>58.0645161290323</v>
      </c>
      <c r="J26" s="27" t="n">
        <f aca="false">I26/H26/1000000</f>
        <v>4.78113047173821E-005</v>
      </c>
      <c r="K26" s="28" t="n">
        <f aca="false">IF(J26&gt;0.00415%,ROUND(J26-0.0041%,6),"")</f>
        <v>7E-006</v>
      </c>
      <c r="L26" s="27" t="n">
        <f aca="false">ex8!D26</f>
        <v>4.7E-005</v>
      </c>
      <c r="M26" s="28" t="n">
        <f aca="false">IF(L26&gt;0.00415%,ROUND(L26-0.0041%,6),"")</f>
        <v>6E-006</v>
      </c>
    </row>
    <row r="27" customFormat="false" ht="12.75" hidden="false" customHeight="false" outlineLevel="0" collapsed="false">
      <c r="A27" s="17" t="n">
        <f aca="false">A26+1</f>
        <v>27</v>
      </c>
      <c r="B27" s="7" t="n">
        <v>34943</v>
      </c>
      <c r="C27" s="20" t="n">
        <f aca="false">DAY(EOMONTH(B27,0))</f>
        <v>30</v>
      </c>
      <c r="D27" s="42" t="n">
        <f aca="false">filings!C40</f>
        <v>68000</v>
      </c>
      <c r="E27" s="22" t="n">
        <f aca="false">filings!D40</f>
        <v>1575</v>
      </c>
      <c r="F27" s="1" t="n">
        <f aca="false">filings!K40</f>
        <v>520</v>
      </c>
      <c r="G27" s="41" t="n">
        <f aca="false">(D27+E27)*F27/1000000</f>
        <v>36.179</v>
      </c>
      <c r="H27" s="41" t="n">
        <f aca="false">(D27+E27)*F27/C27/1000000</f>
        <v>1.20596666666667</v>
      </c>
      <c r="I27" s="12" t="n">
        <f aca="false">E27/C27</f>
        <v>52.5</v>
      </c>
      <c r="J27" s="27" t="n">
        <f aca="false">I27/H27/1000000</f>
        <v>4.3533541557257E-005</v>
      </c>
      <c r="K27" s="28" t="n">
        <f aca="false">IF(J27&gt;0.00415%,ROUND(J27-0.0041%,6),"")</f>
        <v>3E-006</v>
      </c>
      <c r="L27" s="27" t="n">
        <f aca="false">ex8!D27</f>
        <v>4.7E-005</v>
      </c>
      <c r="M27" s="28" t="n">
        <f aca="false">IF(L27&gt;0.00415%,ROUND(L27-0.0041%,6),"")</f>
        <v>6E-006</v>
      </c>
    </row>
    <row r="28" customFormat="false" ht="12.75" hidden="false" customHeight="false" outlineLevel="0" collapsed="false">
      <c r="A28" s="17" t="n">
        <f aca="false">A27+1</f>
        <v>28</v>
      </c>
      <c r="B28" s="7" t="n">
        <v>34973</v>
      </c>
      <c r="C28" s="20" t="n">
        <f aca="false">DAY(EOMONTH(B28,0))</f>
        <v>31</v>
      </c>
      <c r="D28" s="42" t="n">
        <f aca="false">filings!C41</f>
        <v>74500</v>
      </c>
      <c r="E28" s="22" t="n">
        <f aca="false">filings!D41</f>
        <v>1485</v>
      </c>
      <c r="F28" s="1" t="n">
        <f aca="false">filings!K41</f>
        <v>520</v>
      </c>
      <c r="G28" s="41" t="n">
        <f aca="false">(D28+E28)*F28/1000000</f>
        <v>39.5122</v>
      </c>
      <c r="H28" s="41" t="n">
        <f aca="false">(D28+E28)*F28/C28/1000000</f>
        <v>1.27458709677419</v>
      </c>
      <c r="I28" s="12" t="n">
        <f aca="false">E28/C28</f>
        <v>47.9032258064516</v>
      </c>
      <c r="J28" s="27" t="n">
        <f aca="false">I28/H28/1000000</f>
        <v>3.75833286934162E-005</v>
      </c>
      <c r="K28" s="28" t="str">
        <f aca="false">IF(J28&gt;0.00415%,ROUND(J28-0.0041%,6),"")</f>
        <v/>
      </c>
      <c r="L28" s="27" t="n">
        <f aca="false">ex8!D28</f>
        <v>4E-005</v>
      </c>
      <c r="M28" s="28" t="str">
        <f aca="false">IF(L28&gt;0.00415%,ROUND(L28-0.0041%,6),"")</f>
        <v/>
      </c>
    </row>
    <row r="29" customFormat="false" ht="12.75" hidden="false" customHeight="false" outlineLevel="0" collapsed="false">
      <c r="A29" s="17" t="n">
        <f aca="false">A28+1</f>
        <v>29</v>
      </c>
      <c r="B29" s="7" t="n">
        <v>35004</v>
      </c>
      <c r="C29" s="20" t="n">
        <f aca="false">DAY(EOMONTH(B29,0))</f>
        <v>30</v>
      </c>
      <c r="D29" s="42" t="n">
        <f aca="false">filings!C42</f>
        <v>71000</v>
      </c>
      <c r="E29" s="22" t="n">
        <f aca="false">filings!D42</f>
        <v>1425</v>
      </c>
      <c r="F29" s="1" t="n">
        <f aca="false">filings!K42</f>
        <v>520</v>
      </c>
      <c r="G29" s="41" t="n">
        <f aca="false">(D29+E29)*F29/1000000</f>
        <v>37.661</v>
      </c>
      <c r="H29" s="41" t="n">
        <f aca="false">(D29+E29)*F29/C29/1000000</f>
        <v>1.25536666666667</v>
      </c>
      <c r="I29" s="12" t="n">
        <f aca="false">E29/C29</f>
        <v>47.5</v>
      </c>
      <c r="J29" s="27" t="n">
        <f aca="false">I29/H29/1000000</f>
        <v>3.78375507819761E-005</v>
      </c>
      <c r="K29" s="28" t="str">
        <f aca="false">IF(J29&gt;0.00415%,ROUND(J29-0.0041%,6),"")</f>
        <v/>
      </c>
      <c r="L29" s="27" t="n">
        <f aca="false">ex8!D29</f>
        <v>4.1E-005</v>
      </c>
      <c r="M29" s="28" t="str">
        <f aca="false">IF(L29&gt;0.00415%,ROUND(L29-0.0041%,6),"")</f>
        <v/>
      </c>
    </row>
    <row r="30" customFormat="false" ht="12.75" hidden="false" customHeight="false" outlineLevel="0" collapsed="false">
      <c r="A30" s="17" t="n">
        <f aca="false">A29+1</f>
        <v>30</v>
      </c>
      <c r="B30" s="7" t="n">
        <v>35034</v>
      </c>
      <c r="C30" s="20" t="n">
        <f aca="false">DAY(EOMONTH(B30,0))</f>
        <v>31</v>
      </c>
      <c r="D30" s="42" t="n">
        <f aca="false">filings!C43</f>
        <v>73000</v>
      </c>
      <c r="E30" s="22" t="n">
        <f aca="false">filings!D43</f>
        <v>1175</v>
      </c>
      <c r="F30" s="1" t="n">
        <f aca="false">filings!K43</f>
        <v>520</v>
      </c>
      <c r="G30" s="41" t="n">
        <f aca="false">(D30+E30)*F30/1000000</f>
        <v>38.571</v>
      </c>
      <c r="H30" s="41" t="n">
        <f aca="false">(D30+E30)*F30/C30/1000000</f>
        <v>1.24422580645161</v>
      </c>
      <c r="I30" s="12" t="n">
        <f aca="false">E30/C30</f>
        <v>37.9032258064516</v>
      </c>
      <c r="J30" s="27" t="n">
        <f aca="false">I30/H30/1000000</f>
        <v>3.04633014440901E-005</v>
      </c>
      <c r="K30" s="28" t="str">
        <f aca="false">IF(J30&gt;0.00415%,ROUND(J30-0.0041%,6),"")</f>
        <v/>
      </c>
      <c r="L30" s="27" t="n">
        <f aca="false">ex8!D30</f>
        <v>4.3E-005</v>
      </c>
      <c r="M30" s="28" t="n">
        <f aca="false">IF(L30&gt;0.00415%,ROUND(L30-0.0041%,6),"")</f>
        <v>2E-006</v>
      </c>
    </row>
    <row r="31" customFormat="false" ht="12.75" hidden="false" customHeight="false" outlineLevel="0" collapsed="false">
      <c r="A31" s="17" t="n">
        <f aca="false">A30+1</f>
        <v>31</v>
      </c>
      <c r="B31" s="7" t="n">
        <v>35065</v>
      </c>
      <c r="C31" s="20" t="n">
        <f aca="false">DAY(EOMONTH(B31,0))</f>
        <v>31</v>
      </c>
      <c r="D31" s="42" t="n">
        <f aca="false">filings!C44</f>
        <v>69000</v>
      </c>
      <c r="E31" s="22" t="n">
        <f aca="false">filings!D44</f>
        <v>1250</v>
      </c>
      <c r="F31" s="1" t="n">
        <f aca="false">filings!K44</f>
        <v>520</v>
      </c>
      <c r="G31" s="41" t="n">
        <f aca="false">(D31+E31)*F31/1000000</f>
        <v>36.53</v>
      </c>
      <c r="H31" s="41" t="n">
        <f aca="false">(D31+E31)*F31/C31/1000000</f>
        <v>1.17838709677419</v>
      </c>
      <c r="I31" s="12" t="n">
        <f aca="false">E31/C31</f>
        <v>40.3225806451613</v>
      </c>
      <c r="J31" s="27" t="n">
        <f aca="false">I31/H31/1000000</f>
        <v>3.42184505885574E-005</v>
      </c>
      <c r="K31" s="28" t="str">
        <f aca="false">IF(J31&gt;0.00415%,ROUND(J31-0.0041%,6),"")</f>
        <v/>
      </c>
      <c r="L31" s="27" t="n">
        <f aca="false">ex8!D31</f>
        <v>4.3E-005</v>
      </c>
      <c r="M31" s="28" t="n">
        <f aca="false">IF(L31&gt;0.00415%,ROUND(L31-0.0041%,6),"")</f>
        <v>2E-006</v>
      </c>
    </row>
    <row r="32" customFormat="false" ht="12.75" hidden="false" customHeight="false" outlineLevel="0" collapsed="false">
      <c r="A32" s="17" t="n">
        <f aca="false">A31+1</f>
        <v>32</v>
      </c>
      <c r="B32" s="7" t="n">
        <v>35096</v>
      </c>
      <c r="C32" s="20" t="n">
        <f aca="false">DAY(EOMONTH(B32,0))</f>
        <v>29</v>
      </c>
      <c r="D32" s="42" t="n">
        <f aca="false">filings!C45</f>
        <v>67000</v>
      </c>
      <c r="E32" s="22" t="n">
        <f aca="false">filings!D45</f>
        <v>1100</v>
      </c>
      <c r="F32" s="1" t="n">
        <f aca="false">filings!K45</f>
        <v>520</v>
      </c>
      <c r="G32" s="41" t="n">
        <f aca="false">(D32+E32)*F32/1000000</f>
        <v>35.412</v>
      </c>
      <c r="H32" s="41" t="n">
        <f aca="false">(D32+E32)*F32/C32/1000000</f>
        <v>1.22110344827586</v>
      </c>
      <c r="I32" s="12" t="n">
        <f aca="false">E32/C32</f>
        <v>37.9310344827586</v>
      </c>
      <c r="J32" s="27" t="n">
        <f aca="false">I32/H32/1000000</f>
        <v>3.10629165254716E-005</v>
      </c>
      <c r="K32" s="28" t="str">
        <f aca="false">IF(J32&gt;0.00415%,ROUND(J32-0.0041%,6),"")</f>
        <v/>
      </c>
      <c r="L32" s="27" t="n">
        <f aca="false">ex8!D32</f>
        <v>4.3E-005</v>
      </c>
      <c r="M32" s="28" t="n">
        <f aca="false">IF(L32&gt;0.00415%,ROUND(L32-0.0041%,6),"")</f>
        <v>2E-006</v>
      </c>
    </row>
    <row r="33" customFormat="false" ht="12.75" hidden="false" customHeight="false" outlineLevel="0" collapsed="false">
      <c r="A33" s="17" t="n">
        <f aca="false">A32+1</f>
        <v>33</v>
      </c>
      <c r="B33" s="7" t="n">
        <v>35125</v>
      </c>
      <c r="C33" s="20" t="n">
        <f aca="false">DAY(EOMONTH(B33,0))</f>
        <v>31</v>
      </c>
      <c r="D33" s="42" t="n">
        <f aca="false">filings!C46</f>
        <v>68000</v>
      </c>
      <c r="E33" s="22" t="n">
        <f aca="false">filings!D46</f>
        <v>1350</v>
      </c>
      <c r="F33" s="1" t="n">
        <f aca="false">filings!K46</f>
        <v>520</v>
      </c>
      <c r="G33" s="41" t="n">
        <f aca="false">(D33+E33)*F33/1000000</f>
        <v>36.062</v>
      </c>
      <c r="H33" s="41" t="n">
        <f aca="false">(D33+E33)*F33/C33/1000000</f>
        <v>1.16329032258065</v>
      </c>
      <c r="I33" s="12" t="n">
        <f aca="false">E33/C33</f>
        <v>43.5483870967742</v>
      </c>
      <c r="J33" s="27" t="n">
        <f aca="false">I33/H33/1000000</f>
        <v>3.74355277022905E-005</v>
      </c>
      <c r="K33" s="28" t="str">
        <f aca="false">IF(J33&gt;0.00415%,ROUND(J33-0.0041%,6),"")</f>
        <v/>
      </c>
      <c r="L33" s="27" t="n">
        <f aca="false">ex8!D33</f>
        <v>4.3E-005</v>
      </c>
      <c r="M33" s="28" t="n">
        <f aca="false">IF(L33&gt;0.00415%,ROUND(L33-0.0041%,6),"")</f>
        <v>2E-006</v>
      </c>
    </row>
    <row r="34" customFormat="false" ht="12.75" hidden="false" customHeight="false" outlineLevel="0" collapsed="false">
      <c r="A34" s="17" t="n">
        <f aca="false">A33+1</f>
        <v>34</v>
      </c>
      <c r="B34" s="7" t="n">
        <v>35156</v>
      </c>
      <c r="C34" s="20" t="n">
        <f aca="false">DAY(EOMONTH(B34,0))</f>
        <v>30</v>
      </c>
      <c r="D34" s="42" t="n">
        <f aca="false">filings!C47</f>
        <v>72000</v>
      </c>
      <c r="E34" s="22" t="n">
        <f aca="false">filings!D47</f>
        <v>1375</v>
      </c>
      <c r="F34" s="1" t="n">
        <f aca="false">filings!K47</f>
        <v>520</v>
      </c>
      <c r="G34" s="41" t="n">
        <f aca="false">(D34+E34)*F34/1000000</f>
        <v>38.155</v>
      </c>
      <c r="H34" s="41" t="n">
        <f aca="false">(D34+E34)*F34/C34/1000000</f>
        <v>1.27183333333333</v>
      </c>
      <c r="I34" s="12" t="n">
        <f aca="false">E34/C34</f>
        <v>45.8333333333333</v>
      </c>
      <c r="J34" s="27" t="n">
        <f aca="false">I34/H34/1000000</f>
        <v>3.6037216616433E-005</v>
      </c>
      <c r="K34" s="28" t="str">
        <f aca="false">IF(J34&gt;0.00415%,ROUND(J34-0.0041%,6),"")</f>
        <v/>
      </c>
      <c r="L34" s="27" t="n">
        <f aca="false">ex8!D34</f>
        <v>3.5E-005</v>
      </c>
      <c r="M34" s="28" t="str">
        <f aca="false">IF(L34&gt;0.00415%,ROUND(L34-0.0041%,6),"")</f>
        <v/>
      </c>
    </row>
    <row r="35" customFormat="false" ht="12.75" hidden="false" customHeight="false" outlineLevel="0" collapsed="false">
      <c r="A35" s="17" t="n">
        <f aca="false">A34+1</f>
        <v>35</v>
      </c>
      <c r="B35" s="7" t="n">
        <v>35186</v>
      </c>
      <c r="C35" s="20" t="n">
        <f aca="false">DAY(EOMONTH(B35,0))</f>
        <v>31</v>
      </c>
      <c r="D35" s="42" t="n">
        <f aca="false">filings!C48</f>
        <v>78700</v>
      </c>
      <c r="E35" s="22" t="n">
        <f aca="false">filings!D48</f>
        <v>1525</v>
      </c>
      <c r="F35" s="1" t="n">
        <f aca="false">filings!K48</f>
        <v>520</v>
      </c>
      <c r="G35" s="41" t="n">
        <f aca="false">(D35+E35)*F35/1000000</f>
        <v>41.717</v>
      </c>
      <c r="H35" s="41" t="n">
        <f aca="false">(D35+E35)*F35/C35/1000000</f>
        <v>1.34570967741935</v>
      </c>
      <c r="I35" s="12" t="n">
        <f aca="false">E35/C35</f>
        <v>49.1935483870968</v>
      </c>
      <c r="J35" s="27" t="n">
        <f aca="false">I35/H35/1000000</f>
        <v>3.65558405446221E-005</v>
      </c>
      <c r="K35" s="28" t="str">
        <f aca="false">IF(J35&gt;0.00415%,ROUND(J35-0.0041%,6),"")</f>
        <v/>
      </c>
      <c r="L35" s="27" t="n">
        <f aca="false">ex8!D35</f>
        <v>3.5E-005</v>
      </c>
      <c r="M35" s="28" t="str">
        <f aca="false">IF(L35&gt;0.00415%,ROUND(L35-0.0041%,6),"")</f>
        <v/>
      </c>
    </row>
    <row r="36" customFormat="false" ht="12.75" hidden="false" customHeight="false" outlineLevel="0" collapsed="false">
      <c r="A36" s="17" t="n">
        <f aca="false">A35+1</f>
        <v>36</v>
      </c>
      <c r="B36" s="7" t="n">
        <v>35217</v>
      </c>
      <c r="C36" s="20" t="n">
        <f aca="false">DAY(EOMONTH(B36,0))</f>
        <v>30</v>
      </c>
      <c r="D36" s="42" t="n">
        <f aca="false">filings!C49</f>
        <v>76600</v>
      </c>
      <c r="E36" s="22" t="n">
        <f aca="false">filings!D49</f>
        <v>1482</v>
      </c>
      <c r="F36" s="1" t="n">
        <f aca="false">filings!K49</f>
        <v>520</v>
      </c>
      <c r="G36" s="41" t="n">
        <f aca="false">(D36+E36)*F36/1000000</f>
        <v>40.60264</v>
      </c>
      <c r="H36" s="41" t="n">
        <f aca="false">(D36+E36)*F36/C36/1000000</f>
        <v>1.35342133333333</v>
      </c>
      <c r="I36" s="12" t="n">
        <f aca="false">E36/C36</f>
        <v>49.4</v>
      </c>
      <c r="J36" s="27" t="n">
        <f aca="false">I36/H36/1000000</f>
        <v>3.6500089649343E-005</v>
      </c>
      <c r="K36" s="28" t="str">
        <f aca="false">IF(J36&gt;0.00415%,ROUND(J36-0.0041%,6),"")</f>
        <v/>
      </c>
      <c r="L36" s="27" t="n">
        <f aca="false">ex8!D36</f>
        <v>3.8E-005</v>
      </c>
      <c r="M36" s="28" t="str">
        <f aca="false">IF(L36&gt;0.00415%,ROUND(L36-0.0041%,6),"")</f>
        <v/>
      </c>
    </row>
    <row r="37" customFormat="false" ht="12.75" hidden="false" customHeight="false" outlineLevel="0" collapsed="false">
      <c r="A37" s="17" t="n">
        <f aca="false">A36+1</f>
        <v>37</v>
      </c>
      <c r="B37" s="7" t="n">
        <v>35247</v>
      </c>
      <c r="C37" s="20" t="n">
        <f aca="false">DAY(EOMONTH(B37,0))</f>
        <v>31</v>
      </c>
      <c r="D37" s="42" t="n">
        <f aca="false">filings!C50</f>
        <v>81000</v>
      </c>
      <c r="E37" s="22" t="n">
        <f aca="false">filings!D50</f>
        <v>1370</v>
      </c>
      <c r="F37" s="1" t="n">
        <f aca="false">filings!K50</f>
        <v>520</v>
      </c>
      <c r="G37" s="41" t="n">
        <f aca="false">(D37+E37)*F37/1000000</f>
        <v>42.8324</v>
      </c>
      <c r="H37" s="41" t="n">
        <f aca="false">(D37+E37)*F37/C37/1000000</f>
        <v>1.38169032258065</v>
      </c>
      <c r="I37" s="12" t="n">
        <f aca="false">E37/C37</f>
        <v>44.1935483870968</v>
      </c>
      <c r="J37" s="27" t="n">
        <f aca="false">I37/H37/1000000</f>
        <v>3.19851327499743E-005</v>
      </c>
      <c r="K37" s="28" t="str">
        <f aca="false">IF(J37&gt;0.00415%,ROUND(J37-0.0041%,6),"")</f>
        <v/>
      </c>
      <c r="L37" s="27" t="n">
        <f aca="false">ex8!D37</f>
        <v>4E-005</v>
      </c>
      <c r="M37" s="28" t="str">
        <f aca="false">IF(L37&gt;0.00415%,ROUND(L37-0.0041%,6),"")</f>
        <v/>
      </c>
    </row>
    <row r="38" customFormat="false" ht="12.75" hidden="false" customHeight="false" outlineLevel="0" collapsed="false">
      <c r="A38" s="17" t="n">
        <f aca="false">A37+1</f>
        <v>38</v>
      </c>
      <c r="B38" s="7" t="n">
        <v>35278</v>
      </c>
      <c r="C38" s="20" t="n">
        <f aca="false">DAY(EOMONTH(B38,0))</f>
        <v>31</v>
      </c>
      <c r="D38" s="42" t="n">
        <f aca="false">filings!C51</f>
        <v>82000</v>
      </c>
      <c r="E38" s="22" t="n">
        <f aca="false">filings!D51</f>
        <v>1540</v>
      </c>
      <c r="F38" s="1" t="n">
        <f aca="false">filings!K51</f>
        <v>520</v>
      </c>
      <c r="G38" s="41" t="n">
        <f aca="false">(D38+E38)*F38/1000000</f>
        <v>43.4408</v>
      </c>
      <c r="H38" s="41" t="n">
        <f aca="false">(D38+E38)*F38/C38/1000000</f>
        <v>1.40131612903226</v>
      </c>
      <c r="I38" s="12" t="n">
        <f aca="false">E38/C38</f>
        <v>49.6774193548387</v>
      </c>
      <c r="J38" s="27" t="n">
        <f aca="false">I38/H38/1000000</f>
        <v>3.54505441888731E-005</v>
      </c>
      <c r="K38" s="28" t="str">
        <f aca="false">IF(J38&gt;0.00415%,ROUND(J38-0.0041%,6),"")</f>
        <v/>
      </c>
      <c r="L38" s="27" t="n">
        <f aca="false">ex8!D38</f>
        <v>4.3E-005</v>
      </c>
      <c r="M38" s="28" t="n">
        <f aca="false">IF(L38&gt;0.00415%,ROUND(L38-0.0041%,6),"")</f>
        <v>2E-006</v>
      </c>
    </row>
    <row r="39" customFormat="false" ht="12.75" hidden="false" customHeight="false" outlineLevel="0" collapsed="false">
      <c r="A39" s="17" t="n">
        <f aca="false">A38+1</f>
        <v>39</v>
      </c>
      <c r="B39" s="7" t="n">
        <v>35309</v>
      </c>
      <c r="C39" s="20" t="n">
        <f aca="false">DAY(EOMONTH(B39,0))</f>
        <v>30</v>
      </c>
      <c r="D39" s="42" t="n">
        <f aca="false">filings!C52</f>
        <v>84550</v>
      </c>
      <c r="E39" s="22" t="n">
        <f aca="false">filings!D52</f>
        <v>1300</v>
      </c>
      <c r="F39" s="1" t="n">
        <f aca="false">filings!K52</f>
        <v>520</v>
      </c>
      <c r="G39" s="41" t="n">
        <f aca="false">(D39+E39)*F39/1000000</f>
        <v>44.642</v>
      </c>
      <c r="H39" s="41" t="n">
        <f aca="false">(D39+E39)*F39/C39/1000000</f>
        <v>1.48806666666667</v>
      </c>
      <c r="I39" s="12" t="n">
        <f aca="false">E39/C39</f>
        <v>43.3333333333333</v>
      </c>
      <c r="J39" s="27" t="n">
        <f aca="false">I39/H39/1000000</f>
        <v>2.9120559114735E-005</v>
      </c>
      <c r="K39" s="28" t="str">
        <f aca="false">IF(J39&gt;0.00415%,ROUND(J39-0.0041%,6),"")</f>
        <v/>
      </c>
      <c r="L39" s="27" t="n">
        <f aca="false">ex8!D39</f>
        <v>4.4E-005</v>
      </c>
      <c r="M39" s="28" t="n">
        <f aca="false">IF(L39&gt;0.00415%,ROUND(L39-0.0041%,6),"")</f>
        <v>3E-006</v>
      </c>
    </row>
    <row r="40" customFormat="false" ht="12.75" hidden="false" customHeight="false" outlineLevel="0" collapsed="false">
      <c r="A40" s="17" t="n">
        <f aca="false">A39+1</f>
        <v>40</v>
      </c>
      <c r="B40" s="7" t="n">
        <v>35339</v>
      </c>
      <c r="C40" s="20" t="n">
        <f aca="false">DAY(EOMONTH(B40,0))</f>
        <v>31</v>
      </c>
      <c r="D40" s="42" t="n">
        <f aca="false">filings!C53</f>
        <v>80475</v>
      </c>
      <c r="E40" s="22" t="n">
        <f aca="false">filings!D53</f>
        <v>1375</v>
      </c>
      <c r="F40" s="1" t="n">
        <f aca="false">filings!K53</f>
        <v>520</v>
      </c>
      <c r="G40" s="41" t="n">
        <f aca="false">(D40+E40)*F40/1000000</f>
        <v>42.562</v>
      </c>
      <c r="H40" s="41" t="n">
        <f aca="false">(D40+E40)*F40/C40/1000000</f>
        <v>1.37296774193548</v>
      </c>
      <c r="I40" s="12" t="n">
        <f aca="false">E40/C40</f>
        <v>44.3548387096774</v>
      </c>
      <c r="J40" s="27" t="n">
        <f aca="false">I40/H40/1000000</f>
        <v>3.23058126967718E-005</v>
      </c>
      <c r="K40" s="28" t="str">
        <f aca="false">IF(J40&gt;0.00415%,ROUND(J40-0.0041%,6),"")</f>
        <v/>
      </c>
      <c r="L40" s="27" t="n">
        <f aca="false">ex8!D40</f>
        <v>4.5E-005</v>
      </c>
      <c r="M40" s="28" t="n">
        <f aca="false">IF(L40&gt;0.00415%,ROUND(L40-0.0041%,6),"")</f>
        <v>4E-006</v>
      </c>
    </row>
    <row r="41" customFormat="false" ht="12.75" hidden="false" customHeight="false" outlineLevel="0" collapsed="false">
      <c r="A41" s="17" t="n">
        <f aca="false">A40+1</f>
        <v>41</v>
      </c>
      <c r="B41" s="7" t="n">
        <v>35370</v>
      </c>
      <c r="C41" s="20" t="n">
        <f aca="false">DAY(EOMONTH(B41,0))</f>
        <v>30</v>
      </c>
      <c r="D41" s="42" t="n">
        <f aca="false">filings!C54</f>
        <v>78600</v>
      </c>
      <c r="E41" s="22" t="n">
        <f aca="false">filings!D54</f>
        <v>1295</v>
      </c>
      <c r="F41" s="1" t="n">
        <f aca="false">filings!K54</f>
        <v>520</v>
      </c>
      <c r="G41" s="41" t="n">
        <f aca="false">(D41+E41)*F41/1000000</f>
        <v>41.5454</v>
      </c>
      <c r="H41" s="41" t="n">
        <f aca="false">(D41+E41)*F41/C41/1000000</f>
        <v>1.38484666666667</v>
      </c>
      <c r="I41" s="12" t="n">
        <f aca="false">E41/C41</f>
        <v>43.1666666666667</v>
      </c>
      <c r="J41" s="27" t="n">
        <f aca="false">I41/H41/1000000</f>
        <v>3.11707192613382E-005</v>
      </c>
      <c r="K41" s="28" t="str">
        <f aca="false">IF(J41&gt;0.00415%,ROUND(J41-0.0041%,6),"")</f>
        <v/>
      </c>
      <c r="L41" s="27" t="n">
        <f aca="false">ex8!D41</f>
        <v>4.5E-005</v>
      </c>
      <c r="M41" s="28" t="n">
        <f aca="false">IF(L41&gt;0.00415%,ROUND(L41-0.0041%,6),"")</f>
        <v>4E-006</v>
      </c>
    </row>
    <row r="42" customFormat="false" ht="12.75" hidden="false" customHeight="false" outlineLevel="0" collapsed="false">
      <c r="A42" s="17" t="n">
        <f aca="false">A41+1</f>
        <v>42</v>
      </c>
      <c r="B42" s="7" t="n">
        <v>35400</v>
      </c>
      <c r="C42" s="20" t="n">
        <f aca="false">DAY(EOMONTH(B42,0))</f>
        <v>31</v>
      </c>
      <c r="D42" s="42" t="n">
        <f aca="false">filings!C55</f>
        <v>78500</v>
      </c>
      <c r="E42" s="22" t="n">
        <f aca="false">filings!D55</f>
        <v>1400</v>
      </c>
      <c r="F42" s="1" t="n">
        <f aca="false">filings!K55</f>
        <v>520</v>
      </c>
      <c r="G42" s="41" t="n">
        <f aca="false">(D42+E42)*F42/1000000</f>
        <v>41.548</v>
      </c>
      <c r="H42" s="41" t="n">
        <f aca="false">(D42+E42)*F42/C42/1000000</f>
        <v>1.34025806451613</v>
      </c>
      <c r="I42" s="12" t="n">
        <f aca="false">E42/C42</f>
        <v>45.1612903225807</v>
      </c>
      <c r="J42" s="27" t="n">
        <f aca="false">I42/H42/1000000</f>
        <v>3.36959661114855E-005</v>
      </c>
      <c r="K42" s="28" t="str">
        <f aca="false">IF(J42&gt;0.00415%,ROUND(J42-0.0041%,6),"")</f>
        <v/>
      </c>
      <c r="L42" s="27" t="n">
        <f aca="false">ex8!D42</f>
        <v>4.5E-005</v>
      </c>
      <c r="M42" s="28" t="n">
        <f aca="false">IF(L42&gt;0.00415%,ROUND(L42-0.0041%,6),"")</f>
        <v>4E-006</v>
      </c>
    </row>
    <row r="43" customFormat="false" ht="12.75" hidden="false" customHeight="false" outlineLevel="0" collapsed="false">
      <c r="A43" s="17" t="n">
        <f aca="false">A42+1</f>
        <v>43</v>
      </c>
      <c r="B43" s="7" t="n">
        <v>35431</v>
      </c>
      <c r="C43" s="20" t="n">
        <f aca="false">DAY(EOMONTH(B43,0))</f>
        <v>31</v>
      </c>
      <c r="D43" s="42" t="n">
        <f aca="false">filings!C56</f>
        <v>77000</v>
      </c>
      <c r="E43" s="22" t="n">
        <f aca="false">filings!D56</f>
        <v>1650</v>
      </c>
      <c r="F43" s="1" t="n">
        <f aca="false">filings!K56</f>
        <v>520</v>
      </c>
      <c r="G43" s="41" t="n">
        <f aca="false">(D43+E43)*F43/1000000</f>
        <v>40.898</v>
      </c>
      <c r="H43" s="41" t="n">
        <f aca="false">(D43+E43)*F43/C43/1000000</f>
        <v>1.31929032258065</v>
      </c>
      <c r="I43" s="12" t="n">
        <f aca="false">E43/C43</f>
        <v>53.2258064516129</v>
      </c>
      <c r="J43" s="27" t="n">
        <f aca="false">I43/H43/1000000</f>
        <v>4.03442711135019E-005</v>
      </c>
      <c r="K43" s="28" t="str">
        <f aca="false">IF(J43&gt;0.00415%,ROUND(J43-0.0041%,6),"")</f>
        <v/>
      </c>
      <c r="L43" s="27" t="n">
        <f aca="false">ex8!D43</f>
        <v>5.7E-005</v>
      </c>
      <c r="M43" s="28" t="n">
        <f aca="false">IF(L43&gt;0.00415%,ROUND(L43-0.0041%,6),"")</f>
        <v>1.6E-005</v>
      </c>
    </row>
    <row r="44" customFormat="false" ht="12.75" hidden="false" customHeight="false" outlineLevel="0" collapsed="false">
      <c r="A44" s="17" t="n">
        <f aca="false">A43+1</f>
        <v>44</v>
      </c>
      <c r="B44" s="7" t="n">
        <v>35462</v>
      </c>
      <c r="C44" s="20" t="n">
        <f aca="false">DAY(EOMONTH(B44,0))</f>
        <v>28</v>
      </c>
      <c r="D44" s="42" t="n">
        <f aca="false">filings!C57</f>
        <v>71000</v>
      </c>
      <c r="E44" s="22" t="n">
        <f aca="false">filings!D57</f>
        <v>1700</v>
      </c>
      <c r="F44" s="1" t="n">
        <f aca="false">filings!K57</f>
        <v>520</v>
      </c>
      <c r="G44" s="41" t="n">
        <f aca="false">(D44+E44)*F44/1000000</f>
        <v>37.804</v>
      </c>
      <c r="H44" s="41" t="n">
        <f aca="false">(D44+E44)*F44/C44/1000000</f>
        <v>1.35014285714286</v>
      </c>
      <c r="I44" s="12" t="n">
        <f aca="false">E44/C44</f>
        <v>60.7142857142857</v>
      </c>
      <c r="J44" s="27" t="n">
        <f aca="false">I44/H44/1000000</f>
        <v>4.49687863718125E-005</v>
      </c>
      <c r="K44" s="28" t="n">
        <f aca="false">IF(J44&gt;0.00415%,ROUND(J44-0.0041%,6),"")</f>
        <v>4E-006</v>
      </c>
      <c r="L44" s="27" t="n">
        <f aca="false">ex8!D44</f>
        <v>5.7E-005</v>
      </c>
      <c r="M44" s="28" t="n">
        <f aca="false">IF(L44&gt;0.00415%,ROUND(L44-0.0041%,6),"")</f>
        <v>1.6E-005</v>
      </c>
    </row>
    <row r="45" customFormat="false" ht="12.75" hidden="false" customHeight="false" outlineLevel="0" collapsed="false">
      <c r="A45" s="17" t="n">
        <f aca="false">A44+1</f>
        <v>45</v>
      </c>
      <c r="B45" s="7" t="n">
        <v>35490</v>
      </c>
      <c r="C45" s="20" t="n">
        <f aca="false">DAY(EOMONTH(B45,0))</f>
        <v>31</v>
      </c>
      <c r="D45" s="42" t="n">
        <f aca="false">filings!C58</f>
        <v>70000</v>
      </c>
      <c r="E45" s="22" t="n">
        <f aca="false">filings!D58</f>
        <v>1850</v>
      </c>
      <c r="F45" s="1" t="n">
        <f aca="false">filings!K58</f>
        <v>520</v>
      </c>
      <c r="G45" s="41" t="n">
        <f aca="false">(D45+E45)*F45/1000000</f>
        <v>37.362</v>
      </c>
      <c r="H45" s="41" t="n">
        <f aca="false">(D45+E45)*F45/C45/1000000</f>
        <v>1.20522580645161</v>
      </c>
      <c r="I45" s="12" t="n">
        <f aca="false">E45/C45</f>
        <v>59.6774193548387</v>
      </c>
      <c r="J45" s="27" t="n">
        <f aca="false">I45/H45/1000000</f>
        <v>4.95155505593919E-005</v>
      </c>
      <c r="K45" s="28" t="n">
        <f aca="false">IF(J45&gt;0.00415%,ROUND(J45-0.0041%,6),"")</f>
        <v>9E-006</v>
      </c>
      <c r="L45" s="27" t="n">
        <f aca="false">ex8!D45</f>
        <v>5.2E-005</v>
      </c>
      <c r="M45" s="28" t="n">
        <f aca="false">IF(L45&gt;0.00415%,ROUND(L45-0.0041%,6),"")</f>
        <v>1.1E-005</v>
      </c>
    </row>
    <row r="46" customFormat="false" ht="12.75" hidden="false" customHeight="false" outlineLevel="0" collapsed="false">
      <c r="A46" s="17" t="n">
        <f aca="false">A45+1</f>
        <v>46</v>
      </c>
      <c r="B46" s="7" t="n">
        <v>35521</v>
      </c>
      <c r="C46" s="20" t="n">
        <f aca="false">DAY(EOMONTH(B46,0))</f>
        <v>30</v>
      </c>
      <c r="D46" s="42" t="n">
        <f aca="false">filings!C59</f>
        <v>69500</v>
      </c>
      <c r="E46" s="22" t="n">
        <f aca="false">filings!D59</f>
        <v>1825</v>
      </c>
      <c r="F46" s="1" t="n">
        <f aca="false">filings!K59</f>
        <v>520</v>
      </c>
      <c r="G46" s="41" t="n">
        <f aca="false">(D46+E46)*F46/1000000</f>
        <v>37.089</v>
      </c>
      <c r="H46" s="41" t="n">
        <f aca="false">(D46+E46)*F46/C46/1000000</f>
        <v>1.2363</v>
      </c>
      <c r="I46" s="12" t="n">
        <f aca="false">E46/C46</f>
        <v>60.8333333333333</v>
      </c>
      <c r="J46" s="27" t="n">
        <f aca="false">I46/H46/1000000</f>
        <v>4.92059640324625E-005</v>
      </c>
      <c r="K46" s="28" t="n">
        <f aca="false">IF(J46&gt;0.00415%,ROUND(J46-0.0041%,6),"")</f>
        <v>8E-006</v>
      </c>
      <c r="L46" s="27" t="n">
        <f aca="false">ex8!D46</f>
        <v>4.9E-005</v>
      </c>
      <c r="M46" s="28" t="n">
        <f aca="false">IF(L46&gt;0.00415%,ROUND(L46-0.0041%,6),"")</f>
        <v>8E-006</v>
      </c>
    </row>
    <row r="47" customFormat="false" ht="12.75" hidden="false" customHeight="false" outlineLevel="0" collapsed="false">
      <c r="A47" s="17" t="n">
        <f aca="false">A46+1</f>
        <v>47</v>
      </c>
      <c r="B47" s="7" t="n">
        <v>35551</v>
      </c>
      <c r="C47" s="20" t="n">
        <f aca="false">DAY(EOMONTH(B47,0))</f>
        <v>31</v>
      </c>
      <c r="D47" s="42" t="n">
        <f aca="false">filings!C60</f>
        <v>69100</v>
      </c>
      <c r="E47" s="22" t="n">
        <f aca="false">filings!D60</f>
        <v>1750</v>
      </c>
      <c r="F47" s="1" t="n">
        <f aca="false">filings!K60</f>
        <v>520</v>
      </c>
      <c r="G47" s="41" t="n">
        <f aca="false">(D47+E47)*F47/1000000</f>
        <v>36.842</v>
      </c>
      <c r="H47" s="41" t="n">
        <f aca="false">(D47+E47)*F47/C47/1000000</f>
        <v>1.18845161290323</v>
      </c>
      <c r="I47" s="12" t="n">
        <f aca="false">E47/C47</f>
        <v>56.4516129032258</v>
      </c>
      <c r="J47" s="27" t="n">
        <f aca="false">I47/H47/1000000</f>
        <v>4.75001357146735E-005</v>
      </c>
      <c r="K47" s="28" t="n">
        <f aca="false">IF(J47&gt;0.00415%,ROUND(J47-0.0041%,6),"")</f>
        <v>7E-006</v>
      </c>
      <c r="L47" s="27" t="n">
        <f aca="false">ex8!D47</f>
        <v>4.9E-005</v>
      </c>
      <c r="M47" s="28" t="n">
        <f aca="false">IF(L47&gt;0.00415%,ROUND(L47-0.0041%,6),"")</f>
        <v>8E-006</v>
      </c>
    </row>
    <row r="48" customFormat="false" ht="12.75" hidden="false" customHeight="false" outlineLevel="0" collapsed="false">
      <c r="A48" s="17" t="n">
        <f aca="false">A47+1</f>
        <v>48</v>
      </c>
      <c r="B48" s="7" t="n">
        <v>35582</v>
      </c>
      <c r="C48" s="20" t="n">
        <f aca="false">DAY(EOMONTH(B48,0))</f>
        <v>30</v>
      </c>
      <c r="D48" s="42" t="n">
        <f aca="false">filings!C61</f>
        <v>72700</v>
      </c>
      <c r="E48" s="22" t="n">
        <f aca="false">filings!D61</f>
        <v>1460</v>
      </c>
      <c r="F48" s="1" t="n">
        <f aca="false">filings!K61</f>
        <v>520</v>
      </c>
      <c r="G48" s="41" t="n">
        <f aca="false">(D48+E48)*F48/1000000</f>
        <v>38.5632</v>
      </c>
      <c r="H48" s="41" t="n">
        <f aca="false">(D48+E48)*F48/C48/1000000</f>
        <v>1.28544</v>
      </c>
      <c r="I48" s="12" t="n">
        <f aca="false">E48/C48</f>
        <v>48.6666666666667</v>
      </c>
      <c r="J48" s="27" t="n">
        <f aca="false">I48/H48/1000000</f>
        <v>3.78599286366277E-005</v>
      </c>
      <c r="K48" s="28" t="str">
        <f aca="false">IF(J48&gt;0.00415%,ROUND(J48-0.0041%,6),"")</f>
        <v/>
      </c>
      <c r="L48" s="27" t="n">
        <f aca="false">ex8!D48</f>
        <v>4.4E-005</v>
      </c>
      <c r="M48" s="28" t="n">
        <f aca="false">IF(L48&gt;0.00415%,ROUND(L48-0.0041%,6),"")</f>
        <v>3E-006</v>
      </c>
    </row>
    <row r="49" customFormat="false" ht="12.75" hidden="false" customHeight="false" outlineLevel="0" collapsed="false">
      <c r="A49" s="17" t="n">
        <f aca="false">A48+1</f>
        <v>49</v>
      </c>
      <c r="B49" s="7" t="n">
        <v>35612</v>
      </c>
      <c r="C49" s="20" t="n">
        <f aca="false">DAY(EOMONTH(B49,0))</f>
        <v>31</v>
      </c>
      <c r="D49" s="42" t="n">
        <f aca="false">filings!C62</f>
        <v>75000</v>
      </c>
      <c r="E49" s="22" t="n">
        <f aca="false">filings!D62</f>
        <v>1640</v>
      </c>
      <c r="F49" s="1" t="n">
        <f aca="false">filings!K62</f>
        <v>520</v>
      </c>
      <c r="G49" s="41" t="n">
        <f aca="false">(D49+E49)*F49/1000000</f>
        <v>39.8528</v>
      </c>
      <c r="H49" s="41" t="n">
        <f aca="false">(D49+E49)*F49/C49/1000000</f>
        <v>1.28557419354839</v>
      </c>
      <c r="I49" s="12" t="n">
        <f aca="false">E49/C49</f>
        <v>52.9032258064516</v>
      </c>
      <c r="J49" s="27" t="n">
        <f aca="false">I49/H49/1000000</f>
        <v>4.11514372892244E-005</v>
      </c>
      <c r="K49" s="28" t="str">
        <f aca="false">IF(J49&gt;0.00415%,ROUND(J49-0.0041%,6),"")</f>
        <v/>
      </c>
      <c r="L49" s="27" t="n">
        <f aca="false">ex8!D49</f>
        <v>4.4E-005</v>
      </c>
      <c r="M49" s="28" t="n">
        <f aca="false">IF(L49&gt;0.00415%,ROUND(L49-0.0041%,6),"")</f>
        <v>3E-006</v>
      </c>
    </row>
    <row r="50" customFormat="false" ht="12.75" hidden="false" customHeight="false" outlineLevel="0" collapsed="false">
      <c r="A50" s="17" t="n">
        <f aca="false">A49+1</f>
        <v>50</v>
      </c>
      <c r="B50" s="7" t="n">
        <v>35643</v>
      </c>
      <c r="C50" s="20" t="n">
        <f aca="false">DAY(EOMONTH(B50,0))</f>
        <v>31</v>
      </c>
      <c r="D50" s="42" t="n">
        <f aca="false">filings!C63</f>
        <v>79000</v>
      </c>
      <c r="E50" s="22" t="n">
        <f aca="false">filings!D63</f>
        <v>1540</v>
      </c>
      <c r="F50" s="1" t="n">
        <f aca="false">filings!K63</f>
        <v>520</v>
      </c>
      <c r="G50" s="41" t="n">
        <f aca="false">(D50+E50)*F50/1000000</f>
        <v>41.8808</v>
      </c>
      <c r="H50" s="41" t="n">
        <f aca="false">(D50+E50)*F50/C50/1000000</f>
        <v>1.3509935483871</v>
      </c>
      <c r="I50" s="12" t="n">
        <f aca="false">E50/C50</f>
        <v>49.6774193548387</v>
      </c>
      <c r="J50" s="27" t="n">
        <f aca="false">I50/H50/1000000</f>
        <v>3.67710263414261E-005</v>
      </c>
      <c r="K50" s="28" t="str">
        <f aca="false">IF(J50&gt;0.00415%,ROUND(J50-0.0041%,6),"")</f>
        <v/>
      </c>
      <c r="L50" s="27" t="n">
        <f aca="false">ex8!D50</f>
        <v>4.6E-005</v>
      </c>
      <c r="M50" s="28" t="n">
        <f aca="false">IF(L50&gt;0.00415%,ROUND(L50-0.0041%,6),"")</f>
        <v>5E-006</v>
      </c>
    </row>
    <row r="51" customFormat="false" ht="12.75" hidden="false" customHeight="false" outlineLevel="0" collapsed="false">
      <c r="A51" s="17" t="n">
        <f aca="false">A50+1</f>
        <v>51</v>
      </c>
      <c r="B51" s="7" t="n">
        <v>35674</v>
      </c>
      <c r="C51" s="20" t="n">
        <f aca="false">DAY(EOMONTH(B51,0))</f>
        <v>30</v>
      </c>
      <c r="D51" s="42" t="n">
        <f aca="false">filings!C64</f>
        <v>78000</v>
      </c>
      <c r="E51" s="22" t="n">
        <f aca="false">filings!D64</f>
        <v>1550</v>
      </c>
      <c r="F51" s="1" t="n">
        <f aca="false">filings!K64</f>
        <v>520</v>
      </c>
      <c r="G51" s="41" t="n">
        <f aca="false">(D51+E51)*F51/1000000</f>
        <v>41.366</v>
      </c>
      <c r="H51" s="41" t="n">
        <f aca="false">(D51+E51)*F51/C51/1000000</f>
        <v>1.37886666666667</v>
      </c>
      <c r="I51" s="12" t="n">
        <f aca="false">E51/C51</f>
        <v>51.6666666666667</v>
      </c>
      <c r="J51" s="27" t="n">
        <f aca="false">I51/H51/1000000</f>
        <v>3.74703863075956E-005</v>
      </c>
      <c r="K51" s="28" t="str">
        <f aca="false">IF(J51&gt;0.00415%,ROUND(J51-0.0041%,6),"")</f>
        <v/>
      </c>
      <c r="L51" s="27" t="n">
        <f aca="false">ex8!D51</f>
        <v>4.6E-005</v>
      </c>
      <c r="M51" s="28" t="n">
        <f aca="false">IF(L51&gt;0.00415%,ROUND(L51-0.0041%,6),"")</f>
        <v>5E-006</v>
      </c>
    </row>
    <row r="52" customFormat="false" ht="12.75" hidden="false" customHeight="false" outlineLevel="0" collapsed="false">
      <c r="A52" s="17" t="n">
        <f aca="false">A51+1</f>
        <v>52</v>
      </c>
      <c r="B52" s="7" t="n">
        <v>35704</v>
      </c>
      <c r="C52" s="20" t="n">
        <f aca="false">DAY(EOMONTH(B52,0))</f>
        <v>31</v>
      </c>
      <c r="D52" s="42" t="n">
        <f aca="false">filings!C65</f>
        <v>76000</v>
      </c>
      <c r="E52" s="22" t="n">
        <f aca="false">filings!D65</f>
        <v>1720</v>
      </c>
      <c r="F52" s="1" t="n">
        <f aca="false">filings!K65</f>
        <v>520</v>
      </c>
      <c r="G52" s="41" t="n">
        <f aca="false">(D52+E52)*F52/1000000</f>
        <v>40.4144</v>
      </c>
      <c r="H52" s="41" t="n">
        <f aca="false">(D52+E52)*F52/C52/1000000</f>
        <v>1.30369032258065</v>
      </c>
      <c r="I52" s="12" t="n">
        <f aca="false">E52/C52</f>
        <v>55.4838709677419</v>
      </c>
      <c r="J52" s="27" t="n">
        <f aca="false">I52/H52/1000000</f>
        <v>4.25590878498753E-005</v>
      </c>
      <c r="K52" s="28" t="n">
        <f aca="false">IF(J52&gt;0.00415%,ROUND(J52-0.0041%,6),"")</f>
        <v>2E-006</v>
      </c>
      <c r="L52" s="27" t="n">
        <f aca="false">ex8!D52</f>
        <v>4.9E-005</v>
      </c>
      <c r="M52" s="28" t="n">
        <f aca="false">IF(L52&gt;0.00415%,ROUND(L52-0.0041%,6),"")</f>
        <v>8E-006</v>
      </c>
    </row>
    <row r="53" customFormat="false" ht="12.75" hidden="false" customHeight="false" outlineLevel="0" collapsed="false">
      <c r="A53" s="17" t="n">
        <f aca="false">A52+1</f>
        <v>53</v>
      </c>
      <c r="B53" s="7" t="n">
        <v>35735</v>
      </c>
      <c r="C53" s="20" t="n">
        <f aca="false">DAY(EOMONTH(B53,0))</f>
        <v>30</v>
      </c>
      <c r="D53" s="42" t="n">
        <f aca="false">filings!C66</f>
        <v>78900</v>
      </c>
      <c r="E53" s="22" t="n">
        <f aca="false">filings!D66</f>
        <v>1473.5</v>
      </c>
      <c r="F53" s="1" t="n">
        <f aca="false">filings!K66</f>
        <v>520</v>
      </c>
      <c r="G53" s="41" t="n">
        <f aca="false">(D53+E53)*F53/1000000</f>
        <v>41.79422</v>
      </c>
      <c r="H53" s="41" t="n">
        <f aca="false">(D53+E53)*F53/C53/1000000</f>
        <v>1.39314066666667</v>
      </c>
      <c r="I53" s="12" t="n">
        <f aca="false">E53/C53</f>
        <v>49.1166666666667</v>
      </c>
      <c r="J53" s="27" t="n">
        <f aca="false">I53/H53/1000000</f>
        <v>3.52560712940689E-005</v>
      </c>
      <c r="K53" s="28" t="str">
        <f aca="false">IF(J53&gt;0.00415%,ROUND(J53-0.0041%,6),"")</f>
        <v/>
      </c>
      <c r="L53" s="27" t="n">
        <f aca="false">ex8!D53</f>
        <v>4.8E-005</v>
      </c>
      <c r="M53" s="28" t="n">
        <f aca="false">IF(L53&gt;0.00415%,ROUND(L53-0.0041%,6),"")</f>
        <v>7E-006</v>
      </c>
    </row>
    <row r="54" customFormat="false" ht="12.75" hidden="false" customHeight="false" outlineLevel="0" collapsed="false">
      <c r="A54" s="17" t="n">
        <f aca="false">A53+1</f>
        <v>54</v>
      </c>
      <c r="B54" s="7" t="n">
        <v>35765</v>
      </c>
      <c r="C54" s="20" t="n">
        <f aca="false">DAY(EOMONTH(B54,0))</f>
        <v>31</v>
      </c>
      <c r="D54" s="42" t="n">
        <f aca="false">filings!C67</f>
        <v>81000</v>
      </c>
      <c r="E54" s="22" t="n">
        <f aca="false">filings!D67</f>
        <v>1825</v>
      </c>
      <c r="F54" s="1" t="n">
        <f aca="false">filings!K67</f>
        <v>520</v>
      </c>
      <c r="G54" s="41" t="n">
        <f aca="false">(D54+E54)*F54/1000000</f>
        <v>43.069</v>
      </c>
      <c r="H54" s="41" t="n">
        <f aca="false">(D54+E54)*F54/C54/1000000</f>
        <v>1.38932258064516</v>
      </c>
      <c r="I54" s="12" t="n">
        <f aca="false">E54/C54</f>
        <v>58.8709677419355</v>
      </c>
      <c r="J54" s="27" t="n">
        <f aca="false">I54/H54/1000000</f>
        <v>4.23738651930623E-005</v>
      </c>
      <c r="K54" s="28" t="n">
        <f aca="false">IF(J54&gt;0.00415%,ROUND(J54-0.0041%,6),"")</f>
        <v>1E-006</v>
      </c>
      <c r="L54" s="27" t="n">
        <f aca="false">ex8!D54</f>
        <v>4.8E-005</v>
      </c>
      <c r="M54" s="28" t="n">
        <f aca="false">IF(L54&gt;0.00415%,ROUND(L54-0.0041%,6),"")</f>
        <v>7E-006</v>
      </c>
    </row>
    <row r="55" customFormat="false" ht="12.75" hidden="false" customHeight="false" outlineLevel="0" collapsed="false">
      <c r="A55" s="17" t="n">
        <f aca="false">A54+1</f>
        <v>55</v>
      </c>
      <c r="B55" s="7" t="n">
        <v>35796</v>
      </c>
      <c r="C55" s="20" t="n">
        <f aca="false">DAY(EOMONTH(B55,0))</f>
        <v>31</v>
      </c>
      <c r="D55" s="42" t="n">
        <f aca="false">filings!C68</f>
        <v>78500</v>
      </c>
      <c r="E55" s="22" t="n">
        <f aca="false">filings!D68</f>
        <v>1560</v>
      </c>
      <c r="F55" s="1" t="n">
        <f aca="false">filings!K68</f>
        <v>520</v>
      </c>
      <c r="G55" s="41" t="n">
        <f aca="false">(D55+E55)*F55/1000000</f>
        <v>41.6312</v>
      </c>
      <c r="H55" s="41" t="n">
        <f aca="false">(D55+E55)*F55/C55/1000000</f>
        <v>1.34294193548387</v>
      </c>
      <c r="I55" s="12" t="n">
        <f aca="false">E55/C55</f>
        <v>50.3225806451613</v>
      </c>
      <c r="J55" s="27" t="n">
        <f aca="false">I55/H55/1000000</f>
        <v>3.74718960779415E-005</v>
      </c>
      <c r="K55" s="28" t="str">
        <f aca="false">IF(J55&gt;0.00415%,ROUND(J55-0.0041%,6),"")</f>
        <v/>
      </c>
      <c r="L55" s="27" t="n">
        <f aca="false">ex8!D55</f>
        <v>4.8E-005</v>
      </c>
      <c r="M55" s="28" t="n">
        <f aca="false">IF(L55&gt;0.00415%,ROUND(L55-0.0041%,6),"")</f>
        <v>7E-006</v>
      </c>
    </row>
    <row r="56" customFormat="false" ht="12.75" hidden="false" customHeight="false" outlineLevel="0" collapsed="false">
      <c r="A56" s="17" t="n">
        <f aca="false">A55+1</f>
        <v>56</v>
      </c>
      <c r="B56" s="7" t="n">
        <v>35827</v>
      </c>
      <c r="C56" s="20" t="n">
        <f aca="false">DAY(EOMONTH(B56,0))</f>
        <v>28</v>
      </c>
      <c r="D56" s="42" t="n">
        <f aca="false">filings!C69</f>
        <v>79500</v>
      </c>
      <c r="E56" s="22" t="n">
        <f aca="false">filings!D69</f>
        <v>1810</v>
      </c>
      <c r="F56" s="1" t="n">
        <f aca="false">filings!K69</f>
        <v>520</v>
      </c>
      <c r="G56" s="41" t="n">
        <f aca="false">(D56+E56)*F56/1000000</f>
        <v>42.2812</v>
      </c>
      <c r="H56" s="41" t="n">
        <f aca="false">(D56+E56)*F56/C56/1000000</f>
        <v>1.51004285714286</v>
      </c>
      <c r="I56" s="12" t="n">
        <f aca="false">E56/C56</f>
        <v>64.6428571428571</v>
      </c>
      <c r="J56" s="27" t="n">
        <f aca="false">I56/H56/1000000</f>
        <v>4.2808624163931E-005</v>
      </c>
      <c r="K56" s="28" t="n">
        <f aca="false">IF(J56&gt;0.00415%,ROUND(J56-0.0041%,6),"")</f>
        <v>2E-006</v>
      </c>
      <c r="L56" s="27" t="n">
        <f aca="false">ex8!D56</f>
        <v>4.8E-005</v>
      </c>
      <c r="M56" s="28" t="n">
        <f aca="false">IF(L56&gt;0.00415%,ROUND(L56-0.0041%,6),"")</f>
        <v>7E-006</v>
      </c>
    </row>
    <row r="57" customFormat="false" ht="12.75" hidden="false" customHeight="false" outlineLevel="0" collapsed="false">
      <c r="A57" s="17" t="n">
        <f aca="false">A56+1</f>
        <v>57</v>
      </c>
      <c r="B57" s="7" t="n">
        <v>35855</v>
      </c>
      <c r="C57" s="20" t="n">
        <f aca="false">DAY(EOMONTH(B57,0))</f>
        <v>31</v>
      </c>
      <c r="D57" s="42" t="n">
        <f aca="false">filings!C70</f>
        <v>81250</v>
      </c>
      <c r="E57" s="22" t="n">
        <f aca="false">filings!D70</f>
        <v>1700</v>
      </c>
      <c r="F57" s="1" t="n">
        <f aca="false">filings!K70</f>
        <v>520</v>
      </c>
      <c r="G57" s="41" t="n">
        <f aca="false">(D57+E57)*F57/1000000</f>
        <v>43.134</v>
      </c>
      <c r="H57" s="41" t="n">
        <f aca="false">(D57+E57)*F57/C57/1000000</f>
        <v>1.39141935483871</v>
      </c>
      <c r="I57" s="12" t="n">
        <f aca="false">E57/C57</f>
        <v>54.8387096774194</v>
      </c>
      <c r="J57" s="27" t="n">
        <f aca="false">I57/H57/1000000</f>
        <v>3.94120647285204E-005</v>
      </c>
      <c r="K57" s="28" t="str">
        <f aca="false">IF(J57&gt;0.00415%,ROUND(J57-0.0041%,6),"")</f>
        <v/>
      </c>
      <c r="L57" s="27" t="n">
        <f aca="false">ex8!D57</f>
        <v>4.5E-005</v>
      </c>
      <c r="M57" s="28" t="n">
        <f aca="false">IF(L57&gt;0.00415%,ROUND(L57-0.0041%,6),"")</f>
        <v>4E-006</v>
      </c>
    </row>
    <row r="58" customFormat="false" ht="12.75" hidden="false" customHeight="false" outlineLevel="0" collapsed="false">
      <c r="A58" s="17" t="n">
        <f aca="false">A57+1</f>
        <v>58</v>
      </c>
      <c r="B58" s="7" t="n">
        <v>35886</v>
      </c>
      <c r="C58" s="20" t="n">
        <f aca="false">DAY(EOMONTH(B58,0))</f>
        <v>30</v>
      </c>
      <c r="D58" s="42" t="n">
        <f aca="false">filings!C71</f>
        <v>76000</v>
      </c>
      <c r="E58" s="22" t="n">
        <f aca="false">filings!D71</f>
        <v>1575</v>
      </c>
      <c r="F58" s="1" t="n">
        <f aca="false">filings!K71</f>
        <v>520</v>
      </c>
      <c r="G58" s="41" t="n">
        <f aca="false">(D58+E58)*F58/1000000</f>
        <v>40.339</v>
      </c>
      <c r="H58" s="41" t="n">
        <f aca="false">(D58+E58)*F58/C58/1000000</f>
        <v>1.34463333333333</v>
      </c>
      <c r="I58" s="12" t="n">
        <f aca="false">E58/C58</f>
        <v>52.5</v>
      </c>
      <c r="J58" s="27" t="n">
        <f aca="false">I58/H58/1000000</f>
        <v>3.90441012419743E-005</v>
      </c>
      <c r="K58" s="28" t="str">
        <f aca="false">IF(J58&gt;0.00415%,ROUND(J58-0.0041%,6),"")</f>
        <v/>
      </c>
      <c r="L58" s="27" t="n">
        <f aca="false">ex8!D58</f>
        <v>4.3E-005</v>
      </c>
      <c r="M58" s="28" t="n">
        <f aca="false">IF(L58&gt;0.00415%,ROUND(L58-0.0041%,6),"")</f>
        <v>2E-006</v>
      </c>
    </row>
    <row r="59" customFormat="false" ht="12.75" hidden="false" customHeight="false" outlineLevel="0" collapsed="false">
      <c r="A59" s="17" t="n">
        <f aca="false">A58+1</f>
        <v>59</v>
      </c>
      <c r="B59" s="7" t="n">
        <v>35916</v>
      </c>
      <c r="C59" s="20" t="n">
        <f aca="false">DAY(EOMONTH(B59,0))</f>
        <v>31</v>
      </c>
      <c r="D59" s="42" t="n">
        <f aca="false">filings!C72</f>
        <v>81585</v>
      </c>
      <c r="E59" s="22" t="n">
        <f aca="false">filings!D72</f>
        <v>1600</v>
      </c>
      <c r="F59" s="1" t="n">
        <f aca="false">filings!K72</f>
        <v>520</v>
      </c>
      <c r="G59" s="41" t="n">
        <f aca="false">(D59+E59)*F59/1000000</f>
        <v>43.2562</v>
      </c>
      <c r="H59" s="41" t="n">
        <f aca="false">(D59+E59)*F59/C59/1000000</f>
        <v>1.39536129032258</v>
      </c>
      <c r="I59" s="12" t="n">
        <f aca="false">E59/C59</f>
        <v>51.6129032258065</v>
      </c>
      <c r="J59" s="27" t="n">
        <f aca="false">I59/H59/1000000</f>
        <v>3.69889171956852E-005</v>
      </c>
      <c r="K59" s="28" t="str">
        <f aca="false">IF(J59&gt;0.00415%,ROUND(J59-0.0041%,6),"")</f>
        <v/>
      </c>
      <c r="L59" s="27" t="n">
        <f aca="false">ex8!D59</f>
        <v>4.4E-005</v>
      </c>
      <c r="M59" s="28" t="n">
        <f aca="false">IF(L59&gt;0.00415%,ROUND(L59-0.0041%,6),"")</f>
        <v>3E-006</v>
      </c>
    </row>
    <row r="60" customFormat="false" ht="12.75" hidden="false" customHeight="false" outlineLevel="0" collapsed="false">
      <c r="A60" s="17" t="n">
        <f aca="false">A59+1</f>
        <v>60</v>
      </c>
      <c r="B60" s="7" t="n">
        <v>35947</v>
      </c>
      <c r="C60" s="20" t="n">
        <f aca="false">DAY(EOMONTH(B60,0))</f>
        <v>30</v>
      </c>
      <c r="D60" s="42" t="n">
        <f aca="false">filings!C73</f>
        <v>86500</v>
      </c>
      <c r="E60" s="22" t="n">
        <f aca="false">filings!D73</f>
        <v>1530</v>
      </c>
      <c r="F60" s="1" t="n">
        <f aca="false">filings!K73</f>
        <v>520</v>
      </c>
      <c r="G60" s="41" t="n">
        <f aca="false">(D60+E60)*F60/1000000</f>
        <v>45.7756</v>
      </c>
      <c r="H60" s="41" t="n">
        <f aca="false">(D60+E60)*F60/C60/1000000</f>
        <v>1.52585333333333</v>
      </c>
      <c r="I60" s="12" t="n">
        <f aca="false">E60/C60</f>
        <v>51</v>
      </c>
      <c r="J60" s="27" t="n">
        <f aca="false">I60/H60/1000000</f>
        <v>3.34239201670759E-005</v>
      </c>
      <c r="K60" s="28" t="str">
        <f aca="false">IF(J60&gt;0.00415%,ROUND(J60-0.0041%,6),"")</f>
        <v/>
      </c>
      <c r="L60" s="27" t="n">
        <f aca="false">ex8!D60</f>
        <v>4.4E-005</v>
      </c>
      <c r="M60" s="28" t="n">
        <f aca="false">IF(L60&gt;0.00415%,ROUND(L60-0.0041%,6),"")</f>
        <v>3E-006</v>
      </c>
    </row>
    <row r="61" customFormat="false" ht="12.75" hidden="false" customHeight="false" outlineLevel="0" collapsed="false">
      <c r="A61" s="17" t="n">
        <f aca="false">A60+1</f>
        <v>61</v>
      </c>
      <c r="B61" s="7" t="n">
        <v>35977</v>
      </c>
      <c r="C61" s="20" t="n">
        <f aca="false">DAY(EOMONTH(B61,0))</f>
        <v>31</v>
      </c>
      <c r="D61" s="42" t="n">
        <f aca="false">filings!C74</f>
        <v>86150</v>
      </c>
      <c r="E61" s="22" t="n">
        <f aca="false">filings!D74</f>
        <v>1500</v>
      </c>
      <c r="F61" s="1" t="n">
        <f aca="false">filings!K74</f>
        <v>520</v>
      </c>
      <c r="G61" s="41" t="n">
        <f aca="false">(D61+E61)*F61/1000000</f>
        <v>45.578</v>
      </c>
      <c r="H61" s="41" t="n">
        <f aca="false">(D61+E61)*F61/C61/1000000</f>
        <v>1.47025806451613</v>
      </c>
      <c r="I61" s="12" t="n">
        <f aca="false">E61/C61</f>
        <v>48.3870967741936</v>
      </c>
      <c r="J61" s="27" t="n">
        <f aca="false">I61/H61/1000000</f>
        <v>3.29106147702839E-005</v>
      </c>
      <c r="K61" s="28" t="str">
        <f aca="false">IF(J61&gt;0.00415%,ROUND(J61-0.0041%,6),"")</f>
        <v/>
      </c>
      <c r="L61" s="27" t="n">
        <f aca="false">ex8!D61</f>
        <v>4.4E-005</v>
      </c>
      <c r="M61" s="28" t="n">
        <f aca="false">IF(L61&gt;0.00415%,ROUND(L61-0.0041%,6),"")</f>
        <v>3E-006</v>
      </c>
    </row>
    <row r="62" customFormat="false" ht="12.75" hidden="false" customHeight="false" outlineLevel="0" collapsed="false">
      <c r="A62" s="17" t="n">
        <f aca="false">A61+1</f>
        <v>62</v>
      </c>
      <c r="B62" s="7" t="n">
        <v>36008</v>
      </c>
      <c r="C62" s="20" t="n">
        <f aca="false">DAY(EOMONTH(B62,0))</f>
        <v>31</v>
      </c>
      <c r="D62" s="42" t="n">
        <f aca="false">filings!C75</f>
        <v>70550</v>
      </c>
      <c r="E62" s="22" t="n">
        <f aca="false">filings!D75</f>
        <v>1650</v>
      </c>
      <c r="F62" s="1" t="n">
        <f aca="false">filings!K75</f>
        <v>520</v>
      </c>
      <c r="G62" s="41" t="n">
        <f aca="false">(D62+E62)*F62/1000000</f>
        <v>37.544</v>
      </c>
      <c r="H62" s="41" t="n">
        <f aca="false">(D62+E62)*F62/C62/1000000</f>
        <v>1.21109677419355</v>
      </c>
      <c r="I62" s="12" t="n">
        <f aca="false">E62/C62</f>
        <v>53.2258064516129</v>
      </c>
      <c r="J62" s="27" t="n">
        <f aca="false">I62/H62/1000000</f>
        <v>4.39484338376305E-005</v>
      </c>
      <c r="K62" s="28" t="n">
        <f aca="false">IF(J62&gt;0.00415%,ROUND(J62-0.0041%,6),"")</f>
        <v>3E-006</v>
      </c>
      <c r="L62" s="27" t="n">
        <f aca="false">ex8!D62</f>
        <v>4.8E-005</v>
      </c>
      <c r="M62" s="28" t="n">
        <f aca="false">IF(L62&gt;0.00415%,ROUND(L62-0.0041%,6),"")</f>
        <v>7E-006</v>
      </c>
    </row>
    <row r="63" customFormat="false" ht="12.75" hidden="false" customHeight="false" outlineLevel="0" collapsed="false">
      <c r="A63" s="17" t="n">
        <f aca="false">A62+1</f>
        <v>63</v>
      </c>
      <c r="B63" s="7" t="n">
        <v>36039</v>
      </c>
      <c r="C63" s="20" t="n">
        <f aca="false">DAY(EOMONTH(B63,0))</f>
        <v>30</v>
      </c>
      <c r="D63" s="42" t="n">
        <f aca="false">filings!C76</f>
        <v>78950</v>
      </c>
      <c r="E63" s="22" t="n">
        <f aca="false">filings!D76</f>
        <v>1500</v>
      </c>
      <c r="F63" s="1" t="n">
        <f aca="false">filings!K76</f>
        <v>520</v>
      </c>
      <c r="G63" s="41" t="n">
        <f aca="false">(D63+E63)*F63/1000000</f>
        <v>41.834</v>
      </c>
      <c r="H63" s="41" t="n">
        <f aca="false">(D63+E63)*F63/C63/1000000</f>
        <v>1.39446666666667</v>
      </c>
      <c r="I63" s="12" t="n">
        <f aca="false">E63/C63</f>
        <v>50</v>
      </c>
      <c r="J63" s="27" t="n">
        <f aca="false">I63/H63/1000000</f>
        <v>3.58560022947841E-005</v>
      </c>
      <c r="K63" s="28" t="str">
        <f aca="false">IF(J63&gt;0.00415%,ROUND(J63-0.0041%,6),"")</f>
        <v/>
      </c>
      <c r="L63" s="27" t="n">
        <f aca="false">ex8!D63</f>
        <v>4.8E-005</v>
      </c>
      <c r="M63" s="28" t="n">
        <f aca="false">IF(L63&gt;0.00415%,ROUND(L63-0.0041%,6),"")</f>
        <v>7E-006</v>
      </c>
    </row>
    <row r="64" customFormat="false" ht="12.75" hidden="false" customHeight="false" outlineLevel="0" collapsed="false">
      <c r="A64" s="17" t="n">
        <f aca="false">A63+1</f>
        <v>64</v>
      </c>
      <c r="B64" s="7" t="n">
        <v>36069</v>
      </c>
      <c r="C64" s="20" t="n">
        <f aca="false">DAY(EOMONTH(B64,0))</f>
        <v>31</v>
      </c>
      <c r="D64" s="42" t="n">
        <f aca="false">filings!C77</f>
        <v>77150.2</v>
      </c>
      <c r="E64" s="22" t="n">
        <f aca="false">filings!D77</f>
        <v>1695</v>
      </c>
      <c r="F64" s="1" t="n">
        <f aca="false">filings!K77</f>
        <v>520</v>
      </c>
      <c r="G64" s="41" t="n">
        <f aca="false">(D64+E64)*F64/1000000</f>
        <v>40.999504</v>
      </c>
      <c r="H64" s="41" t="n">
        <f aca="false">(D64+E64)*F64/C64/1000000</f>
        <v>1.32256464516129</v>
      </c>
      <c r="I64" s="12" t="n">
        <f aca="false">E64/C64</f>
        <v>54.6774193548387</v>
      </c>
      <c r="J64" s="27" t="n">
        <f aca="false">I64/H64/1000000</f>
        <v>4.13419635515591E-005</v>
      </c>
      <c r="K64" s="28" t="str">
        <f aca="false">IF(J64&gt;0.00415%,ROUND(J64-0.0041%,6),"")</f>
        <v/>
      </c>
      <c r="L64" s="27" t="n">
        <f aca="false">ex8!D64</f>
        <v>4.8E-005</v>
      </c>
      <c r="M64" s="28" t="n">
        <f aca="false">IF(L64&gt;0.00415%,ROUND(L64-0.0041%,6),"")</f>
        <v>7E-006</v>
      </c>
    </row>
    <row r="65" customFormat="false" ht="12.75" hidden="false" customHeight="false" outlineLevel="0" collapsed="false">
      <c r="A65" s="17" t="n">
        <f aca="false">A64+1</f>
        <v>65</v>
      </c>
      <c r="B65" s="7" t="n">
        <v>36100</v>
      </c>
      <c r="C65" s="20" t="n">
        <f aca="false">DAY(EOMONTH(B65,0))</f>
        <v>30</v>
      </c>
      <c r="D65" s="42" t="n">
        <f aca="false">filings!C78</f>
        <v>76000</v>
      </c>
      <c r="E65" s="22" t="n">
        <f aca="false">filings!D78</f>
        <v>1600</v>
      </c>
      <c r="F65" s="1" t="n">
        <f aca="false">filings!K78</f>
        <v>520</v>
      </c>
      <c r="G65" s="41" t="n">
        <f aca="false">(D65+E65)*F65/1000000</f>
        <v>40.352</v>
      </c>
      <c r="H65" s="41" t="n">
        <f aca="false">(D65+E65)*F65/C65/1000000</f>
        <v>1.34506666666667</v>
      </c>
      <c r="I65" s="12" t="n">
        <f aca="false">E65/C65</f>
        <v>53.3333333333333</v>
      </c>
      <c r="J65" s="27" t="n">
        <f aca="false">I65/H65/1000000</f>
        <v>3.96510705789056E-005</v>
      </c>
      <c r="K65" s="28" t="str">
        <f aca="false">IF(J65&gt;0.00415%,ROUND(J65-0.0041%,6),"")</f>
        <v/>
      </c>
      <c r="L65" s="27" t="n">
        <f aca="false">ex8!D65</f>
        <v>4.8E-005</v>
      </c>
      <c r="M65" s="28" t="n">
        <f aca="false">IF(L65&gt;0.00415%,ROUND(L65-0.0041%,6),"")</f>
        <v>7E-006</v>
      </c>
    </row>
    <row r="66" customFormat="false" ht="12.75" hidden="false" customHeight="false" outlineLevel="0" collapsed="false">
      <c r="A66" s="17" t="n">
        <f aca="false">A65+1</f>
        <v>66</v>
      </c>
      <c r="B66" s="7" t="n">
        <v>36130</v>
      </c>
      <c r="C66" s="20" t="n">
        <f aca="false">DAY(EOMONTH(B66,0))</f>
        <v>31</v>
      </c>
      <c r="D66" s="42" t="n">
        <f aca="false">filings!C79</f>
        <v>72450</v>
      </c>
      <c r="E66" s="22" t="n">
        <f aca="false">filings!D79</f>
        <v>1950</v>
      </c>
      <c r="F66" s="1" t="n">
        <f aca="false">filings!K79</f>
        <v>520</v>
      </c>
      <c r="G66" s="41" t="n">
        <f aca="false">(D66+E66)*F66/1000000</f>
        <v>38.688</v>
      </c>
      <c r="H66" s="41" t="n">
        <f aca="false">(D66+E66)*F66/C66/1000000</f>
        <v>1.248</v>
      </c>
      <c r="I66" s="12" t="n">
        <f aca="false">E66/C66</f>
        <v>62.9032258064516</v>
      </c>
      <c r="J66" s="27" t="n">
        <f aca="false">I66/H66/1000000</f>
        <v>5.04032258064516E-005</v>
      </c>
      <c r="K66" s="28" t="n">
        <f aca="false">IF(J66&gt;0.00415%,ROUND(J66-0.0041%,6),"")</f>
        <v>9E-006</v>
      </c>
      <c r="L66" s="27" t="n">
        <f aca="false">ex8!D66</f>
        <v>4.8E-005</v>
      </c>
      <c r="M66" s="28" t="n">
        <f aca="false">IF(L66&gt;0.00415%,ROUND(L66-0.0041%,6),"")</f>
        <v>7E-006</v>
      </c>
    </row>
    <row r="67" customFormat="false" ht="12.75" hidden="false" customHeight="false" outlineLevel="0" collapsed="false">
      <c r="A67" s="17" t="n">
        <f aca="false">A66+1</f>
        <v>67</v>
      </c>
      <c r="B67" s="7" t="n">
        <v>36161</v>
      </c>
      <c r="C67" s="20" t="n">
        <f aca="false">DAY(EOMONTH(B67,0))</f>
        <v>31</v>
      </c>
      <c r="D67" s="42" t="n">
        <f aca="false">filings!C80</f>
        <v>77500</v>
      </c>
      <c r="E67" s="22" t="n">
        <f aca="false">filings!D80</f>
        <v>1875</v>
      </c>
      <c r="F67" s="1" t="n">
        <f aca="false">filings!K80</f>
        <v>520</v>
      </c>
      <c r="G67" s="41" t="n">
        <f aca="false">(D67+E67)*F67/1000000</f>
        <v>41.275</v>
      </c>
      <c r="H67" s="41" t="n">
        <f aca="false">(D67+E67)*F67/C67/1000000</f>
        <v>1.33145161290323</v>
      </c>
      <c r="I67" s="12" t="n">
        <f aca="false">E67/C67</f>
        <v>60.4838709677419</v>
      </c>
      <c r="J67" s="27" t="n">
        <f aca="false">I67/H67/1000000</f>
        <v>4.54270139309509E-005</v>
      </c>
      <c r="K67" s="28" t="n">
        <f aca="false">IF(J67&gt;0.00415%,ROUND(J67-0.0041%,6),"")</f>
        <v>4E-006</v>
      </c>
      <c r="L67" s="27" t="n">
        <f aca="false">ex8!D67</f>
        <v>4.8E-005</v>
      </c>
      <c r="M67" s="28" t="n">
        <f aca="false">IF(L67&gt;0.00415%,ROUND(L67-0.0041%,6),"")</f>
        <v>7E-006</v>
      </c>
    </row>
    <row r="68" customFormat="false" ht="12.75" hidden="false" customHeight="false" outlineLevel="0" collapsed="false">
      <c r="A68" s="17" t="n">
        <f aca="false">A67+1</f>
        <v>68</v>
      </c>
      <c r="B68" s="7" t="n">
        <v>36192</v>
      </c>
      <c r="C68" s="20" t="n">
        <f aca="false">DAY(EOMONTH(B68,0))</f>
        <v>28</v>
      </c>
      <c r="D68" s="42" t="n">
        <f aca="false">filings!C81</f>
        <v>66000</v>
      </c>
      <c r="E68" s="22" t="n">
        <f aca="false">filings!D81</f>
        <v>1455</v>
      </c>
      <c r="F68" s="1" t="n">
        <f aca="false">filings!K81</f>
        <v>520</v>
      </c>
      <c r="G68" s="41" t="n">
        <f aca="false">(D68+E68)*F68/1000000</f>
        <v>35.0766</v>
      </c>
      <c r="H68" s="41" t="n">
        <f aca="false">(D68+E68)*F68/C68/1000000</f>
        <v>1.25273571428571</v>
      </c>
      <c r="I68" s="12" t="n">
        <f aca="false">E68/C68</f>
        <v>51.9642857142857</v>
      </c>
      <c r="J68" s="27" t="n">
        <f aca="false">I68/H68/1000000</f>
        <v>4.14806452164691E-005</v>
      </c>
      <c r="K68" s="28" t="str">
        <f aca="false">IF(J68&gt;0.00415%,ROUND(J68-0.0041%,6),"")</f>
        <v/>
      </c>
      <c r="L68" s="27" t="n">
        <f aca="false">ex8!D68</f>
        <v>4.2E-005</v>
      </c>
      <c r="M68" s="28" t="n">
        <f aca="false">IF(L68&gt;0.00415%,ROUND(L68-0.0041%,6),"")</f>
        <v>1E-006</v>
      </c>
    </row>
    <row r="69" customFormat="false" ht="12.75" hidden="false" customHeight="false" outlineLevel="0" collapsed="false">
      <c r="A69" s="17" t="n">
        <f aca="false">A68+1</f>
        <v>69</v>
      </c>
      <c r="B69" s="7" t="n">
        <v>36220</v>
      </c>
      <c r="C69" s="20" t="n">
        <f aca="false">DAY(EOMONTH(B69,0))</f>
        <v>31</v>
      </c>
      <c r="D69" s="42" t="n">
        <f aca="false">filings!C82</f>
        <v>64000</v>
      </c>
      <c r="E69" s="22" t="n">
        <f aca="false">filings!D82</f>
        <v>1470</v>
      </c>
      <c r="F69" s="1" t="n">
        <f aca="false">filings!K82</f>
        <v>520</v>
      </c>
      <c r="G69" s="41" t="n">
        <f aca="false">(D69+E69)*F69/1000000</f>
        <v>34.0444</v>
      </c>
      <c r="H69" s="41" t="n">
        <f aca="false">(D69+E69)*F69/C69/1000000</f>
        <v>1.0982064516129</v>
      </c>
      <c r="I69" s="12" t="n">
        <f aca="false">E69/C69</f>
        <v>47.4193548387097</v>
      </c>
      <c r="J69" s="27" t="n">
        <f aca="false">I69/H69/1000000</f>
        <v>4.31789075442657E-005</v>
      </c>
      <c r="K69" s="28" t="n">
        <f aca="false">IF(J69&gt;0.00415%,ROUND(J69-0.0041%,6),"")</f>
        <v>2E-006</v>
      </c>
      <c r="L69" s="27" t="n">
        <f aca="false">ex8!D69</f>
        <v>3.6E-005</v>
      </c>
      <c r="M69" s="28" t="str">
        <f aca="false">IF(L69&gt;0.00415%,ROUND(L69-0.0041%,6),"")</f>
        <v/>
      </c>
    </row>
    <row r="70" customFormat="false" ht="12.75" hidden="false" customHeight="false" outlineLevel="0" collapsed="false">
      <c r="A70" s="17" t="n">
        <f aca="false">A69+1</f>
        <v>70</v>
      </c>
      <c r="B70" s="7" t="n">
        <v>36251</v>
      </c>
      <c r="C70" s="20" t="n">
        <f aca="false">DAY(EOMONTH(B70,0))</f>
        <v>30</v>
      </c>
      <c r="D70" s="42" t="n">
        <f aca="false">filings!C83</f>
        <v>79000</v>
      </c>
      <c r="E70" s="22" t="n">
        <f aca="false">filings!D83</f>
        <v>1635</v>
      </c>
      <c r="F70" s="1" t="n">
        <f aca="false">filings!K83</f>
        <v>520</v>
      </c>
      <c r="G70" s="41" t="n">
        <f aca="false">(D70+E70)*F70/1000000</f>
        <v>41.9302</v>
      </c>
      <c r="H70" s="41" t="n">
        <f aca="false">(D70+E70)*F70/C70/1000000</f>
        <v>1.39767333333333</v>
      </c>
      <c r="I70" s="12" t="n">
        <f aca="false">E70/C70</f>
        <v>54.5</v>
      </c>
      <c r="J70" s="27" t="n">
        <f aca="false">I70/H70/1000000</f>
        <v>3.89933747036742E-005</v>
      </c>
      <c r="K70" s="28" t="str">
        <f aca="false">IF(J70&gt;0.00415%,ROUND(J70-0.0041%,6),"")</f>
        <v/>
      </c>
      <c r="L70" s="27" t="n">
        <f aca="false">ex8!D70</f>
        <v>3.5E-005</v>
      </c>
      <c r="M70" s="28" t="str">
        <f aca="false">IF(L70&gt;0.00415%,ROUND(L70-0.0041%,6),"")</f>
        <v/>
      </c>
    </row>
    <row r="71" customFormat="false" ht="12.75" hidden="false" customHeight="false" outlineLevel="0" collapsed="false">
      <c r="A71" s="17" t="n">
        <f aca="false">A70+1</f>
        <v>71</v>
      </c>
      <c r="B71" s="7" t="n">
        <v>36281</v>
      </c>
      <c r="C71" s="20" t="n">
        <f aca="false">DAY(EOMONTH(B71,0))</f>
        <v>31</v>
      </c>
      <c r="D71" s="42" t="n">
        <f aca="false">filings!C84</f>
        <v>67000</v>
      </c>
      <c r="E71" s="22" t="n">
        <f aca="false">filings!D84</f>
        <v>1300</v>
      </c>
      <c r="F71" s="1" t="n">
        <f aca="false">filings!K84</f>
        <v>520</v>
      </c>
      <c r="G71" s="41" t="n">
        <f aca="false">(D71+E71)*F71/1000000</f>
        <v>35.516</v>
      </c>
      <c r="H71" s="41" t="n">
        <f aca="false">(D71+E71)*F71/C71/1000000</f>
        <v>1.14567741935484</v>
      </c>
      <c r="I71" s="12" t="n">
        <f aca="false">E71/C71</f>
        <v>41.9354838709677</v>
      </c>
      <c r="J71" s="27" t="n">
        <f aca="false">I71/H71/1000000</f>
        <v>3.66032210834553E-005</v>
      </c>
      <c r="K71" s="28" t="str">
        <f aca="false">IF(J71&gt;0.00415%,ROUND(J71-0.0041%,6),"")</f>
        <v/>
      </c>
      <c r="L71" s="27" t="n">
        <f aca="false">ex8!D71</f>
        <v>3.5E-005</v>
      </c>
      <c r="M71" s="28" t="str">
        <f aca="false">IF(L71&gt;0.00415%,ROUND(L71-0.0041%,6),"")</f>
        <v/>
      </c>
    </row>
    <row r="72" customFormat="false" ht="12.75" hidden="false" customHeight="false" outlineLevel="0" collapsed="false">
      <c r="A72" s="17" t="n">
        <f aca="false">A71+1</f>
        <v>72</v>
      </c>
      <c r="B72" s="7" t="n">
        <v>36312</v>
      </c>
      <c r="C72" s="20" t="n">
        <f aca="false">DAY(EOMONTH(B72,0))</f>
        <v>30</v>
      </c>
      <c r="D72" s="42" t="n">
        <f aca="false">filings!C85</f>
        <v>70000</v>
      </c>
      <c r="E72" s="22" t="n">
        <f aca="false">filings!D85</f>
        <v>1000</v>
      </c>
      <c r="F72" s="1" t="n">
        <f aca="false">filings!K85</f>
        <v>520</v>
      </c>
      <c r="G72" s="41" t="n">
        <f aca="false">(D72+E72)*F72/1000000</f>
        <v>36.92</v>
      </c>
      <c r="H72" s="41" t="n">
        <f aca="false">(D72+E72)*F72/C72/1000000</f>
        <v>1.23066666666667</v>
      </c>
      <c r="I72" s="12" t="n">
        <f aca="false">E72/C72</f>
        <v>33.3333333333333</v>
      </c>
      <c r="J72" s="27" t="n">
        <f aca="false">I72/H72/1000000</f>
        <v>2.70855904658722E-005</v>
      </c>
      <c r="K72" s="28" t="str">
        <f aca="false">IF(J72&gt;0.00415%,ROUND(J72-0.0041%,6),"")</f>
        <v/>
      </c>
      <c r="L72" s="27" t="n">
        <f aca="false">ex8!D72</f>
        <v>3.8E-005</v>
      </c>
      <c r="M72" s="28" t="str">
        <f aca="false">IF(L72&gt;0.00415%,ROUND(L72-0.0041%,6),"")</f>
        <v/>
      </c>
    </row>
    <row r="73" customFormat="false" ht="12.75" hidden="false" customHeight="false" outlineLevel="0" collapsed="false">
      <c r="A73" s="17" t="n">
        <f aca="false">A72+1</f>
        <v>73</v>
      </c>
      <c r="B73" s="7" t="n">
        <v>36342</v>
      </c>
      <c r="C73" s="20" t="n">
        <f aca="false">DAY(EOMONTH(B73,0))</f>
        <v>31</v>
      </c>
      <c r="D73" s="42" t="n">
        <f aca="false">filings!C86</f>
        <v>79500</v>
      </c>
      <c r="E73" s="22" t="n">
        <f aca="false">filings!D86</f>
        <v>925</v>
      </c>
      <c r="F73" s="1" t="n">
        <f aca="false">filings!K86</f>
        <v>520</v>
      </c>
      <c r="G73" s="41" t="n">
        <f aca="false">(D73+E73)*F73/1000000</f>
        <v>41.821</v>
      </c>
      <c r="H73" s="41" t="n">
        <f aca="false">(D73+E73)*F73/C73/1000000</f>
        <v>1.34906451612903</v>
      </c>
      <c r="I73" s="12" t="n">
        <f aca="false">E73/C73</f>
        <v>29.8387096774194</v>
      </c>
      <c r="J73" s="27" t="n">
        <f aca="false">I73/H73/1000000</f>
        <v>2.21180746514909E-005</v>
      </c>
      <c r="K73" s="28" t="str">
        <f aca="false">IF(J73&gt;0.00415%,ROUND(J73-0.0041%,6),"")</f>
        <v/>
      </c>
      <c r="L73" s="27" t="n">
        <f aca="false">ex8!D73</f>
        <v>3E-005</v>
      </c>
      <c r="M73" s="28" t="str">
        <f aca="false">IF(L73&gt;0.00415%,ROUND(L73-0.0041%,6),"")</f>
        <v/>
      </c>
    </row>
    <row r="74" customFormat="false" ht="12.75" hidden="false" customHeight="false" outlineLevel="0" collapsed="false">
      <c r="A74" s="17" t="n">
        <f aca="false">A73+1</f>
        <v>74</v>
      </c>
      <c r="B74" s="7" t="n">
        <v>36373</v>
      </c>
      <c r="C74" s="20" t="n">
        <f aca="false">DAY(EOMONTH(B74,0))</f>
        <v>31</v>
      </c>
      <c r="D74" s="42" t="n">
        <f aca="false">filings!C87</f>
        <v>68000</v>
      </c>
      <c r="E74" s="22" t="n">
        <f aca="false">filings!D87</f>
        <v>1100</v>
      </c>
      <c r="F74" s="1" t="n">
        <f aca="false">filings!K87</f>
        <v>520</v>
      </c>
      <c r="G74" s="41" t="n">
        <f aca="false">(D74+E74)*F74/1000000</f>
        <v>35.932</v>
      </c>
      <c r="H74" s="41" t="n">
        <f aca="false">(D74+E74)*F74/C74/1000000</f>
        <v>1.15909677419355</v>
      </c>
      <c r="I74" s="12" t="n">
        <f aca="false">E74/C74</f>
        <v>35.4838709677419</v>
      </c>
      <c r="J74" s="27" t="n">
        <f aca="false">I74/H74/1000000</f>
        <v>3.06133808304575E-005</v>
      </c>
      <c r="K74" s="28" t="str">
        <f aca="false">IF(J74&gt;0.00415%,ROUND(J74-0.0041%,6),"")</f>
        <v/>
      </c>
      <c r="L74" s="27" t="n">
        <f aca="false">ex8!D74</f>
        <v>3E-005</v>
      </c>
      <c r="M74" s="28" t="str">
        <f aca="false">IF(L74&gt;0.00415%,ROUND(L74-0.0041%,6),"")</f>
        <v/>
      </c>
    </row>
    <row r="75" customFormat="false" ht="12.75" hidden="false" customHeight="false" outlineLevel="0" collapsed="false">
      <c r="A75" s="17" t="n">
        <f aca="false">A74+1</f>
        <v>75</v>
      </c>
      <c r="B75" s="7" t="n">
        <v>36404</v>
      </c>
      <c r="C75" s="20" t="n">
        <f aca="false">DAY(EOMONTH(B75,0))</f>
        <v>30</v>
      </c>
      <c r="D75" s="42" t="n">
        <f aca="false">filings!C88</f>
        <v>70000</v>
      </c>
      <c r="E75" s="22" t="n">
        <f aca="false">filings!D88</f>
        <v>1410</v>
      </c>
      <c r="F75" s="1" t="n">
        <f aca="false">filings!K88</f>
        <v>520</v>
      </c>
      <c r="G75" s="41" t="n">
        <f aca="false">(D75+E75)*F75/1000000</f>
        <v>37.1332</v>
      </c>
      <c r="H75" s="41" t="n">
        <f aca="false">(D75+E75)*F75/C75/1000000</f>
        <v>1.23777333333333</v>
      </c>
      <c r="I75" s="12" t="n">
        <f aca="false">E75/C75</f>
        <v>47</v>
      </c>
      <c r="J75" s="27" t="n">
        <f aca="false">I75/H75/1000000</f>
        <v>3.79714110284059E-005</v>
      </c>
      <c r="K75" s="28" t="str">
        <f aca="false">IF(J75&gt;0.00415%,ROUND(J75-0.0041%,6),"")</f>
        <v/>
      </c>
      <c r="L75" s="27" t="n">
        <f aca="false">ex8!D75</f>
        <v>4E-005</v>
      </c>
      <c r="M75" s="28" t="str">
        <f aca="false">IF(L75&gt;0.00415%,ROUND(L75-0.0041%,6),"")</f>
        <v/>
      </c>
    </row>
    <row r="76" customFormat="false" ht="12.75" hidden="false" customHeight="false" outlineLevel="0" collapsed="false">
      <c r="A76" s="17" t="n">
        <f aca="false">A75+1</f>
        <v>76</v>
      </c>
      <c r="B76" s="7" t="n">
        <v>36434</v>
      </c>
      <c r="C76" s="20" t="n">
        <f aca="false">DAY(EOMONTH(B76,0))</f>
        <v>31</v>
      </c>
      <c r="D76" s="42" t="n">
        <f aca="false">filings!C89</f>
        <v>71125</v>
      </c>
      <c r="E76" s="22" t="n">
        <f aca="false">filings!D89</f>
        <v>1210</v>
      </c>
      <c r="F76" s="1" t="n">
        <f aca="false">filings!K89</f>
        <v>520</v>
      </c>
      <c r="G76" s="41" t="n">
        <f aca="false">(D76+E76)*F76/1000000</f>
        <v>37.6142</v>
      </c>
      <c r="H76" s="41" t="n">
        <f aca="false">(D76+E76)*F76/C76/1000000</f>
        <v>1.21336129032258</v>
      </c>
      <c r="I76" s="12" t="n">
        <f aca="false">E76/C76</f>
        <v>39.0322580645161</v>
      </c>
      <c r="J76" s="27" t="n">
        <f aca="false">I76/H76/1000000</f>
        <v>3.21687022454286E-005</v>
      </c>
      <c r="K76" s="28" t="str">
        <f aca="false">IF(J76&gt;0.00415%,ROUND(J76-0.0041%,6),"")</f>
        <v/>
      </c>
      <c r="L76" s="27" t="n">
        <f aca="false">ex8!D76</f>
        <v>4E-005</v>
      </c>
      <c r="M76" s="28" t="str">
        <f aca="false">IF(L76&gt;0.00415%,ROUND(L76-0.0041%,6),"")</f>
        <v/>
      </c>
    </row>
    <row r="77" customFormat="false" ht="12.75" hidden="false" customHeight="false" outlineLevel="0" collapsed="false">
      <c r="A77" s="17" t="n">
        <f aca="false">A76+1</f>
        <v>77</v>
      </c>
      <c r="B77" s="7" t="n">
        <v>36465</v>
      </c>
      <c r="C77" s="20" t="n">
        <f aca="false">DAY(EOMONTH(B77,0))</f>
        <v>30</v>
      </c>
      <c r="D77" s="42" t="n">
        <f aca="false">filings!C90</f>
        <v>72500</v>
      </c>
      <c r="E77" s="22" t="n">
        <f aca="false">filings!D90</f>
        <v>1300</v>
      </c>
      <c r="F77" s="1" t="n">
        <f aca="false">filings!K90</f>
        <v>520</v>
      </c>
      <c r="G77" s="41" t="n">
        <f aca="false">(D77+E77)*F77/1000000</f>
        <v>38.376</v>
      </c>
      <c r="H77" s="41" t="n">
        <f aca="false">(D77+E77)*F77/C77/1000000</f>
        <v>1.2792</v>
      </c>
      <c r="I77" s="12" t="n">
        <f aca="false">E77/C77</f>
        <v>43.3333333333333</v>
      </c>
      <c r="J77" s="27" t="n">
        <f aca="false">I77/H77/1000000</f>
        <v>3.38753387533875E-005</v>
      </c>
      <c r="K77" s="28" t="str">
        <f aca="false">IF(J77&gt;0.00415%,ROUND(J77-0.0041%,6),"")</f>
        <v/>
      </c>
      <c r="L77" s="27" t="n">
        <f aca="false">ex8!D77</f>
        <v>4E-005</v>
      </c>
      <c r="M77" s="28" t="str">
        <f aca="false">IF(L77&gt;0.00415%,ROUND(L77-0.0041%,6),"")</f>
        <v/>
      </c>
    </row>
    <row r="78" customFormat="false" ht="12.75" hidden="false" customHeight="false" outlineLevel="0" collapsed="false">
      <c r="A78" s="17" t="n">
        <f aca="false">A77+1</f>
        <v>78</v>
      </c>
      <c r="B78" s="7" t="n">
        <v>36495</v>
      </c>
      <c r="C78" s="20" t="n">
        <f aca="false">DAY(EOMONTH(B78,0))</f>
        <v>31</v>
      </c>
      <c r="D78" s="42" t="n">
        <f aca="false">filings!C91</f>
        <v>83000</v>
      </c>
      <c r="E78" s="22" t="n">
        <f aca="false">filings!D91</f>
        <v>1225</v>
      </c>
      <c r="F78" s="1" t="n">
        <f aca="false">filings!K91</f>
        <v>520</v>
      </c>
      <c r="G78" s="41" t="n">
        <f aca="false">(D78+E78)*F78/1000000</f>
        <v>43.797</v>
      </c>
      <c r="H78" s="41" t="n">
        <f aca="false">(D78+E78)*F78/C78/1000000</f>
        <v>1.4128064516129</v>
      </c>
      <c r="I78" s="12" t="n">
        <f aca="false">E78/C78</f>
        <v>39.5161290322581</v>
      </c>
      <c r="J78" s="27" t="n">
        <f aca="false">I78/H78/1000000</f>
        <v>2.79699522798365E-005</v>
      </c>
      <c r="K78" s="28" t="str">
        <f aca="false">IF(J78&gt;0.00415%,ROUND(J78-0.0041%,6),"")</f>
        <v/>
      </c>
      <c r="L78" s="27" t="n">
        <f aca="false">ex8!D78</f>
        <v>4E-005</v>
      </c>
      <c r="M78" s="28" t="str">
        <f aca="false">IF(L78&gt;0.00415%,ROUND(L78-0.0041%,6),"")</f>
        <v/>
      </c>
    </row>
    <row r="79" customFormat="false" ht="12.75" hidden="false" customHeight="false" outlineLevel="0" collapsed="false">
      <c r="A79" s="17" t="n">
        <f aca="false">A78+1</f>
        <v>79</v>
      </c>
      <c r="B79" s="7" t="n">
        <v>36526</v>
      </c>
      <c r="C79" s="20" t="n">
        <f aca="false">DAY(EOMONTH(B79,0))</f>
        <v>31</v>
      </c>
      <c r="D79" s="42" t="n">
        <f aca="false">filings!C92</f>
        <v>78000</v>
      </c>
      <c r="E79" s="22" t="n">
        <f aca="false">filings!D92</f>
        <v>1800</v>
      </c>
      <c r="F79" s="1" t="n">
        <f aca="false">filings!K92</f>
        <v>520</v>
      </c>
      <c r="G79" s="41" t="n">
        <f aca="false">(D79+E79)*F79/1000000</f>
        <v>41.496</v>
      </c>
      <c r="H79" s="41" t="n">
        <f aca="false">(D79+E79)*F79/C79/1000000</f>
        <v>1.33858064516129</v>
      </c>
      <c r="I79" s="12" t="n">
        <f aca="false">E79/C79</f>
        <v>58.0645161290323</v>
      </c>
      <c r="J79" s="27" t="n">
        <f aca="false">I79/H79/1000000</f>
        <v>4.33776749566223E-005</v>
      </c>
      <c r="K79" s="28" t="n">
        <f aca="false">IF(J79&gt;0.00415%,ROUND(J79-0.0041%,6),"")</f>
        <v>2E-006</v>
      </c>
      <c r="L79" s="27" t="n">
        <f aca="false">ex8!D79</f>
        <v>4.6E-005</v>
      </c>
      <c r="M79" s="28" t="n">
        <f aca="false">IF(L79&gt;0.00415%,ROUND(L79-0.0041%,6),"")</f>
        <v>5E-006</v>
      </c>
    </row>
    <row r="80" customFormat="false" ht="12.75" hidden="false" customHeight="false" outlineLevel="0" collapsed="false">
      <c r="A80" s="17" t="n">
        <f aca="false">A79+1</f>
        <v>80</v>
      </c>
      <c r="B80" s="7" t="n">
        <v>36557</v>
      </c>
      <c r="C80" s="20" t="n">
        <f aca="false">DAY(EOMONTH(B80,0))</f>
        <v>29</v>
      </c>
      <c r="D80" s="42" t="n">
        <f aca="false">filings!C93</f>
        <v>74500</v>
      </c>
      <c r="E80" s="22" t="n">
        <f aca="false">filings!D93</f>
        <v>1635</v>
      </c>
      <c r="F80" s="1" t="n">
        <f aca="false">filings!K93</f>
        <v>520</v>
      </c>
      <c r="G80" s="41" t="n">
        <f aca="false">(D80+E80)*F80/1000000</f>
        <v>39.5902</v>
      </c>
      <c r="H80" s="41" t="n">
        <f aca="false">(D80+E80)*F80/C80/1000000</f>
        <v>1.36517931034483</v>
      </c>
      <c r="I80" s="12" t="n">
        <f aca="false">E80/C80</f>
        <v>56.3793103448276</v>
      </c>
      <c r="J80" s="27" t="n">
        <f aca="false">I80/H80/1000000</f>
        <v>4.12980990245061E-005</v>
      </c>
      <c r="K80" s="28" t="str">
        <f aca="false">IF(J80&gt;0.00415%,ROUND(J80-0.0041%,6),"")</f>
        <v/>
      </c>
      <c r="L80" s="27" t="n">
        <f aca="false">ex8!D80</f>
        <v>4.6E-005</v>
      </c>
      <c r="M80" s="28" t="n">
        <f aca="false">IF(L80&gt;0.00415%,ROUND(L80-0.0041%,6),"")</f>
        <v>5E-006</v>
      </c>
    </row>
    <row r="81" customFormat="false" ht="12.75" hidden="false" customHeight="false" outlineLevel="0" collapsed="false">
      <c r="A81" s="17" t="n">
        <f aca="false">A80+1</f>
        <v>81</v>
      </c>
      <c r="B81" s="7" t="n">
        <v>36586</v>
      </c>
      <c r="C81" s="20" t="n">
        <f aca="false">DAY(EOMONTH(B81,0))</f>
        <v>31</v>
      </c>
      <c r="D81" s="42" t="n">
        <f aca="false">filings!C94</f>
        <v>70000</v>
      </c>
      <c r="E81" s="22" t="n">
        <f aca="false">filings!D94</f>
        <v>1350</v>
      </c>
      <c r="F81" s="1" t="n">
        <f aca="false">filings!K94</f>
        <v>520</v>
      </c>
      <c r="G81" s="41" t="n">
        <f aca="false">(D81+E81)*F81/1000000</f>
        <v>37.102</v>
      </c>
      <c r="H81" s="41" t="n">
        <f aca="false">(D81+E81)*F81/C81/1000000</f>
        <v>1.19683870967742</v>
      </c>
      <c r="I81" s="12" t="n">
        <f aca="false">E81/C81</f>
        <v>43.5483870967742</v>
      </c>
      <c r="J81" s="27" t="n">
        <f aca="false">I81/H81/1000000</f>
        <v>3.63861786426608E-005</v>
      </c>
      <c r="K81" s="28" t="str">
        <f aca="false">IF(J81&gt;0.00415%,ROUND(J81-0.0041%,6),"")</f>
        <v/>
      </c>
      <c r="L81" s="27" t="n">
        <f aca="false">ex8!D81</f>
        <v>3.4E-005</v>
      </c>
      <c r="M81" s="28" t="str">
        <f aca="false">IF(L81&gt;0.00415%,ROUND(L81-0.0041%,6),"")</f>
        <v/>
      </c>
    </row>
    <row r="82" customFormat="false" ht="12.75" hidden="false" customHeight="false" outlineLevel="0" collapsed="false">
      <c r="A82" s="17" t="n">
        <f aca="false">A81+1</f>
        <v>82</v>
      </c>
      <c r="B82" s="7" t="n">
        <v>36617</v>
      </c>
      <c r="C82" s="20" t="n">
        <f aca="false">DAY(EOMONTH(B82,0))</f>
        <v>30</v>
      </c>
      <c r="D82" s="42" t="n">
        <f aca="false">filings!C95</f>
        <v>73269</v>
      </c>
      <c r="E82" s="22" t="n">
        <f aca="false">filings!D95</f>
        <v>1450</v>
      </c>
      <c r="F82" s="1" t="n">
        <f aca="false">filings!K95</f>
        <v>520</v>
      </c>
      <c r="G82" s="41" t="n">
        <f aca="false">(D82+E82)*F82/1000000</f>
        <v>38.85388</v>
      </c>
      <c r="H82" s="41" t="n">
        <f aca="false">(D82+E82)*F82/C82/1000000</f>
        <v>1.29512933333333</v>
      </c>
      <c r="I82" s="12" t="n">
        <f aca="false">E82/C82</f>
        <v>48.3333333333333</v>
      </c>
      <c r="J82" s="27" t="n">
        <f aca="false">I82/H82/1000000</f>
        <v>3.73193101950179E-005</v>
      </c>
      <c r="K82" s="28" t="str">
        <f aca="false">IF(J82&gt;0.00415%,ROUND(J82-0.0041%,6),"")</f>
        <v/>
      </c>
      <c r="L82" s="27" t="n">
        <f aca="false">ex8!D82</f>
        <v>3.2E-005</v>
      </c>
      <c r="M82" s="28" t="str">
        <f aca="false">IF(L82&gt;0.00415%,ROUND(L82-0.0041%,6),"")</f>
        <v/>
      </c>
    </row>
    <row r="83" customFormat="false" ht="12.75" hidden="false" customHeight="false" outlineLevel="0" collapsed="false">
      <c r="A83" s="17" t="n">
        <f aca="false">A82+1</f>
        <v>83</v>
      </c>
      <c r="B83" s="7" t="n">
        <v>36647</v>
      </c>
      <c r="C83" s="20" t="n">
        <f aca="false">DAY(EOMONTH(B83,0))</f>
        <v>31</v>
      </c>
      <c r="D83" s="42" t="n">
        <f aca="false">filings!C96</f>
        <v>70000</v>
      </c>
      <c r="E83" s="22" t="n">
        <f aca="false">filings!D96</f>
        <v>800</v>
      </c>
      <c r="F83" s="1" t="n">
        <f aca="false">filings!K96</f>
        <v>520</v>
      </c>
      <c r="G83" s="41" t="n">
        <f aca="false">(D83+E83)*F83/1000000</f>
        <v>36.816</v>
      </c>
      <c r="H83" s="41" t="n">
        <f aca="false">(D83+E83)*F83/C83/1000000</f>
        <v>1.18761290322581</v>
      </c>
      <c r="I83" s="12" t="n">
        <f aca="false">E83/C83</f>
        <v>25.8064516129032</v>
      </c>
      <c r="J83" s="27" t="n">
        <f aca="false">I83/H83/1000000</f>
        <v>2.17296827466319E-005</v>
      </c>
      <c r="K83" s="28" t="str">
        <f aca="false">IF(J83&gt;0.00415%,ROUND(J83-0.0041%,6),"")</f>
        <v/>
      </c>
      <c r="L83" s="27" t="n">
        <f aca="false">ex8!D83</f>
        <v>3.2E-005</v>
      </c>
      <c r="M83" s="28" t="str">
        <f aca="false">IF(L83&gt;0.00415%,ROUND(L83-0.0041%,6),"")</f>
        <v/>
      </c>
    </row>
    <row r="84" customFormat="false" ht="12.75" hidden="false" customHeight="false" outlineLevel="0" collapsed="false">
      <c r="A84" s="17" t="n">
        <f aca="false">A83+1</f>
        <v>84</v>
      </c>
      <c r="B84" s="7" t="n">
        <v>36678</v>
      </c>
      <c r="C84" s="20" t="n">
        <f aca="false">DAY(EOMONTH(B84,0))</f>
        <v>30</v>
      </c>
      <c r="D84" s="42" t="n">
        <f aca="false">filings!C97</f>
        <v>73000</v>
      </c>
      <c r="E84" s="22" t="n">
        <f aca="false">filings!D97</f>
        <v>1025</v>
      </c>
      <c r="F84" s="1" t="n">
        <f aca="false">filings!K97</f>
        <v>520</v>
      </c>
      <c r="G84" s="41" t="n">
        <f aca="false">(D84+E84)*F84/1000000</f>
        <v>38.493</v>
      </c>
      <c r="H84" s="41" t="n">
        <f aca="false">(D84+E84)*F84/C84/1000000</f>
        <v>1.2831</v>
      </c>
      <c r="I84" s="12" t="n">
        <f aca="false">E84/C84</f>
        <v>34.1666666666667</v>
      </c>
      <c r="J84" s="27" t="n">
        <f aca="false">I84/H84/1000000</f>
        <v>2.66282181175798E-005</v>
      </c>
      <c r="K84" s="28" t="str">
        <f aca="false">IF(J84&gt;0.00415%,ROUND(J84-0.0041%,6),"")</f>
        <v/>
      </c>
      <c r="L84" s="27" t="n">
        <f aca="false">ex8!D84</f>
        <v>3.4E-005</v>
      </c>
      <c r="M84" s="28" t="str">
        <f aca="false">IF(L84&gt;0.00415%,ROUND(L84-0.0041%,6),"")</f>
        <v/>
      </c>
    </row>
    <row r="85" customFormat="false" ht="12.75" hidden="false" customHeight="false" outlineLevel="0" collapsed="false">
      <c r="A85" s="17" t="n">
        <f aca="false">A84+1</f>
        <v>85</v>
      </c>
      <c r="B85" s="7" t="n">
        <v>36708</v>
      </c>
      <c r="C85" s="20" t="n">
        <f aca="false">DAY(EOMONTH(B85,0))</f>
        <v>31</v>
      </c>
      <c r="D85" s="42" t="n">
        <f aca="false">filings!C98</f>
        <v>75000</v>
      </c>
      <c r="E85" s="22" t="n">
        <f aca="false">filings!D98</f>
        <v>1178.5</v>
      </c>
      <c r="F85" s="1" t="n">
        <f aca="false">filings!K98</f>
        <v>520</v>
      </c>
      <c r="G85" s="41" t="n">
        <f aca="false">(D85+E85)*F85/1000000</f>
        <v>39.61282</v>
      </c>
      <c r="H85" s="41" t="n">
        <f aca="false">(D85+E85)*F85/C85/1000000</f>
        <v>1.27783290322581</v>
      </c>
      <c r="I85" s="12" t="n">
        <f aca="false">E85/C85</f>
        <v>38.0161290322581</v>
      </c>
      <c r="J85" s="27" t="n">
        <f aca="false">I85/H85/1000000</f>
        <v>2.97504696711822E-005</v>
      </c>
      <c r="K85" s="28" t="str">
        <f aca="false">IF(J85&gt;0.00415%,ROUND(J85-0.0041%,6),"")</f>
        <v/>
      </c>
      <c r="L85" s="27" t="n">
        <f aca="false">ex8!D85</f>
        <v>4.3E-005</v>
      </c>
      <c r="M85" s="28" t="n">
        <f aca="false">IF(L85&gt;0.00415%,ROUND(L85-0.0041%,6),"")</f>
        <v>2E-006</v>
      </c>
    </row>
    <row r="86" customFormat="false" ht="12.75" hidden="false" customHeight="false" outlineLevel="0" collapsed="false">
      <c r="A86" s="17" t="n">
        <f aca="false">A85+1</f>
        <v>86</v>
      </c>
      <c r="B86" s="7" t="n">
        <v>36739</v>
      </c>
      <c r="C86" s="20" t="n">
        <f aca="false">DAY(EOMONTH(B86,0))</f>
        <v>31</v>
      </c>
      <c r="D86" s="42" t="n">
        <f aca="false">filings!C99</f>
        <v>71000</v>
      </c>
      <c r="E86" s="22" t="n">
        <f aca="false">filings!D99</f>
        <v>1165</v>
      </c>
      <c r="F86" s="1" t="n">
        <f aca="false">filings!K99</f>
        <v>520</v>
      </c>
      <c r="G86" s="41" t="n">
        <f aca="false">(D86+E86)*F86/1000000</f>
        <v>37.5258</v>
      </c>
      <c r="H86" s="41" t="n">
        <f aca="false">(D86+E86)*F86/C86/1000000</f>
        <v>1.21050967741936</v>
      </c>
      <c r="I86" s="12" t="n">
        <f aca="false">E86/C86</f>
        <v>37.5806451612903</v>
      </c>
      <c r="J86" s="27" t="n">
        <f aca="false">I86/H86/1000000</f>
        <v>3.104530749511E-005</v>
      </c>
      <c r="K86" s="28" t="str">
        <f aca="false">IF(J86&gt;0.00415%,ROUND(J86-0.0041%,6),"")</f>
        <v/>
      </c>
      <c r="L86" s="27" t="n">
        <f aca="false">ex8!D86</f>
        <v>4.7E-005</v>
      </c>
      <c r="M86" s="28" t="n">
        <f aca="false">IF(L86&gt;0.00415%,ROUND(L86-0.0041%,6),"")</f>
        <v>6E-006</v>
      </c>
    </row>
    <row r="87" customFormat="false" ht="12.75" hidden="false" customHeight="false" outlineLevel="0" collapsed="false">
      <c r="A87" s="17" t="n">
        <f aca="false">A86+1</f>
        <v>87</v>
      </c>
      <c r="B87" s="7" t="n">
        <v>36770</v>
      </c>
      <c r="C87" s="20" t="n">
        <f aca="false">DAY(EOMONTH(B87,0))</f>
        <v>30</v>
      </c>
      <c r="D87" s="42" t="n">
        <f aca="false">filings!C100</f>
        <v>72000</v>
      </c>
      <c r="E87" s="22" t="n">
        <f aca="false">filings!D100</f>
        <v>1250</v>
      </c>
      <c r="F87" s="1" t="n">
        <f aca="false">filings!K100</f>
        <v>520</v>
      </c>
      <c r="G87" s="41" t="n">
        <f aca="false">(D87+E87)*F87/1000000</f>
        <v>38.09</v>
      </c>
      <c r="H87" s="41" t="n">
        <f aca="false">(D87+E87)*F87/C87/1000000</f>
        <v>1.26966666666667</v>
      </c>
      <c r="I87" s="12" t="n">
        <f aca="false">E87/C87</f>
        <v>41.6666666666667</v>
      </c>
      <c r="J87" s="27" t="n">
        <f aca="false">I87/H87/1000000</f>
        <v>3.28170123391966E-005</v>
      </c>
      <c r="K87" s="28" t="str">
        <f aca="false">IF(J87&gt;0.00415%,ROUND(J87-0.0041%,6),"")</f>
        <v/>
      </c>
      <c r="L87" s="27" t="n">
        <f aca="false">ex8!D87</f>
        <v>4.7E-005</v>
      </c>
      <c r="M87" s="28" t="n">
        <f aca="false">IF(L87&gt;0.00415%,ROUND(L87-0.0041%,6),"")</f>
        <v>6E-006</v>
      </c>
    </row>
    <row r="88" customFormat="false" ht="13.5" hidden="false" customHeight="false" outlineLevel="0" collapsed="false">
      <c r="A88" s="17" t="n">
        <f aca="false">A87+1</f>
        <v>88</v>
      </c>
      <c r="B88" s="7" t="n">
        <v>36800</v>
      </c>
      <c r="C88" s="20" t="n">
        <f aca="false">DAY(EOMONTH(B88,0))</f>
        <v>31</v>
      </c>
      <c r="D88" s="42" t="n">
        <f aca="false">filings!C101</f>
        <v>68000</v>
      </c>
      <c r="E88" s="22" t="n">
        <f aca="false">filings!D101</f>
        <v>1325</v>
      </c>
      <c r="F88" s="1" t="n">
        <f aca="false">filings!K101</f>
        <v>520</v>
      </c>
      <c r="G88" s="41" t="n">
        <f aca="false">(D88+E88)*F88/1000000</f>
        <v>36.049</v>
      </c>
      <c r="H88" s="41" t="n">
        <f aca="false">(D88+E88)*F88/C88/1000000</f>
        <v>1.16287096774194</v>
      </c>
      <c r="I88" s="12" t="n">
        <f aca="false">E88/C88</f>
        <v>42.741935483871</v>
      </c>
      <c r="J88" s="27" t="n">
        <f aca="false">I88/H88/1000000</f>
        <v>3.67555271990901E-005</v>
      </c>
      <c r="K88" s="28" t="str">
        <f aca="false">IF(J88&gt;0.00415%,ROUND(J88-0.0041%,6),"")</f>
        <v/>
      </c>
      <c r="L88" s="27" t="n">
        <f aca="false">ex8!D88</f>
        <v>4.7E-005</v>
      </c>
      <c r="M88" s="28" t="n">
        <f aca="false">IF(L88&gt;0.00415%,ROUND(L88-0.0041%,6),"")</f>
        <v>6E-006</v>
      </c>
    </row>
    <row r="89" customFormat="false" ht="13.5" hidden="false" customHeight="false" outlineLevel="0" collapsed="false">
      <c r="A89" s="17" t="n">
        <f aca="false">A88+1</f>
        <v>89</v>
      </c>
      <c r="B89" s="7" t="n">
        <v>36831</v>
      </c>
      <c r="C89" s="20" t="n">
        <f aca="false">DAY(EOMONTH(B89,0))</f>
        <v>30</v>
      </c>
      <c r="D89" s="47"/>
      <c r="E89" s="32"/>
      <c r="F89" s="33"/>
      <c r="G89" s="41" t="n">
        <f aca="false">(D89+E89)*F89/1000000</f>
        <v>0</v>
      </c>
      <c r="H89" s="41" t="n">
        <f aca="false">(D89+E89)*F89/C89/1000000</f>
        <v>0</v>
      </c>
      <c r="I89" s="12" t="n">
        <f aca="false">E89/C89</f>
        <v>0</v>
      </c>
      <c r="J89" s="27" t="str">
        <f aca="false">IF(H89&gt;0,I89/H89/1000000,"")</f>
        <v/>
      </c>
      <c r="K89" s="28"/>
      <c r="L89" s="27" t="n">
        <f aca="false">ex8!D89</f>
        <v>4.7E-005</v>
      </c>
      <c r="M89" s="28" t="n">
        <f aca="false">IF(L89&gt;0.00415%,ROUND(L89-0.0041%,6),"")</f>
        <v>6E-006</v>
      </c>
    </row>
    <row r="90" customFormat="false" ht="12.75" hidden="false" customHeight="false" outlineLevel="0" collapsed="false">
      <c r="A90" s="17" t="n">
        <f aca="false">A89+1</f>
        <v>90</v>
      </c>
      <c r="B90" s="7" t="n">
        <v>36861</v>
      </c>
      <c r="C90" s="20" t="n">
        <f aca="false">DAY(EOMONTH(B90,0))</f>
        <v>31</v>
      </c>
      <c r="D90" s="48"/>
      <c r="E90" s="1"/>
      <c r="F90" s="35"/>
      <c r="G90" s="41" t="n">
        <f aca="false">(D90+E90)*F90/1000000</f>
        <v>0</v>
      </c>
      <c r="H90" s="41" t="n">
        <f aca="false">(D90+E90)*F90/C90/1000000</f>
        <v>0</v>
      </c>
      <c r="I90" s="12" t="n">
        <f aca="false">E90/C90</f>
        <v>0</v>
      </c>
      <c r="J90" s="27" t="str">
        <f aca="false">IF(H90&gt;0,I90/H90/1000000,"")</f>
        <v/>
      </c>
      <c r="K90" s="28"/>
      <c r="L90" s="27" t="n">
        <f aca="false">ex8!D90</f>
        <v>4.7E-005</v>
      </c>
      <c r="M90" s="28" t="n">
        <f aca="false">IF(L90&gt;0.00415%,ROUND(L90-0.0041%,6),"")</f>
        <v>6E-006</v>
      </c>
    </row>
    <row r="91" customFormat="false" ht="12.75" hidden="false" customHeight="false" outlineLevel="0" collapsed="false">
      <c r="A91" s="17" t="n">
        <f aca="false">A90+1</f>
        <v>91</v>
      </c>
      <c r="B91" s="7" t="n">
        <v>36892</v>
      </c>
      <c r="C91" s="20" t="n">
        <f aca="false">DAY(EOMONTH(B91,0))</f>
        <v>31</v>
      </c>
      <c r="D91" s="48"/>
      <c r="E91" s="1"/>
      <c r="F91" s="35"/>
      <c r="G91" s="41" t="n">
        <f aca="false">(D91+E91)*F91/1000000</f>
        <v>0</v>
      </c>
      <c r="H91" s="41" t="n">
        <f aca="false">(D91+E91)*F91/C91/1000000</f>
        <v>0</v>
      </c>
      <c r="I91" s="12" t="n">
        <f aca="false">E91/C91</f>
        <v>0</v>
      </c>
      <c r="J91" s="27" t="str">
        <f aca="false">IF(H91&gt;0,I91/H91/1000000,"")</f>
        <v/>
      </c>
      <c r="K91" s="28"/>
      <c r="L91" s="27" t="n">
        <f aca="false">ex8!D91</f>
        <v>5.1E-005</v>
      </c>
      <c r="M91" s="28" t="n">
        <f aca="false">IF(L91&gt;0.00415%,ROUND(L91-0.0041%,6),"")</f>
        <v>1E-005</v>
      </c>
    </row>
    <row r="92" customFormat="false" ht="12.75" hidden="false" customHeight="false" outlineLevel="0" collapsed="false">
      <c r="A92" s="17" t="n">
        <f aca="false">A91+1</f>
        <v>92</v>
      </c>
      <c r="B92" s="7" t="n">
        <v>36923</v>
      </c>
      <c r="C92" s="20" t="n">
        <f aca="false">DAY(EOMONTH(B92,0))</f>
        <v>28</v>
      </c>
      <c r="D92" s="48"/>
      <c r="E92" s="1"/>
      <c r="F92" s="35"/>
      <c r="G92" s="41" t="n">
        <f aca="false">(D92+E92)*F92/1000000</f>
        <v>0</v>
      </c>
      <c r="H92" s="41" t="n">
        <f aca="false">(D92+E92)*F92/C92/1000000</f>
        <v>0</v>
      </c>
      <c r="I92" s="12" t="n">
        <f aca="false">E92/C92</f>
        <v>0</v>
      </c>
      <c r="J92" s="27" t="str">
        <f aca="false">IF(H92&gt;0,I92/H92/1000000,"")</f>
        <v/>
      </c>
      <c r="K92" s="28"/>
      <c r="L92" s="27" t="n">
        <f aca="false">ex8!D92</f>
        <v>5.8E-005</v>
      </c>
      <c r="M92" s="28" t="n">
        <f aca="false">IF(L92&gt;0.00415%,ROUND(L92-0.0041%,6),"")</f>
        <v>1.7E-005</v>
      </c>
    </row>
    <row r="93" customFormat="false" ht="12.75" hidden="false" customHeight="false" outlineLevel="0" collapsed="false">
      <c r="A93" s="17" t="n">
        <f aca="false">A92+1</f>
        <v>93</v>
      </c>
      <c r="B93" s="7" t="n">
        <v>36951</v>
      </c>
      <c r="C93" s="20" t="n">
        <f aca="false">DAY(EOMONTH(B93,0))</f>
        <v>31</v>
      </c>
      <c r="D93" s="48"/>
      <c r="E93" s="1"/>
      <c r="F93" s="35"/>
      <c r="G93" s="41" t="n">
        <f aca="false">(D93+E93)*F93/1000000</f>
        <v>0</v>
      </c>
      <c r="H93" s="41" t="n">
        <f aca="false">(D93+E93)*F93/C93/1000000</f>
        <v>0</v>
      </c>
      <c r="I93" s="12" t="n">
        <f aca="false">E93/C93</f>
        <v>0</v>
      </c>
      <c r="J93" s="27" t="str">
        <f aca="false">IF(H93&gt;0,I93/H93/1000000,"")</f>
        <v/>
      </c>
      <c r="K93" s="28"/>
      <c r="L93" s="27" t="n">
        <f aca="false">ex8!D93</f>
        <v>5.6E-005</v>
      </c>
      <c r="M93" s="28" t="n">
        <f aca="false">IF(L93&gt;0.00415%,ROUND(L93-0.0041%,6),"")</f>
        <v>1.5E-005</v>
      </c>
    </row>
    <row r="94" customFormat="false" ht="13.5" hidden="false" customHeight="false" outlineLevel="0" collapsed="false">
      <c r="A94" s="17" t="n">
        <f aca="false">A93+1</f>
        <v>94</v>
      </c>
      <c r="B94" s="7" t="n">
        <v>36982</v>
      </c>
      <c r="C94" s="20" t="n">
        <f aca="false">DAY(EOMONTH(B94,0))</f>
        <v>30</v>
      </c>
      <c r="D94" s="49"/>
      <c r="E94" s="37"/>
      <c r="F94" s="38"/>
      <c r="G94" s="41" t="n">
        <f aca="false">(D94+E94)*F94/1000000</f>
        <v>0</v>
      </c>
      <c r="H94" s="41" t="n">
        <f aca="false">(D94+E94)*F94/C94/1000000</f>
        <v>0</v>
      </c>
      <c r="I94" s="12" t="n">
        <f aca="false">E94/C94</f>
        <v>0</v>
      </c>
      <c r="J94" s="27" t="str">
        <f aca="false">IF(H94&gt;0,I94/H94/1000000,"")</f>
        <v/>
      </c>
      <c r="K94" s="28"/>
      <c r="L94" s="27" t="n">
        <f aca="false">ex8!D94</f>
        <v>5.1E-005</v>
      </c>
      <c r="M94" s="28" t="n">
        <f aca="false">IF(L94&gt;0.00415%,ROUND(L94-0.0041%,6),"")</f>
        <v>1E-005</v>
      </c>
    </row>
    <row r="95" customFormat="false" ht="13.5" hidden="false" customHeight="false" outlineLevel="0" collapsed="false">
      <c r="A95" s="17" t="n">
        <f aca="false">A94+1</f>
        <v>95</v>
      </c>
      <c r="B95" s="7" t="n">
        <v>37012</v>
      </c>
      <c r="C95" s="20" t="n">
        <f aca="false">DAY(EOMONTH(B95,0))</f>
        <v>31</v>
      </c>
      <c r="D95" s="40"/>
      <c r="K95" s="28"/>
      <c r="L95" s="27" t="n">
        <f aca="false">ex8!D95</f>
        <v>4.3E-005</v>
      </c>
      <c r="M95" s="28" t="n">
        <f aca="false">IF(L95&gt;0.00415%,ROUND(L95-0.0041%,6),"")</f>
        <v>2E-006</v>
      </c>
    </row>
    <row r="96" customFormat="false" ht="12.75" hidden="false" customHeight="false" outlineLevel="0" collapsed="false">
      <c r="A96" s="17" t="n">
        <f aca="false">A95+1</f>
        <v>96</v>
      </c>
      <c r="B96" s="7" t="n">
        <v>37043</v>
      </c>
      <c r="C96" s="20" t="n">
        <f aca="false">DAY(EOMONTH(B96,0))</f>
        <v>30</v>
      </c>
      <c r="D96" s="40"/>
      <c r="K96" s="28"/>
      <c r="M96" s="28"/>
    </row>
    <row r="97" customFormat="false" ht="12.75" hidden="false" customHeight="false" outlineLevel="0" collapsed="false">
      <c r="A97" s="17" t="n">
        <f aca="false">A96+1</f>
        <v>97</v>
      </c>
      <c r="B97" s="7" t="n">
        <v>37073</v>
      </c>
      <c r="C97" s="20" t="n">
        <f aca="false">DAY(EOMONTH(B97,0))</f>
        <v>31</v>
      </c>
      <c r="D97" s="40"/>
    </row>
    <row r="98" customFormat="false" ht="12.75" hidden="false" customHeight="false" outlineLevel="0" collapsed="false">
      <c r="A98" s="17" t="n">
        <f aca="false">A97+1</f>
        <v>98</v>
      </c>
      <c r="B98" s="0" t="s">
        <v>49</v>
      </c>
      <c r="J98" s="0" t="n">
        <f aca="false">COUNT(J8:J97)</f>
        <v>81</v>
      </c>
      <c r="K98" s="0" t="n">
        <f aca="false">COUNTIF(K8:K97,"&gt;0")</f>
        <v>18</v>
      </c>
      <c r="L98" s="0" t="n">
        <f aca="false">COUNT(L8:L97)</f>
        <v>88</v>
      </c>
      <c r="M98" s="0" t="n">
        <f aca="false">COUNTIF(M8:M97,"&gt;0")</f>
        <v>56</v>
      </c>
    </row>
    <row r="99" customFormat="false" ht="12.75" hidden="false" customHeight="false" outlineLevel="0" collapsed="false">
      <c r="A99" s="17" t="n">
        <f aca="false">A98+1</f>
        <v>99</v>
      </c>
      <c r="B99" s="0" t="s">
        <v>63</v>
      </c>
      <c r="J99" s="0" t="n">
        <f aca="false">COUNTIF(J8:J97,"&gt;0.00415%")</f>
        <v>18</v>
      </c>
      <c r="L99" s="0" t="n">
        <f aca="false">COUNTIF(L8:L97,"&gt;0.00415%")</f>
        <v>56</v>
      </c>
    </row>
    <row r="100" customFormat="false" ht="12.75" hidden="false" customHeight="false" outlineLevel="0" collapsed="false">
      <c r="A100" s="17" t="n">
        <f aca="false">A99+1</f>
        <v>100</v>
      </c>
      <c r="J100" s="39" t="n">
        <f aca="false">J99/J98</f>
        <v>0.222222222222222</v>
      </c>
      <c r="L100" s="39" t="n">
        <f aca="false">L99/L98</f>
        <v>0.636363636363636</v>
      </c>
    </row>
  </sheetData>
  <conditionalFormatting sqref="J8:J94 L8:L95">
    <cfRule type="cellIs" priority="2" operator="greaterThanOrEqual" aboveAverage="0" equalAverage="0" bottom="0" percent="0" rank="0" text="" dxfId="1">
      <formula>0.0000415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9, Page &amp;P of   &amp;N</oddHeader>
    <oddFooter>&amp;LSource: PGT Filings with FERC, TM94-3-86 et al.&amp;C|&amp;RSource: Computations with the columns from the left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8" zoomScaleNormal="7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&amp;RChart 8-9, Page 1 of 1</oddHeader>
    <oddFooter>&amp;LSource: PGT Filings with FERC, TM94-3-86 et al.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2000-06-07T17:20:09Z</dcterms:created>
  <dc:creator>hots</dc:creator>
  <dc:description/>
  <dc:language>en-US</dc:language>
  <cp:lastModifiedBy>hots</cp:lastModifiedBy>
  <cp:lastPrinted>2001-04-25T21:47:23Z</cp:lastPrinted>
  <cp:revision>0</cp:revision>
  <dc:subject/>
  <dc:title/>
</cp:coreProperties>
</file>