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hart1" sheetId="2" state="visible" r:id="rId4"/>
    <sheet name="June 19 Power Cost Forecast" sheetId="3" state="visible" r:id="rId5"/>
    <sheet name="June 19 deferral" sheetId="4" state="visible" r:id="rId6"/>
    <sheet name="Budget Deferral" sheetId="5" state="visible" r:id="rId7"/>
    <sheet name="June 7 Power Cost Forecast" sheetId="6" state="visible" r:id="rId8"/>
    <sheet name="June 7 deferral" sheetId="7" state="visible" r:id="rId9"/>
    <sheet name="May 8 Power Cost Forecast" sheetId="8" state="visible" r:id="rId10"/>
    <sheet name="May 8 deferral" sheetId="9" state="visible" r:id="rId11"/>
    <sheet name="Loads &amp; Revenues" sheetId="10" state="visible" r:id="rId12"/>
    <sheet name="Sheet2" sheetId="11" state="visible" r:id="rId13"/>
    <sheet name="Sheet3" sheetId="12" state="visible" r:id="rId14"/>
  </sheets>
  <externalReferences>
    <externalReference r:id="rId15"/>
    <externalReference r:id="rId16"/>
    <externalReference r:id="rId17"/>
    <externalReference r:id="rId18"/>
  </externalReferences>
  <definedNames>
    <definedName function="false" hidden="false" localSheetId="4" name="_xlnm.Print_Area" vbProcedure="false">'Budget Deferral'!$A$1:$O$35</definedName>
    <definedName function="false" hidden="false" localSheetId="3" name="_xlnm.Print_Area" vbProcedure="false">'June 19 deferral'!$A$1:$O$35</definedName>
    <definedName function="false" hidden="false" localSheetId="6" name="_xlnm.Print_Area" vbProcedure="false">'June 7 deferral'!$A$1:$O$35</definedName>
    <definedName function="false" hidden="false" localSheetId="8" name="_xlnm.Print_Area" vbProcedure="false">'May 8 deferral'!$A$1:$O$35</definedName>
    <definedName function="false" hidden="false" localSheetId="0" name="_xlnm.Print_Area" vbProcedure="false">Summary!$A$2:$F$66</definedName>
    <definedName function="false" hidden="false" name="all" vbProcedure="false">#REF!</definedName>
    <definedName function="false" hidden="false" name="AnnualCapTable" vbProcedure="false">#REF!</definedName>
    <definedName function="false" hidden="false" name="BegResources" vbProcedure="false">#REF!</definedName>
    <definedName function="false" hidden="false" name="CapAddTable" vbProcedure="false">#REF!</definedName>
    <definedName function="false" hidden="false" name="ccc" vbProcedure="false">ccc</definedName>
    <definedName function="false" hidden="false" name="dayBegin" vbProcedure="false">#REF!</definedName>
    <definedName function="false" hidden="false" name="Dialog_Button_click" vbProcedure="false">Dialog_Button_click</definedName>
    <definedName function="false" hidden="false" name="dontcare" vbProcedure="false">dontcare</definedName>
    <definedName function="false" hidden="false" name="EconTable" vbProcedure="false">#REF!</definedName>
    <definedName function="false" hidden="false" name="ExpRegControl3" vbProcedure="false">ExpRegControl3</definedName>
    <definedName function="false" hidden="false" name="FuelTable" vbProcedure="false">#REF!</definedName>
    <definedName function="false" hidden="false" name="GasPriceAdjust" vbProcedure="false">#REF!</definedName>
    <definedName function="false" hidden="false" name="GetCaseData" vbProcedure="false">GetCaseData</definedName>
    <definedName function="false" hidden="false" name="GetHydroCaseData" vbProcedure="false">GetHydroCaseData</definedName>
    <definedName function="false" hidden="false" name="HTML1_1" vbProcedure="false">"'[MONET71.xls]Market Hubs by Condition'!$A$1:$F$44"</definedName>
    <definedName function="false" hidden="false" name="HTML1_10" vbProcedure="false">"Dave_LeVee"</definedName>
    <definedName function="false" hidden="false" name="HTML1_11" vbProcedure="false">1</definedName>
    <definedName function="false" hidden="false" name="HTML1_12" vbProcedure="false">"G:\MONET\WEB\FORECAST\hub71.htm"</definedName>
    <definedName function="false" hidden="false" name="HTML1_2" vbProcedure="false">1</definedName>
    <definedName function="false" hidden="false" name="HTML1_3" vbProcedure="false">"MONET71"</definedName>
    <definedName function="false" hidden="false" name="HTML1_4" vbProcedure="false">"Market Hubs by Condition"</definedName>
    <definedName function="false" hidden="false" name="HTML1_5" vbProcedure="false">""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"4/10/96"</definedName>
    <definedName function="false" hidden="false" name="HTML1_9" vbProcedure="false">"Resource Forecasting Department"</definedName>
    <definedName function="false" hidden="false" name="HTML2_1" vbProcedure="false">"[MONET71.xls]FlatMarginalCost!$A$1:$E$132"</definedName>
    <definedName function="false" hidden="false" name="HTML2_10" vbProcedure="false">"Dave_LeVee"</definedName>
    <definedName function="false" hidden="false" name="HTML2_11" vbProcedure="false">1</definedName>
    <definedName function="false" hidden="false" name="HTML2_12" vbProcedure="false">"G:\MONET\WEB\FORECAST\mc71.htm"</definedName>
    <definedName function="false" hidden="false" name="HTML2_2" vbProcedure="false">1</definedName>
    <definedName function="false" hidden="false" name="HTML2_3" vbProcedure="false">"MONET71"</definedName>
    <definedName function="false" hidden="false" name="HTML2_4" vbProcedure="false">"FlatMarginalCost"</definedName>
    <definedName function="false" hidden="false" name="HTML2_5" vbProcedure="false">""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"4/10/96"</definedName>
    <definedName function="false" hidden="false" name="HTML2_9" vbProcedure="false">"Resource Forecasting Department"</definedName>
    <definedName function="false" hidden="false" name="HTML3_1" vbProcedure="false">"'[MONET84.XLS]Market Hubs by Condition'!$A$1:$F$36"</definedName>
    <definedName function="false" hidden="false" name="HTML3_10" vbProcedure="false">"dave_levee@pgn.com"</definedName>
    <definedName function="false" hidden="false" name="HTML3_11" vbProcedure="false">1</definedName>
    <definedName function="false" hidden="false" name="HTML3_12" vbProcedure="false">"G:\MONET\WEB\FORECAST\Hub84.htm"</definedName>
    <definedName function="false" hidden="false" name="HTML3_2" vbProcedure="false">1</definedName>
    <definedName function="false" hidden="false" name="HTML3_3" vbProcedure="false">"MONET84"</definedName>
    <definedName function="false" hidden="false" name="HTML3_4" vbProcedure="false">"Market Hubs by Condition"</definedName>
    <definedName function="false" hidden="false" name="HTML3_5" vbProcedure="false">""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"4/15/96"</definedName>
    <definedName function="false" hidden="false" name="HTML3_9" vbProcedure="false">"Resource Forecasting Department"</definedName>
    <definedName function="false" hidden="false" name="HTML4_1" vbProcedure="false">"[MONET84.XLS]ConditionMarginalCost!$A$1:$E$286"</definedName>
    <definedName function="false" hidden="false" name="HTML4_10" vbProcedure="false">"dave_levee@pgn.com"</definedName>
    <definedName function="false" hidden="false" name="HTML4_11" vbProcedure="false">1</definedName>
    <definedName function="false" hidden="false" name="HTML4_12" vbProcedure="false">"G:\MONET\WEB\FORECAST\mc84.htm"</definedName>
    <definedName function="false" hidden="false" name="HTML4_2" vbProcedure="false">1</definedName>
    <definedName function="false" hidden="false" name="HTML4_3" vbProcedure="false">"MONET84"</definedName>
    <definedName function="false" hidden="false" name="HTML4_4" vbProcedure="false">"ConditionMarginalCost"</definedName>
    <definedName function="false" hidden="false" name="HTML4_5" vbProcedure="false">""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"4/15/96"</definedName>
    <definedName function="false" hidden="false" name="HTML4_9" vbProcedure="false">"Resource Forecasting Department"</definedName>
    <definedName function="false" hidden="false" name="HTML5_1" vbProcedure="false">"[MONET84.XLS]ConditionMarginalCost!$A$1:$E$177"</definedName>
    <definedName function="false" hidden="false" name="HTML5_10" vbProcedure="false">"dave_levee@pgn.com"</definedName>
    <definedName function="false" hidden="false" name="HTML5_11" vbProcedure="false">1</definedName>
    <definedName function="false" hidden="false" name="HTML5_12" vbProcedure="false">"G:\MONET\WEB\FORECAST\mc84.htm"</definedName>
    <definedName function="false" hidden="false" name="HTML5_2" vbProcedure="false">1</definedName>
    <definedName function="false" hidden="false" name="HTML5_3" vbProcedure="false">"MONET84"</definedName>
    <definedName function="false" hidden="false" name="HTML5_4" vbProcedure="false">"ConditionMarginalCost"</definedName>
    <definedName function="false" hidden="false" name="HTML5_5" vbProcedure="false">""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"4/15/96"</definedName>
    <definedName function="false" hidden="false" name="HTML5_9" vbProcedure="false">"Resource Forecasting Department"</definedName>
    <definedName function="false" hidden="false" name="HTMLCount" vbProcedure="false">5</definedName>
    <definedName function="false" hidden="false" name="Hydro_Condition_Cell" vbProcedure="false">#REF!</definedName>
    <definedName function="false" hidden="false" name="List1" vbProcedure="false">"List Box 14"</definedName>
    <definedName function="false" hidden="false" name="LocateCaseDialog" vbProcedure="false">LocateCaseDialog</definedName>
    <definedName function="false" hidden="false" name="monthbeg" vbProcedure="false">#REF!</definedName>
    <definedName function="false" hidden="false" name="newname" vbProcedure="false">[4]![Power_MWa_Output_Table9 ]_PrintMWaSummaryPrint</definedName>
    <definedName function="false" hidden="false" name="NEWNAME1" vbProcedure="false">NEWNAME1</definedName>
    <definedName function="false" hidden="false" name="Onpeak" vbProcedure="false">#REF!</definedName>
    <definedName function="false" hidden="false" name="OptionAvailTable" vbProcedure="false">#REF!</definedName>
    <definedName function="false" hidden="false" name="OptionDescTable" vbProcedure="false">#REF!</definedName>
    <definedName function="false" hidden="false" name="PickACase" vbProcedure="false">PickACase</definedName>
    <definedName function="false" hidden="false" name="PickACaseGas" vbProcedure="false">PickACaseGas</definedName>
    <definedName function="false" hidden="false" name="PickACaseHydro" vbProcedure="false">PickACaseHydro</definedName>
    <definedName function="false" hidden="false" name="PickACaseWeather" vbProcedure="false">PickACaseWeather</definedName>
    <definedName function="false" hidden="false" name="Power_Cost_Output_Table9_PrintPowerCostsSummaryPrint" vbProcedure="false">Power_Cost_Output_Table9.PrintPowerCostsSummaryPrint</definedName>
    <definedName function="false" hidden="false" name="Power_Cost_Output_Table9.PrintPowerCostsSummaryPrint" vbProcedure="false"/>
    <definedName function="false" hidden="false" name="PrintMWaSummaryPrint" vbProcedure="false">PrintMWaSummaryPrint</definedName>
    <definedName function="false" hidden="false" name="PrintPowerCostsSummaryPrint" vbProcedure="false">PrintPowerCostsSummaryPrint</definedName>
    <definedName function="false" hidden="false" name="SaveOutput" vbProcedure="false">SaveOutput</definedName>
    <definedName function="false" hidden="false" name="SelectSheetFromList" vbProcedure="false">SelectSheetFromList</definedName>
    <definedName function="false" hidden="false" name="SheetsInBook" vbProcedure="false">SheetsInBook</definedName>
    <definedName function="false" hidden="false" name="z" vbProcedure="false">[4]![Power_Cost_Output_Table9]_PrintPowerCostsSummaryPrint</definedName>
    <definedName function="false" hidden="false" name="[Power_Cost_Output_Table9]_PrintPowerCostsSummaryPrint" vbProcedure="false">[4]![Power_Cost_Output_Table9]_PrintPowerCostsSummaryPrint</definedName>
    <definedName function="false" hidden="false" name="[Power_MWa_Output_Table9 ]_PrintMWaSummaryPrint" vbProcedure="false">[4]![Power_MWa_Output_Table9 ]_PrintMWaSummaryPrint</definedName>
    <definedName function="false" hidden="false" localSheetId="2" name="Dialog_Button_click" vbProcedure="false">Dialog_Button_click</definedName>
    <definedName function="false" hidden="false" localSheetId="2" name="dontcare" vbProcedure="false">dontcare</definedName>
    <definedName function="false" hidden="false" localSheetId="2" name="ExpRegControl3" vbProcedure="false">ExpRegControl3</definedName>
    <definedName function="false" hidden="false" localSheetId="2" name="GetCaseData" vbProcedure="false">GetCaseData</definedName>
    <definedName function="false" hidden="false" localSheetId="2" name="GetHydroCaseData" vbProcedure="false">GetHydroCaseData</definedName>
    <definedName function="false" hidden="false" localSheetId="2" name="LocateCaseDialog" vbProcedure="false">LocateCaseDialog</definedName>
    <definedName function="false" hidden="false" localSheetId="2" name="NEWNAME1" vbProcedure="false">NEWNAME1</definedName>
    <definedName function="false" hidden="false" localSheetId="2" name="PickACase" vbProcedure="false">PickACase</definedName>
    <definedName function="false" hidden="false" localSheetId="2" name="PickACaseGas" vbProcedure="false">PickACaseGas</definedName>
    <definedName function="false" hidden="false" localSheetId="2" name="PickACaseHydro" vbProcedure="false">PickACaseHydro</definedName>
    <definedName function="false" hidden="false" localSheetId="2" name="PickACaseWeather" vbProcedure="false">PickACaseWeather</definedName>
    <definedName function="false" hidden="false" localSheetId="2" name="Power_Cost_Output_Table9_PrintPowerCostsSummaryPrint" vbProcedure="false">Power_Cost_Output_Table9.PrintPowerCostsSummaryPrint</definedName>
    <definedName function="false" hidden="false" localSheetId="2" name="PrintMWaSummaryPrint" vbProcedure="false">PrintMWaSummaryPrint</definedName>
    <definedName function="false" hidden="false" localSheetId="2" name="PrintPowerCostsSummaryPrint" vbProcedure="false">PrintPowerCostsSummaryPrint</definedName>
    <definedName function="false" hidden="false" localSheetId="2" name="SaveOutput" vbProcedure="false">SaveOutput</definedName>
    <definedName function="false" hidden="false" localSheetId="2" name="SelectSheetFromList" vbProcedure="false">SelectSheetFromList</definedName>
    <definedName function="false" hidden="false" localSheetId="2" name="SheetsInBook" vbProcedure="false">SheetsInBook</definedName>
    <definedName function="false" hidden="false" localSheetId="3" name="Dialog_Button_click" vbProcedure="false">Dialog_Button_click</definedName>
    <definedName function="false" hidden="false" localSheetId="3" name="dontcare" vbProcedure="false">dontcare</definedName>
    <definedName function="false" hidden="false" localSheetId="3" name="ExpRegControl3" vbProcedure="false">ExpRegControl3</definedName>
    <definedName function="false" hidden="false" localSheetId="3" name="GetCaseData" vbProcedure="false">GetCaseData</definedName>
    <definedName function="false" hidden="false" localSheetId="3" name="GetHydroCaseData" vbProcedure="false">GetHydroCaseData</definedName>
    <definedName function="false" hidden="false" localSheetId="3" name="LocateCaseDialog" vbProcedure="false">LocateCaseDialog</definedName>
    <definedName function="false" hidden="false" localSheetId="3" name="NEWNAME1" vbProcedure="false">NEWNAME1</definedName>
    <definedName function="false" hidden="false" localSheetId="3" name="PickACase" vbProcedure="false">PickACase</definedName>
    <definedName function="false" hidden="false" localSheetId="3" name="PickACaseGas" vbProcedure="false">PickACaseGas</definedName>
    <definedName function="false" hidden="false" localSheetId="3" name="PickACaseHydro" vbProcedure="false">PickACaseHydro</definedName>
    <definedName function="false" hidden="false" localSheetId="3" name="PickACaseWeather" vbProcedure="false">PickACaseWeather</definedName>
    <definedName function="false" hidden="false" localSheetId="3" name="Power_Cost_Output_Table9_PrintPowerCostsSummaryPrint" vbProcedure="false">Power_Cost_Output_Table9.PrintPowerCostsSummaryPrint</definedName>
    <definedName function="false" hidden="false" localSheetId="3" name="PrintMWaSummaryPrint" vbProcedure="false">PrintMWaSummaryPrint</definedName>
    <definedName function="false" hidden="false" localSheetId="3" name="PrintPowerCostsSummaryPrint" vbProcedure="false">PrintPowerCostsSummaryPrint</definedName>
    <definedName function="false" hidden="false" localSheetId="3" name="SaveOutput" vbProcedure="false">SaveOutput</definedName>
    <definedName function="false" hidden="false" localSheetId="3" name="SelectSheetFromList" vbProcedure="false">SelectSheetFromList</definedName>
    <definedName function="false" hidden="false" localSheetId="3" name="SheetsInBook" vbProcedure="false">SheetsInBook</definedName>
    <definedName function="false" hidden="false" localSheetId="7" name="Dialog_Button_click" vbProcedure="false">Dialog_Button_click</definedName>
    <definedName function="false" hidden="false" localSheetId="7" name="dontcare" vbProcedure="false">dontcare</definedName>
    <definedName function="false" hidden="false" localSheetId="7" name="ExpRegControl3" vbProcedure="false">ExpRegControl3</definedName>
    <definedName function="false" hidden="false" localSheetId="7" name="GetCaseData" vbProcedure="false">GetCaseData</definedName>
    <definedName function="false" hidden="false" localSheetId="7" name="GetHydroCaseData" vbProcedure="false">GetHydroCaseData</definedName>
    <definedName function="false" hidden="false" localSheetId="7" name="LocateCaseDialog" vbProcedure="false">LocateCaseDialog</definedName>
    <definedName function="false" hidden="false" localSheetId="7" name="NEWNAME1" vbProcedure="false">NEWNAME1</definedName>
    <definedName function="false" hidden="false" localSheetId="7" name="PickACase" vbProcedure="false">PickACase</definedName>
    <definedName function="false" hidden="false" localSheetId="7" name="PickACaseGas" vbProcedure="false">PickACaseGas</definedName>
    <definedName function="false" hidden="false" localSheetId="7" name="PickACaseHydro" vbProcedure="false">PickACaseHydro</definedName>
    <definedName function="false" hidden="false" localSheetId="7" name="PickACaseWeather" vbProcedure="false">PickACaseWeather</definedName>
    <definedName function="false" hidden="false" localSheetId="7" name="Power_Cost_Output_Table9_PrintPowerCostsSummaryPrint" vbProcedure="false">Power_Cost_Output_Table9.PrintPowerCostsSummaryPrint</definedName>
    <definedName function="false" hidden="false" localSheetId="7" name="PrintMWaSummaryPrint" vbProcedure="false">PrintMWaSummaryPrint</definedName>
    <definedName function="false" hidden="false" localSheetId="7" name="PrintPowerCostsSummaryPrint" vbProcedure="false">PrintPowerCostsSummaryPrint</definedName>
    <definedName function="false" hidden="false" localSheetId="7" name="SaveOutput" vbProcedure="false">SaveOutput</definedName>
    <definedName function="false" hidden="false" localSheetId="7" name="SelectSheetFromList" vbProcedure="false">SelectSheetFromList</definedName>
    <definedName function="false" hidden="false" localSheetId="7" name="SheetsInBook" vbProcedure="false">SheetsInBook</definedName>
    <definedName function="false" hidden="false" localSheetId="8" name="Dialog_Button_click" vbProcedure="false">Dialog_Button_click</definedName>
    <definedName function="false" hidden="false" localSheetId="8" name="dontcare" vbProcedure="false">dontcare</definedName>
    <definedName function="false" hidden="false" localSheetId="8" name="ExpRegControl3" vbProcedure="false">ExpRegControl3</definedName>
    <definedName function="false" hidden="false" localSheetId="8" name="GetCaseData" vbProcedure="false">GetCaseData</definedName>
    <definedName function="false" hidden="false" localSheetId="8" name="GetHydroCaseData" vbProcedure="false">GetHydroCaseData</definedName>
    <definedName function="false" hidden="false" localSheetId="8" name="LocateCaseDialog" vbProcedure="false">LocateCaseDialog</definedName>
    <definedName function="false" hidden="false" localSheetId="8" name="NEWNAME1" vbProcedure="false">NEWNAME1</definedName>
    <definedName function="false" hidden="false" localSheetId="8" name="PickACase" vbProcedure="false">PickACase</definedName>
    <definedName function="false" hidden="false" localSheetId="8" name="PickACaseGas" vbProcedure="false">PickACaseGas</definedName>
    <definedName function="false" hidden="false" localSheetId="8" name="PickACaseHydro" vbProcedure="false">PickACaseHydro</definedName>
    <definedName function="false" hidden="false" localSheetId="8" name="PickACaseWeather" vbProcedure="false">PickACaseWeather</definedName>
    <definedName function="false" hidden="false" localSheetId="8" name="Power_Cost_Output_Table9_PrintPowerCostsSummaryPrint" vbProcedure="false">Power_Cost_Output_Table9.PrintPowerCostsSummaryPrint</definedName>
    <definedName function="false" hidden="false" localSheetId="8" name="PrintMWaSummaryPrint" vbProcedure="false">PrintMWaSummaryPrint</definedName>
    <definedName function="false" hidden="false" localSheetId="8" name="PrintPowerCostsSummaryPrint" vbProcedure="false">PrintPowerCostsSummaryPrint</definedName>
    <definedName function="false" hidden="false" localSheetId="8" name="SaveOutput" vbProcedure="false">SaveOutput</definedName>
    <definedName function="false" hidden="false" localSheetId="8" name="SelectSheetFromList" vbProcedure="false">SelectSheetFromList</definedName>
    <definedName function="false" hidden="false" localSheetId="8" name="SheetsInBook" vbProcedure="false">SheetsInBook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E31239:
</t>
        </r>
        <r>
          <rPr>
            <sz val="8"/>
            <color rgb="FF000000"/>
            <rFont val="Tahoma"/>
            <family val="0"/>
          </rPr>
          <t xml:space="preserve">Includes reversal of $17.4M Cum Effect ($16M in 2001)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49</xdr:row>
                <xdr:rowOff>7</xdr:rowOff>
              </xdr:from>
              <xdr:to>
                <xdr:col>6</xdr:col>
                <xdr:colOff>79</xdr:colOff>
                <xdr:row>53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<sst xmlns="http://schemas.openxmlformats.org/spreadsheetml/2006/main" count="511" uniqueCount="210">
  <si>
    <t xml:space="preserve">2001 Summary of Gross Margin</t>
  </si>
  <si>
    <t xml:space="preserve">Actuals May</t>
  </si>
  <si>
    <t xml:space="preserve">Budget</t>
  </si>
  <si>
    <t xml:space="preserve">Plan</t>
  </si>
  <si>
    <t xml:space="preserve">&amp; Forecast</t>
  </si>
  <si>
    <t xml:space="preserve">June 19 PC Forecast</t>
  </si>
  <si>
    <t xml:space="preserve">Revenues</t>
  </si>
  <si>
    <t xml:space="preserve">Net Variable Power Cost</t>
  </si>
  <si>
    <t xml:space="preserve">PCA</t>
  </si>
  <si>
    <t xml:space="preserve">Net Power Cost</t>
  </si>
  <si>
    <t xml:space="preserve">Gross Margin</t>
  </si>
  <si>
    <t xml:space="preserve">O&amp;M</t>
  </si>
  <si>
    <t xml:space="preserve">PGE IBIT</t>
  </si>
  <si>
    <t xml:space="preserve">PGE Net Income</t>
  </si>
  <si>
    <t xml:space="preserve">Load Loss from Budget Forecast MWH - 9 months</t>
  </si>
  <si>
    <t xml:space="preserve">Retail (excluding Demand BB)</t>
  </si>
  <si>
    <t xml:space="preserve">Demand BB</t>
  </si>
  <si>
    <t xml:space="preserve">Total Lost Load</t>
  </si>
  <si>
    <t xml:space="preserve">Revenue Reduction from Load Loss (9 months)</t>
  </si>
  <si>
    <t xml:space="preserve">Demand BB (in Mechanism)</t>
  </si>
  <si>
    <t xml:space="preserve">Total Lost Revenue</t>
  </si>
  <si>
    <t xml:space="preserve">Value of Lost Load for 9 months  (load * Market Price)</t>
  </si>
  <si>
    <t xml:space="preserve">PGE Share @ 10% level</t>
  </si>
  <si>
    <t xml:space="preserve">Fourth Quarter Power Cost</t>
  </si>
  <si>
    <t xml:space="preserve">Changes From Budget</t>
  </si>
  <si>
    <t xml:space="preserve">EBIT Reconciliation as of May with June 19 Power Case</t>
  </si>
  <si>
    <t xml:space="preserve">Budget ( No Overview)</t>
  </si>
  <si>
    <t xml:space="preserve">Revenue Change (9 months)</t>
  </si>
  <si>
    <t xml:space="preserve">   Demand Buy Back (in PCA)</t>
  </si>
  <si>
    <t xml:space="preserve">   9 months Load Loss</t>
  </si>
  <si>
    <t xml:space="preserve">   Save Adjustment</t>
  </si>
  <si>
    <t xml:space="preserve">   Other Miscell Changes</t>
  </si>
  <si>
    <t xml:space="preserve">   Sub Total Revenue</t>
  </si>
  <si>
    <t xml:space="preserve">Power Cost Change from Budget</t>
  </si>
  <si>
    <t xml:space="preserve">   Credit Reserve</t>
  </si>
  <si>
    <t xml:space="preserve">   Merchant Trading (5 months)</t>
  </si>
  <si>
    <t xml:space="preserve">   Retail Trading (9 months)</t>
  </si>
  <si>
    <t xml:space="preserve">   PCA Adjustment</t>
  </si>
  <si>
    <t xml:space="preserve">   Retail Trading Adj (DBB &amp; MM)</t>
  </si>
  <si>
    <t xml:space="preserve">   Sub Total Power</t>
  </si>
  <si>
    <t xml:space="preserve">O&amp;M </t>
  </si>
  <si>
    <t xml:space="preserve">   Accounting Change</t>
  </si>
  <si>
    <t xml:space="preserve">   O&amp;M Changes</t>
  </si>
  <si>
    <t xml:space="preserve">   Sub Total O&amp;M</t>
  </si>
  <si>
    <t xml:space="preserve">TOLI (Income less than Budget)</t>
  </si>
  <si>
    <t xml:space="preserve">Miscellaneous Other</t>
  </si>
  <si>
    <t xml:space="preserve">Revised EBIT Forecast</t>
  </si>
  <si>
    <t xml:space="preserve">2001 POWER COST</t>
  </si>
  <si>
    <t xml:space="preserve">JANUARY - MAY ACTUALS</t>
  </si>
  <si>
    <t xml:space="preserve">WITH MTM</t>
  </si>
  <si>
    <t xml:space="preserve">JUNE 19, 2001 FORECAST</t>
  </si>
  <si>
    <t xml:space="preserve">$1000</t>
  </si>
  <si>
    <t xml:space="preserve">JUNE NEAR TERM FORECAST</t>
  </si>
  <si>
    <t xml:space="preserve">JUL-DEC BASED ON MONET FORECAST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</si>
  <si>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</si>
  <si>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</si>
  <si>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</si>
  <si>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</si>
  <si>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</si>
  <si>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</si>
  <si>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</si>
  <si>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</si>
  <si>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</si>
  <si>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</si>
  <si>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</si>
  <si>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</si>
  <si>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</t>
  </si>
  <si>
    <t xml:space="preserve">SEP YTD</t>
  </si>
  <si>
    <t xml:space="preserve">PURCHASE POWER</t>
  </si>
  <si>
    <t xml:space="preserve">FIRM PURCHASES</t>
  </si>
  <si>
    <t xml:space="preserve">INTERCHANGE/STORAGE</t>
  </si>
  <si>
    <t xml:space="preserve">ELEC FINANCIALS</t>
  </si>
  <si>
    <t xml:space="preserve">FAS 133 - SPEC -ELEC</t>
  </si>
  <si>
    <t xml:space="preserve">SECONDARY PURCHASES</t>
  </si>
  <si>
    <t xml:space="preserve">TOTAL PURCHASES</t>
  </si>
  <si>
    <t xml:space="preserve">WHEELING</t>
  </si>
  <si>
    <t xml:space="preserve">GENERATION</t>
  </si>
  <si>
    <t xml:space="preserve">STEAM FUEL</t>
  </si>
  <si>
    <t xml:space="preserve">CENTRALIA</t>
  </si>
  <si>
    <t xml:space="preserve">COLSTRIP</t>
  </si>
  <si>
    <t xml:space="preserve">BOARDMAN</t>
  </si>
  <si>
    <t xml:space="preserve">TOTAL STEAM</t>
  </si>
  <si>
    <t xml:space="preserve">HYDRO PRODUCTION</t>
  </si>
  <si>
    <t xml:space="preserve">OTHER PRODUCTION</t>
  </si>
  <si>
    <t xml:space="preserve">BEAVER &amp; BEAVER PEAKER</t>
  </si>
  <si>
    <t xml:space="preserve">COYOTE</t>
  </si>
  <si>
    <t xml:space="preserve">BEAVER/COYOTE GAS TRANS, ETC</t>
  </si>
  <si>
    <t xml:space="preserve">GAS  FINANCIALS</t>
  </si>
  <si>
    <t xml:space="preserve">FAS 133 - SPEC- GAS</t>
  </si>
  <si>
    <t xml:space="preserve">FAS 133 - NONSPEC - GAS</t>
  </si>
  <si>
    <t xml:space="preserve">TOTAL OTHER PRODUCTION</t>
  </si>
  <si>
    <t xml:space="preserve">TOTAL GENERATION</t>
  </si>
  <si>
    <t xml:space="preserve">TOTAL SYSTEM LOAD</t>
  </si>
  <si>
    <t xml:space="preserve">SALES FOR RESALE</t>
  </si>
  <si>
    <t xml:space="preserve">GAS FOR RESALE</t>
  </si>
  <si>
    <t xml:space="preserve">NET VARIABLE POWER COSTS</t>
  </si>
  <si>
    <t xml:space="preserve">PCA Adjustments:</t>
  </si>
  <si>
    <t xml:space="preserve">Remove prior period adj</t>
  </si>
  <si>
    <t xml:space="preserve">Remove Bad Debt provisions</t>
  </si>
  <si>
    <t xml:space="preserve">Add back lost Demand Buyback revenues</t>
  </si>
  <si>
    <t xml:space="preserve">Remove Boise impact</t>
  </si>
  <si>
    <t xml:space="preserve">FAS 133 - GAS - NON SPEC</t>
  </si>
  <si>
    <t xml:space="preserve">N24236</t>
  </si>
  <si>
    <t xml:space="preserve">Subtotal</t>
  </si>
  <si>
    <t xml:space="preserve">SPEC BOOK</t>
  </si>
  <si>
    <t xml:space="preserve">FAS 133 - ELEC - SPEC</t>
  </si>
  <si>
    <t xml:space="preserve">N15007</t>
  </si>
  <si>
    <t xml:space="preserve">FAS 133 - GAS - SPEC</t>
  </si>
  <si>
    <t xml:space="preserve">   Realized SPEC Margin </t>
  </si>
  <si>
    <t xml:space="preserve">N11119,N24238,M22118</t>
  </si>
  <si>
    <t xml:space="preserve">Subtotal Spec Book</t>
  </si>
  <si>
    <t xml:space="preserve">NVPC SUBJECT TO PCA DEFERRAL</t>
  </si>
  <si>
    <t xml:space="preserve">PCA (PGE collects)/PGE refunds to customers</t>
  </si>
  <si>
    <t xml:space="preserve">NVPC BUDGET</t>
  </si>
  <si>
    <t xml:space="preserve">NVPC Forecast over (under) Budget</t>
  </si>
  <si>
    <t xml:space="preserve">2002 FORECAST - BUDGET</t>
  </si>
  <si>
    <t xml:space="preserve">2002 FORECAST - CURRENT</t>
  </si>
  <si>
    <t xml:space="preserve">Current fcst over (under) budget</t>
  </si>
  <si>
    <t xml:space="preserve">Stipulated Power Cost Adjustment Mechanism (250 BP Dead Band, 150 BP 1st Tier with 50/50 Sharing, 90/10 Sharing Outside First Tier)</t>
  </si>
  <si>
    <t xml:space="preserve">9 month Base = $176 MM</t>
  </si>
  <si>
    <t xml:space="preserve">1st Tier Sharing</t>
  </si>
  <si>
    <t xml:space="preserve">NVPC 1999 (Adjusted)</t>
  </si>
  <si>
    <t xml:space="preserve">PGE Share = </t>
  </si>
  <si>
    <t xml:space="preserve">2001 Load Forecast (Mwa)</t>
  </si>
  <si>
    <t xml:space="preserve">Customer Share = </t>
  </si>
  <si>
    <t xml:space="preserve">1999 Load (Mwa)</t>
  </si>
  <si>
    <t xml:space="preserve">Base NVPC 2001 (Load Adjusted)</t>
  </si>
  <si>
    <t xml:space="preserve">2nd Tier Sharing</t>
  </si>
  <si>
    <t xml:space="preserve">NVPC 2001 (Monet)</t>
  </si>
  <si>
    <t xml:space="preserve">Monthly Adder</t>
  </si>
  <si>
    <t xml:space="preserve">Monthly Dead Band</t>
  </si>
  <si>
    <t xml:space="preserve">250 Basis Points</t>
  </si>
  <si>
    <t xml:space="preserve">1st Tier Monthly Band</t>
  </si>
  <si>
    <t xml:space="preserve">150 Basis Points</t>
  </si>
  <si>
    <t xml:space="preserve">MAR </t>
  </si>
  <si>
    <t xml:space="preserve">MAY </t>
  </si>
  <si>
    <t xml:space="preserve">TOTAL</t>
  </si>
  <si>
    <t xml:space="preserve">NVPC (2001 Monet)</t>
  </si>
  <si>
    <t xml:space="preserve">Base NVPC 2001</t>
  </si>
  <si>
    <t xml:space="preserve">Upper Limit of 50/50 Sharing</t>
  </si>
  <si>
    <t xml:space="preserve">Upper Band</t>
  </si>
  <si>
    <t xml:space="preserve">Lower Band</t>
  </si>
  <si>
    <t xml:space="preserve">Lower Limit of 50/50 Sharing</t>
  </si>
  <si>
    <t xml:space="preserve">Cumulative Totals</t>
  </si>
  <si>
    <t xml:space="preserve">Monthly Deferral Calculation</t>
  </si>
  <si>
    <t xml:space="preserve">June 19 forecast</t>
  </si>
  <si>
    <t xml:space="preserve">Cumulative Power Cost</t>
  </si>
  <si>
    <t xml:space="preserve">Total Deferral</t>
  </si>
  <si>
    <t xml:space="preserve">Change in the Deferral each month</t>
  </si>
  <si>
    <t xml:space="preserve">Graph Information</t>
  </si>
  <si>
    <t xml:space="preserve">Cum Forecasted Retail Power Cost</t>
  </si>
  <si>
    <t xml:space="preserve"> Total Deferral</t>
  </si>
  <si>
    <t xml:space="preserve">90/10 Sharing on all below dead band</t>
  </si>
  <si>
    <t xml:space="preserve">Budget (no Overview)</t>
  </si>
  <si>
    <t xml:space="preserve">JUNE 7, 2001 FORECAST  -  F.O.R</t>
  </si>
  <si>
    <t xml:space="preserve">Error Wrong Sign</t>
  </si>
  <si>
    <t xml:space="preserve">June 7 forecast</t>
  </si>
  <si>
    <t xml:space="preserve">JANUARY - APRIL ACTUALS</t>
  </si>
  <si>
    <t xml:space="preserve">MAY 8, 2001 FORECAST - F.O.R.</t>
  </si>
  <si>
    <t xml:space="preserve">MAY NEAR TERM FORECAST</t>
  </si>
  <si>
    <t xml:space="preserve">JUN-DEC BASED ON MONET FORECAST</t>
  </si>
  <si>
    <t xml:space="preserve">NET SYSTEM LOAD</t>
  </si>
  <si>
    <t xml:space="preserve">Remove gas under-accrual in 2000</t>
  </si>
  <si>
    <t xml:space="preserve">Subtotal Spec Activity</t>
  </si>
  <si>
    <t xml:space="preserve">PCA (Credit) Sharing (Sep YTD Forecast)</t>
  </si>
  <si>
    <t xml:space="preserve">May 8 forecast</t>
  </si>
  <si>
    <t xml:space="preserve">Revenue &amp; Load Reconciliation:</t>
  </si>
  <si>
    <t xml:space="preserve">(All numbers are Calendar)</t>
  </si>
  <si>
    <t xml:space="preserve">Load (in Mwa)*: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</si>
  <si>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</si>
  <si>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</si>
  <si>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</si>
  <si>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</si>
  <si>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</si>
  <si>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</si>
  <si>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</si>
  <si>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</si>
  <si>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</si>
  <si>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</si>
  <si>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</si>
  <si>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</si>
  <si>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</t>
  </si>
  <si>
    <t xml:space="preserve">Hours/Month</t>
  </si>
  <si>
    <t xml:space="preserve">Budgeted</t>
  </si>
  <si>
    <t xml:space="preserve">Budgeted Mwh</t>
  </si>
  <si>
    <t xml:space="preserve">Actual</t>
  </si>
  <si>
    <t xml:space="preserve">Actual Mwh</t>
  </si>
  <si>
    <t xml:space="preserve">Forecast</t>
  </si>
  <si>
    <t xml:space="preserve">Forecast Mwh</t>
  </si>
  <si>
    <t xml:space="preserve">Variance (monthly)</t>
  </si>
  <si>
    <t xml:space="preserve">Variance (monthly) Mwh</t>
  </si>
  <si>
    <t xml:space="preserve">Variance (YTD)</t>
  </si>
  <si>
    <t xml:space="preserve">% Variance (monthly)</t>
  </si>
  <si>
    <t xml:space="preserve">% Variance (YTD)</t>
  </si>
  <si>
    <t xml:space="preserve">Loss Revenue (million $)**:</t>
  </si>
  <si>
    <t xml:space="preserve">Budgeted:</t>
  </si>
  <si>
    <t xml:space="preserve">Base**</t>
  </si>
  <si>
    <t xml:space="preserve">Revenue</t>
  </si>
  <si>
    <t xml:space="preserve">Rate Increase</t>
  </si>
  <si>
    <t xml:space="preserve">Tariff Adj</t>
  </si>
  <si>
    <t xml:space="preserve">Total Budgeted</t>
  </si>
  <si>
    <t xml:space="preserve">Actual &amp; Forecast:</t>
  </si>
  <si>
    <t xml:space="preserve">Total Forecast</t>
  </si>
  <si>
    <t xml:space="preserve">Variance (monthly)***</t>
  </si>
  <si>
    <t xml:space="preserve">Demand Buy-back:</t>
  </si>
  <si>
    <t xml:space="preserve">For the 9 month period</t>
  </si>
  <si>
    <t xml:space="preserve">Load est.</t>
  </si>
  <si>
    <t xml:space="preserve">* Energy numbers from "MONET", Net System Load, therefore before line loss</t>
  </si>
  <si>
    <t xml:space="preserve">** Including Demand Buy-back</t>
  </si>
  <si>
    <t xml:space="preserve">*** Sept includes SAVE true-up for $5 million gain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</si>
</sst>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%"/>
    <numFmt numFmtId="166" formatCode="\$#,##0_);&quot;($&quot;#,##0\)"/>
    <numFmt numFmtId="167" formatCode="_(* #,##0.00_);_(* \(#,##0.00\);_(* \-??_);_(@_)"/>
    <numFmt numFmtId="168" formatCode="_(* #,##0_);_(* \(#,##0\);_(* \-??_);_(@_)"/>
    <numFmt numFmtId="169" formatCode="\$#,##0.0_);&quot;($&quot;#,##0.0\)"/>
    <numFmt numFmtId="170" formatCode="\$#,##0"/>
    <numFmt numFmtId="171" formatCode="[$-409]#,##0_);\(#,##0\)"/>
    <numFmt numFmtId="172" formatCode="_(\$* #,##0.00_);_(\$* \(#,##0.00\);_(\$* \-??_);_(@_)"/>
    <numFmt numFmtId="173" formatCode="_(\$* #,##0_);_(\$* \(#,##0\);_(\$* \-??_);_(@_)"/>
    <numFmt numFmtId="174" formatCode="0%"/>
    <numFmt numFmtId="175" formatCode="#,##0"/>
    <numFmt numFmtId="176" formatCode="#,##0.0000"/>
    <numFmt numFmtId="177" formatCode="_(* #,##0.0_);_(* \(#,##0.0\);_(* \-??_);_(@_)"/>
    <numFmt numFmtId="178" formatCode="0.000%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Times New Roman"/>
      <family val="0"/>
    </font>
    <font>
      <sz val="10"/>
      <name val="Geneva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1"/>
      <name val="Times New Roman"/>
      <family val="0"/>
    </font>
    <font>
      <sz val="10"/>
      <name val="CG Times (W1)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6"/>
      <color rgb="FF000000"/>
      <name val="Arial"/>
      <family val="2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10"/>
      <color rgb="FFFFFF00"/>
      <name val="Arial"/>
      <family val="2"/>
    </font>
    <font>
      <b val="true"/>
      <u val="single"/>
      <sz val="10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 style="thin"/>
      <diagonal/>
    </border>
  </borders>
  <cellStyleXfs count="1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7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7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7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72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7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7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7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7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7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7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0" xfId="7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tRsk" xfId="20"/>
    <cellStyle name="Normal_AtRsk_1" xfId="21"/>
    <cellStyle name="Normal_AtRskHist" xfId="22"/>
    <cellStyle name="Normal_AtRskHst" xfId="23"/>
    <cellStyle name="Normal_AtRskHst_HrlyPC" xfId="24"/>
    <cellStyle name="Normal_AtRskHst_Mon0601" xfId="25"/>
    <cellStyle name="Normal_AtRskHst_Mon0713" xfId="26"/>
    <cellStyle name="Normal_AtRskHst_WHL0807" xfId="27"/>
    <cellStyle name="Normal_AtRskInp" xfId="28"/>
    <cellStyle name="Normal_AtRskInp_HrlyPC" xfId="29"/>
    <cellStyle name="Normal_AtRskInp_Mon0601" xfId="30"/>
    <cellStyle name="Normal_AtRskInp_Mon0713" xfId="31"/>
    <cellStyle name="Normal_AtRskInp_WHL0807" xfId="32"/>
    <cellStyle name="Normal_Book1" xfId="33"/>
    <cellStyle name="Normal_BPA" xfId="34"/>
    <cellStyle name="Normal_COMBO" xfId="35"/>
    <cellStyle name="Normal_CondMC" xfId="36"/>
    <cellStyle name="Normal_CondMC_1" xfId="37"/>
    <cellStyle name="Normal_Contracts 1" xfId="38"/>
    <cellStyle name="Normal_Create Contract Test Data" xfId="39"/>
    <cellStyle name="Normal_DiffBetASk&amp;Bid" xfId="40"/>
    <cellStyle name="Normal_Dispatch_Engine" xfId="41"/>
    <cellStyle name="Normal_DJ INDEX AND CASH" xfId="42"/>
    <cellStyle name="Normal_FlatMC" xfId="43"/>
    <cellStyle name="Normal_FlatMC_1" xfId="44"/>
    <cellStyle name="Normal_HrHub" xfId="45"/>
    <cellStyle name="Normal_HrHub_1" xfId="46"/>
    <cellStyle name="Normal_HrlyPCPr" xfId="47"/>
    <cellStyle name="Normal_HrlyPCPr_HrlyPC" xfId="48"/>
    <cellStyle name="Normal_HrlyPCPr_Mon0601" xfId="49"/>
    <cellStyle name="Normal_HrlyPCPr_Mon0713" xfId="50"/>
    <cellStyle name="Normal_HrlyPCPr_WHL0807" xfId="51"/>
    <cellStyle name="Normal_HubPrice" xfId="52"/>
    <cellStyle name="Normal_HubPrice_1" xfId="53"/>
    <cellStyle name="Normal_IncState" xfId="54"/>
    <cellStyle name="Normal_IncState_HrlyPC" xfId="55"/>
    <cellStyle name="Normal_IncState_Mon0601" xfId="56"/>
    <cellStyle name="Normal_IncState_Mon0713" xfId="57"/>
    <cellStyle name="Normal_IncState_WHL0807" xfId="58"/>
    <cellStyle name="Normal_LinkCns" xfId="59"/>
    <cellStyle name="Normal_LinkCns_1" xfId="60"/>
    <cellStyle name="Normal_Maintenance" xfId="61"/>
    <cellStyle name="Normal_MarCst" xfId="62"/>
    <cellStyle name="Normal_MarCst_1" xfId="63"/>
    <cellStyle name="Normal_MCCurve" xfId="64"/>
    <cellStyle name="Normal_MCCurve_1" xfId="65"/>
    <cellStyle name="Normal_Midpoint" xfId="66"/>
    <cellStyle name="Normal_MON1112" xfId="67"/>
    <cellStyle name="Normal_MstResCk" xfId="68"/>
    <cellStyle name="Normal_MstResCk_1" xfId="69"/>
    <cellStyle name="Normal_NYMEX" xfId="70"/>
    <cellStyle name="Normal_Population weights" xfId="71"/>
    <cellStyle name="Normal_power cost deferral-june 7" xfId="72"/>
    <cellStyle name="Normal_PRICES" xfId="73"/>
    <cellStyle name="Normal_PwrAEOut" xfId="74"/>
    <cellStyle name="Normal_PwrAEOut_1" xfId="75"/>
    <cellStyle name="Normal_PwrAEOut_HrlyPC" xfId="76"/>
    <cellStyle name="Normal_PwrAEOut_Mon0601" xfId="77"/>
    <cellStyle name="Normal_PwrAEOut_Mon0713" xfId="78"/>
    <cellStyle name="Normal_PwrAEOut_WHL0807" xfId="79"/>
    <cellStyle name="Normal_PwrCsOut" xfId="80"/>
    <cellStyle name="Normal_PwrCsOut_1" xfId="81"/>
    <cellStyle name="Normal_PwrCsOut_HrlyPC" xfId="82"/>
    <cellStyle name="Normal_PwrCsOut_Mon0601" xfId="83"/>
    <cellStyle name="Normal_PwrCsOut_Mon0713" xfId="84"/>
    <cellStyle name="Normal_PwrCsOut_WHL0807" xfId="85"/>
    <cellStyle name="Normal_PwrEnOut" xfId="86"/>
    <cellStyle name="Normal_PwrEnOut_1" xfId="87"/>
    <cellStyle name="Normal_PwrEnOut_HrlyPC" xfId="88"/>
    <cellStyle name="Normal_PwrEnOut_Mon0601" xfId="89"/>
    <cellStyle name="Normal_PwrEnOut_Mon0713" xfId="90"/>
    <cellStyle name="Normal_PwrEnOut_WHL0807" xfId="91"/>
    <cellStyle name="Normal_Ratechng" xfId="92"/>
    <cellStyle name="Normal_RawResRp" xfId="93"/>
    <cellStyle name="Normal_RawResRp_1" xfId="94"/>
    <cellStyle name="Normal_ResCase" xfId="95"/>
    <cellStyle name="Normal_ResCase_HrlyPC" xfId="96"/>
    <cellStyle name="Normal_ResCase_Mon0601" xfId="97"/>
    <cellStyle name="Normal_ResCase_Mon0713" xfId="98"/>
    <cellStyle name="Normal_ResCase_WHL0807" xfId="99"/>
    <cellStyle name="Normal_ResReprt" xfId="100"/>
    <cellStyle name="Normal_ResReprt_1" xfId="101"/>
    <cellStyle name="Normal_ROO with PCA" xfId="102"/>
    <cellStyle name="Normal_Sheet1" xfId="103"/>
    <cellStyle name="Normal_Sheet1_1" xfId="104"/>
    <cellStyle name="Normal_Sheet1_HourlyPrices" xfId="105"/>
    <cellStyle name="Normal_Sheet1_Monet701x" xfId="106"/>
    <cellStyle name="Normal_Sheet2" xfId="107"/>
    <cellStyle name="Normal_Sheet2_HourlyPrices" xfId="108"/>
    <cellStyle name="Normal_Sheet2_Monet701x" xfId="109"/>
    <cellStyle name="Normal_Sheet3" xfId="110"/>
    <cellStyle name="Normal_Sheet4" xfId="111"/>
    <cellStyle name="Normal_Sheet5" xfId="112"/>
    <cellStyle name="Normal_Sheet6" xfId="113"/>
    <cellStyle name="Normal_SUMMARY" xfId="114"/>
    <cellStyle name="Normal_TranCns" xfId="115"/>
    <cellStyle name="Normal_TranCns_1" xfId="116"/>
    <cellStyle name="Normal_TURKEYS 1" xfId="117"/>
    <cellStyle name="Normal_TURKEYS 2" xfId="118"/>
    <cellStyle name="Normal_TURKEYS 3" xfId="119"/>
    <cellStyle name="Normal_ValReport" xfId="120"/>
    <cellStyle name="Normal_ValReport_HrlyPC" xfId="121"/>
    <cellStyle name="Normal_ValReport_Mon0601" xfId="122"/>
    <cellStyle name="Normal_ValReport_Mon0713" xfId="123"/>
    <cellStyle name="Normal_ValReport_WHL0807" xfId="124"/>
    <cellStyle name="Normal_VBA_CentreDialog" xfId="125"/>
    <cellStyle name="Normal_WSCC Input - Fuel Costs" xfId="126"/>
    <cellStyle name="Normal_WSCC Input - Fuel Costs 2" xfId="127"/>
    <cellStyle name="Normal_WSCC Input - Hydro Cond. 1" xfId="128"/>
    <cellStyle name="Normal_WSCC Input - Loads" xfId="129"/>
    <cellStyle name="Normal_WSCC Input - Resources" xfId="130"/>
    <cellStyle name="Normal_WSCC Input - System Info" xfId="131"/>
    <cellStyle name="Normal_WSCC Input - Transmission" xfId="132"/>
    <cellStyle name="Percent_disag303" xfId="1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Retail Power Cost &amp; Deferral
June 19 forecast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3712812751265"/>
          <c:y val="0.130143794314492"/>
          <c:w val="0.825143073357613"/>
          <c:h val="0.814260155059307"/>
        </c:manualLayout>
      </c:layout>
      <c:lineChart>
        <c:grouping val="standard"/>
        <c:varyColors val="0"/>
        <c:ser>
          <c:idx val="0"/>
          <c:order val="0"/>
          <c:tx>
            <c:strRef>
              <c:f>'June 19 deferral'!$B$45</c:f>
              <c:strCache>
                <c:ptCount val="1"/>
                <c:pt idx="0">
                  <c:v> Upper Limit of 50/50 Sharing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19 deferral'!$C$45:$K$45</c:f>
              <c:numCache>
                <c:formatCode>_(* #,##0_);_(* \(#,##0\);_(* \-??_);_(@_)</c:formatCode>
                <c:ptCount val="9"/>
                <c:pt idx="0">
                  <c:v>63108.6536269024</c:v>
                </c:pt>
                <c:pt idx="1">
                  <c:v>79266.7972538048</c:v>
                </c:pt>
                <c:pt idx="2">
                  <c:v>76645.8548807071</c:v>
                </c:pt>
                <c:pt idx="3">
                  <c:v>115836.73850761</c:v>
                </c:pt>
                <c:pt idx="4">
                  <c:v>144183.682134512</c:v>
                </c:pt>
                <c:pt idx="5">
                  <c:v>139945.414761414</c:v>
                </c:pt>
                <c:pt idx="6">
                  <c:v>175001.068388317</c:v>
                </c:pt>
                <c:pt idx="7">
                  <c:v>191459.462015219</c:v>
                </c:pt>
                <c:pt idx="8">
                  <c:v>232353.745642121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19 deferral'!$B$46</c:f>
              <c:strCache>
                <c:ptCount val="1"/>
                <c:pt idx="0">
                  <c:v> Upper Band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19 deferral'!$C$46:$K$46</c:f>
              <c:numCache>
                <c:formatCode>_(* #,##0_);_(* \(#,##0\);_(* \-??_);_(@_)</c:formatCode>
                <c:ptCount val="9"/>
                <c:pt idx="0">
                  <c:v>60758.6536269024</c:v>
                </c:pt>
                <c:pt idx="1">
                  <c:v>74566.7972538048</c:v>
                </c:pt>
                <c:pt idx="2">
                  <c:v>69595.8548807071</c:v>
                </c:pt>
                <c:pt idx="3">
                  <c:v>106436.73850761</c:v>
                </c:pt>
                <c:pt idx="4">
                  <c:v>132433.682134512</c:v>
                </c:pt>
                <c:pt idx="5">
                  <c:v>125845.414761414</c:v>
                </c:pt>
                <c:pt idx="6">
                  <c:v>158551.068388317</c:v>
                </c:pt>
                <c:pt idx="7">
                  <c:v>172659.462015219</c:v>
                </c:pt>
                <c:pt idx="8">
                  <c:v>211203.745642121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19 deferral'!$B$47</c:f>
              <c:strCache>
                <c:ptCount val="1"/>
                <c:pt idx="0">
                  <c:v> Lower Band 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19 deferral'!$C$47:$K$47</c:f>
              <c:numCache>
                <c:formatCode>_(* #,##0_);_(* \(#,##0\);_(* \-??_);_(@_)</c:formatCode>
                <c:ptCount val="9"/>
                <c:pt idx="0">
                  <c:v>52925.320293569</c:v>
                </c:pt>
                <c:pt idx="1">
                  <c:v>58900.1305871381</c:v>
                </c:pt>
                <c:pt idx="2">
                  <c:v>46095.8548807071</c:v>
                </c:pt>
                <c:pt idx="3">
                  <c:v>75103.4051742762</c:v>
                </c:pt>
                <c:pt idx="4">
                  <c:v>93267.0154678452</c:v>
                </c:pt>
                <c:pt idx="5">
                  <c:v>78845.4147614142</c:v>
                </c:pt>
                <c:pt idx="6">
                  <c:v>103717.735054983</c:v>
                </c:pt>
                <c:pt idx="7">
                  <c:v>109992.795348552</c:v>
                </c:pt>
                <c:pt idx="8">
                  <c:v>140703.745642121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19 deferral'!$B$48</c:f>
              <c:strCache>
                <c:ptCount val="1"/>
                <c:pt idx="0">
                  <c:v> Lower Limit of 50/50 Sharing 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19 deferral'!$C$48:$K$48</c:f>
              <c:numCache>
                <c:formatCode>_(* #,##0_);_(* \(#,##0\);_(* \-??_);_(@_)</c:formatCode>
                <c:ptCount val="9"/>
                <c:pt idx="0">
                  <c:v>50575.320293569</c:v>
                </c:pt>
                <c:pt idx="1">
                  <c:v>54200.1305871381</c:v>
                </c:pt>
                <c:pt idx="2">
                  <c:v>39045.8548807071</c:v>
                </c:pt>
                <c:pt idx="3">
                  <c:v>65703.4051742762</c:v>
                </c:pt>
                <c:pt idx="4">
                  <c:v>81517.0154678452</c:v>
                </c:pt>
                <c:pt idx="5">
                  <c:v>64745.4147614142</c:v>
                </c:pt>
                <c:pt idx="6">
                  <c:v>87267.7350549833</c:v>
                </c:pt>
                <c:pt idx="7">
                  <c:v>91192.7953485523</c:v>
                </c:pt>
                <c:pt idx="8">
                  <c:v>119553.745642121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19 deferral'!$B$49</c:f>
              <c:strCache>
                <c:ptCount val="1"/>
                <c:pt idx="0">
                  <c:v> Cum Forecasted Retail Power Cost 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19 deferral'!$C$49:$K$49</c:f>
              <c:numCache>
                <c:formatCode>_(* #,##0_);_(* \(#,##0\);_(* \-??_);_(@_)</c:formatCode>
                <c:ptCount val="9"/>
                <c:pt idx="0">
                  <c:v>68494.5168244445</c:v>
                </c:pt>
                <c:pt idx="1">
                  <c:v>75787.5168244445</c:v>
                </c:pt>
                <c:pt idx="2">
                  <c:v>76059.5168244445</c:v>
                </c:pt>
                <c:pt idx="3">
                  <c:v>67756.5168244445</c:v>
                </c:pt>
                <c:pt idx="4">
                  <c:v>93030.5938244445</c:v>
                </c:pt>
                <c:pt idx="5">
                  <c:v>108083.238268889</c:v>
                </c:pt>
                <c:pt idx="6">
                  <c:v>179414.844271927</c:v>
                </c:pt>
                <c:pt idx="7">
                  <c:v>247499.846212465</c:v>
                </c:pt>
                <c:pt idx="8">
                  <c:v>315261.167221363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19 deferral'!$B$50</c:f>
              <c:strCache>
                <c:ptCount val="1"/>
                <c:pt idx="0">
                  <c:v> Total Deferral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19 deferral'!$C$50:$K$50</c:f>
              <c:numCache>
                <c:formatCode>_(* #,##0_);_(* \(#,##0\);_(* \-??_);_(@_)</c:formatCode>
                <c:ptCount val="9"/>
                <c:pt idx="0">
                  <c:v>6022.27687778787</c:v>
                </c:pt>
                <c:pt idx="1">
                  <c:v>610.359785319852</c:v>
                </c:pt>
                <c:pt idx="2">
                  <c:v>3231.83097186867</c:v>
                </c:pt>
                <c:pt idx="3">
                  <c:v>3673.44417491585</c:v>
                </c:pt>
                <c:pt idx="4">
                  <c:v>118.21082170037</c:v>
                </c:pt>
                <c:pt idx="5">
                  <c:v>0</c:v>
                </c:pt>
                <c:pt idx="6">
                  <c:v>12197.3982952494</c:v>
                </c:pt>
                <c:pt idx="7">
                  <c:v>59836.3457775216</c:v>
                </c:pt>
                <c:pt idx="8">
                  <c:v>85191.6794213173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041359"/>
        <c:axId val="46646690"/>
      </c:lineChart>
      <c:catAx>
        <c:axId val="430413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46690"/>
        <c:crossesAt val="0"/>
        <c:auto val="1"/>
        <c:lblAlgn val="ctr"/>
        <c:lblOffset val="100"/>
        <c:noMultiLvlLbl val="0"/>
      </c:catAx>
      <c:valAx>
        <c:axId val="466466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Net Retail Power Cost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413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19800</xdr:colOff>
      <xdr:row>6</xdr:row>
      <xdr:rowOff>104760</xdr:rowOff>
    </xdr:from>
    <xdr:to>
      <xdr:col>8</xdr:col>
      <xdr:colOff>213480</xdr:colOff>
      <xdr:row>9</xdr:row>
      <xdr:rowOff>84240</xdr:rowOff>
    </xdr:to>
    <xdr:sp>
      <xdr:nvSpPr>
        <xdr:cNvPr id="1" name="Text 1"/>
        <xdr:cNvSpPr/>
      </xdr:nvSpPr>
      <xdr:spPr>
        <a:xfrm>
          <a:off x="5709240" y="1080000"/>
          <a:ext cx="1006560" cy="467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Cumulative Retail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Net Power Cost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18</xdr:row>
      <xdr:rowOff>13320</xdr:rowOff>
    </xdr:from>
    <xdr:to>
      <xdr:col>8</xdr:col>
      <xdr:colOff>750240</xdr:colOff>
      <xdr:row>20</xdr:row>
      <xdr:rowOff>13320</xdr:rowOff>
    </xdr:to>
    <xdr:sp>
      <xdr:nvSpPr>
        <xdr:cNvPr id="2" name="Text 4"/>
        <xdr:cNvSpPr/>
      </xdr:nvSpPr>
      <xdr:spPr>
        <a:xfrm>
          <a:off x="6582600" y="2939400"/>
          <a:ext cx="66996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Dead Band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12</xdr:row>
      <xdr:rowOff>131760</xdr:rowOff>
    </xdr:from>
    <xdr:to>
      <xdr:col>9</xdr:col>
      <xdr:colOff>38160</xdr:colOff>
      <xdr:row>13</xdr:row>
      <xdr:rowOff>152280</xdr:rowOff>
    </xdr:to>
    <xdr:sp>
      <xdr:nvSpPr>
        <xdr:cNvPr id="3" name="Text 6"/>
        <xdr:cNvSpPr/>
      </xdr:nvSpPr>
      <xdr:spPr>
        <a:xfrm>
          <a:off x="6582600" y="2082600"/>
          <a:ext cx="7707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90/10 Zone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14</xdr:row>
      <xdr:rowOff>79560</xdr:rowOff>
    </xdr:from>
    <xdr:to>
      <xdr:col>9</xdr:col>
      <xdr:colOff>38160</xdr:colOff>
      <xdr:row>15</xdr:row>
      <xdr:rowOff>100080</xdr:rowOff>
    </xdr:to>
    <xdr:sp>
      <xdr:nvSpPr>
        <xdr:cNvPr id="4" name="Text 7"/>
        <xdr:cNvSpPr/>
      </xdr:nvSpPr>
      <xdr:spPr>
        <a:xfrm>
          <a:off x="6582600" y="2355480"/>
          <a:ext cx="7707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50/50 Zone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21</xdr:row>
      <xdr:rowOff>22680</xdr:rowOff>
    </xdr:from>
    <xdr:to>
      <xdr:col>9</xdr:col>
      <xdr:colOff>38160</xdr:colOff>
      <xdr:row>22</xdr:row>
      <xdr:rowOff>43200</xdr:rowOff>
    </xdr:to>
    <xdr:sp>
      <xdr:nvSpPr>
        <xdr:cNvPr id="5" name="Text 8"/>
        <xdr:cNvSpPr/>
      </xdr:nvSpPr>
      <xdr:spPr>
        <a:xfrm>
          <a:off x="6582600" y="3436560"/>
          <a:ext cx="7707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50/50 Zone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80280</xdr:colOff>
      <xdr:row>22</xdr:row>
      <xdr:rowOff>146880</xdr:rowOff>
    </xdr:from>
    <xdr:to>
      <xdr:col>9</xdr:col>
      <xdr:colOff>38160</xdr:colOff>
      <xdr:row>24</xdr:row>
      <xdr:rowOff>4680</xdr:rowOff>
    </xdr:to>
    <xdr:sp>
      <xdr:nvSpPr>
        <xdr:cNvPr id="6" name="Text 9"/>
        <xdr:cNvSpPr/>
      </xdr:nvSpPr>
      <xdr:spPr>
        <a:xfrm>
          <a:off x="6582600" y="3723120"/>
          <a:ext cx="7707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90/10 Zone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777240</xdr:colOff>
      <xdr:row>25</xdr:row>
      <xdr:rowOff>77400</xdr:rowOff>
    </xdr:from>
    <xdr:to>
      <xdr:col>8</xdr:col>
      <xdr:colOff>683640</xdr:colOff>
      <xdr:row>27</xdr:row>
      <xdr:rowOff>77400</xdr:rowOff>
    </xdr:to>
    <xdr:sp>
      <xdr:nvSpPr>
        <xdr:cNvPr id="7" name="Text 10"/>
        <xdr:cNvSpPr/>
      </xdr:nvSpPr>
      <xdr:spPr>
        <a:xfrm>
          <a:off x="6466680" y="4141440"/>
          <a:ext cx="71928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Power Cost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Deferral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ONET/PCOST/J2798C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T90619M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T90607M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T90503%2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[Power_MWa_Output_Table9 ]_PrintMWaSummaryPrint"/>
      <definedName name="[Power_Cost_Output_Table9]_PrintPowerCostsSummaryPrint"/>
    </defined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FORECAST $1000"/>
      <sheetName val=" FORECAST MWH"/>
      <sheetName val="FORECAST MWA"/>
      <sheetName val="FORECAST MILL PER KWH"/>
      <sheetName val="PwrCsOut"/>
      <sheetName val="PwrEnOut"/>
      <sheetName val="PwrAEOut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H20">
            <v>2900.84225</v>
          </cell>
          <cell r="I20">
            <v>2900.84225</v>
          </cell>
          <cell r="J20">
            <v>2807.26625</v>
          </cell>
          <cell r="K20">
            <v>2900.84225</v>
          </cell>
          <cell r="L20">
            <v>2807.26625</v>
          </cell>
          <cell r="M20">
            <v>2900.84225</v>
          </cell>
        </row>
        <row r="23">
          <cell r="H23">
            <v>455.26490625</v>
          </cell>
          <cell r="I23">
            <v>455.26490625</v>
          </cell>
          <cell r="J23">
            <v>440.57915625</v>
          </cell>
          <cell r="K23">
            <v>455.26490625</v>
          </cell>
          <cell r="L23">
            <v>440.57915625</v>
          </cell>
          <cell r="M23">
            <v>455.26490625</v>
          </cell>
        </row>
        <row r="24">
          <cell r="H24">
            <v>455.26490625</v>
          </cell>
          <cell r="I24">
            <v>455.26490625</v>
          </cell>
          <cell r="J24">
            <v>440.57915625</v>
          </cell>
          <cell r="K24">
            <v>455.26490625</v>
          </cell>
          <cell r="L24">
            <v>440.57915625</v>
          </cell>
          <cell r="M24">
            <v>455.26490625</v>
          </cell>
        </row>
        <row r="27">
          <cell r="H27">
            <v>10313.774</v>
          </cell>
          <cell r="I27">
            <v>10583.676</v>
          </cell>
          <cell r="J27">
            <v>10424.382</v>
          </cell>
          <cell r="K27">
            <v>11919.625</v>
          </cell>
          <cell r="L27">
            <v>15552.262</v>
          </cell>
          <cell r="M27">
            <v>17382.58</v>
          </cell>
        </row>
        <row r="28">
          <cell r="H28">
            <v>0</v>
          </cell>
          <cell r="I28">
            <v>655.2326875</v>
          </cell>
          <cell r="J28">
            <v>338.50553125</v>
          </cell>
          <cell r="K28">
            <v>775.21625</v>
          </cell>
          <cell r="L28">
            <v>917.1998125</v>
          </cell>
          <cell r="M28">
            <v>1072.098875</v>
          </cell>
        </row>
        <row r="29">
          <cell r="H29">
            <v>3877.16925</v>
          </cell>
          <cell r="I29">
            <v>3989.188</v>
          </cell>
          <cell r="J29">
            <v>3950.0975</v>
          </cell>
          <cell r="K29">
            <v>4174.2145</v>
          </cell>
          <cell r="L29">
            <v>4594.3465</v>
          </cell>
          <cell r="M29">
            <v>5075.0785</v>
          </cell>
        </row>
        <row r="39">
          <cell r="H39">
            <v>2187.845</v>
          </cell>
          <cell r="I39">
            <v>2097.788</v>
          </cell>
          <cell r="J39">
            <v>2116.869</v>
          </cell>
          <cell r="K39">
            <v>2128.85</v>
          </cell>
          <cell r="L39">
            <v>2177.461</v>
          </cell>
          <cell r="M39">
            <v>3702.356</v>
          </cell>
        </row>
        <row r="46">
          <cell r="H46">
            <v>1580.267</v>
          </cell>
          <cell r="I46">
            <v>1580.267</v>
          </cell>
          <cell r="J46">
            <v>1580.263</v>
          </cell>
          <cell r="K46">
            <v>1580.267</v>
          </cell>
          <cell r="L46">
            <v>1580.263</v>
          </cell>
          <cell r="M46">
            <v>1580.267</v>
          </cell>
        </row>
        <row r="50">
          <cell r="H50">
            <v>16.666638671875</v>
          </cell>
          <cell r="I50">
            <v>16.666638671875</v>
          </cell>
          <cell r="J50">
            <v>16.6667421875</v>
          </cell>
          <cell r="K50">
            <v>16.666638671875</v>
          </cell>
          <cell r="L50">
            <v>16.6667421875</v>
          </cell>
          <cell r="M50">
            <v>16.666638671875</v>
          </cell>
        </row>
        <row r="51">
          <cell r="H51">
            <v>9.16663671875</v>
          </cell>
          <cell r="I51">
            <v>9.16663671875</v>
          </cell>
          <cell r="J51">
            <v>9.16664453125</v>
          </cell>
          <cell r="K51">
            <v>9.16663671875</v>
          </cell>
          <cell r="L51">
            <v>9.16664453125</v>
          </cell>
          <cell r="M51">
            <v>9.16663671875</v>
          </cell>
        </row>
        <row r="58">
          <cell r="H58">
            <v>766.1218125</v>
          </cell>
          <cell r="I58">
            <v>766.1218125</v>
          </cell>
          <cell r="J58">
            <v>766.124</v>
          </cell>
          <cell r="K58">
            <v>766.1218125</v>
          </cell>
          <cell r="L58">
            <v>766.124</v>
          </cell>
          <cell r="M58">
            <v>766.1218125</v>
          </cell>
        </row>
        <row r="59">
          <cell r="H59">
            <v>514.89421875</v>
          </cell>
          <cell r="I59">
            <v>514.89421875</v>
          </cell>
          <cell r="J59">
            <v>514.890375</v>
          </cell>
          <cell r="K59">
            <v>514.89421875</v>
          </cell>
          <cell r="L59">
            <v>514.890375</v>
          </cell>
          <cell r="M59">
            <v>514.89421875</v>
          </cell>
        </row>
        <row r="60">
          <cell r="H60">
            <v>-55.60302734375</v>
          </cell>
          <cell r="I60">
            <v>-269.85021875</v>
          </cell>
          <cell r="J60">
            <v>-365.9015</v>
          </cell>
          <cell r="K60">
            <v>-1379.03225</v>
          </cell>
          <cell r="L60">
            <v>110.25</v>
          </cell>
          <cell r="M60">
            <v>-155.465046875</v>
          </cell>
        </row>
        <row r="61">
          <cell r="H61">
            <v>-1158.500375</v>
          </cell>
          <cell r="I61">
            <v>-1258.390375</v>
          </cell>
          <cell r="J61">
            <v>-1272.392125</v>
          </cell>
          <cell r="K61">
            <v>-1370.048875</v>
          </cell>
          <cell r="L61">
            <v>-34.66019140625</v>
          </cell>
          <cell r="M61">
            <v>-180.523828125</v>
          </cell>
        </row>
        <row r="62">
          <cell r="H62">
            <v>-3553.75725</v>
          </cell>
          <cell r="I62">
            <v>-3665.12975</v>
          </cell>
          <cell r="J62">
            <v>-3591.6805</v>
          </cell>
          <cell r="K62">
            <v>-4073.77275</v>
          </cell>
          <cell r="L62">
            <v>-2203.2995</v>
          </cell>
          <cell r="M62">
            <v>-3026.3575</v>
          </cell>
        </row>
        <row r="219">
          <cell r="H219">
            <v>224699.3</v>
          </cell>
          <cell r="I219">
            <v>198569.6</v>
          </cell>
          <cell r="J219">
            <v>192983.1</v>
          </cell>
          <cell r="K219">
            <v>113386.4</v>
          </cell>
          <cell r="L219">
            <v>111198.6</v>
          </cell>
          <cell r="M219">
            <v>127914.5</v>
          </cell>
        </row>
        <row r="347">
          <cell r="H347">
            <v>-183369.2</v>
          </cell>
          <cell r="I347">
            <v>-153640.7</v>
          </cell>
          <cell r="J347">
            <v>-159912.4</v>
          </cell>
          <cell r="K347">
            <v>-81432.12</v>
          </cell>
          <cell r="L347">
            <v>-67660.77</v>
          </cell>
          <cell r="M347">
            <v>-69382.59</v>
          </cell>
        </row>
        <row r="349">
          <cell r="H349">
            <v>248.4588125</v>
          </cell>
          <cell r="I349">
            <v>248.4588125</v>
          </cell>
          <cell r="J349">
            <v>248.456828125</v>
          </cell>
          <cell r="K349">
            <v>248.4588125</v>
          </cell>
          <cell r="L349">
            <v>248.456828125</v>
          </cell>
          <cell r="M349">
            <v>248.4588125</v>
          </cell>
        </row>
        <row r="350">
          <cell r="H350">
            <v>79.99978125</v>
          </cell>
          <cell r="I350">
            <v>79.99978125</v>
          </cell>
          <cell r="J350">
            <v>79.9993203125</v>
          </cell>
          <cell r="K350">
            <v>79.99978125</v>
          </cell>
          <cell r="L350">
            <v>79.9993203125</v>
          </cell>
          <cell r="M350">
            <v>79.99978125</v>
          </cell>
        </row>
        <row r="351">
          <cell r="H351">
            <v>88.2455078125</v>
          </cell>
          <cell r="I351">
            <v>88.2455078125</v>
          </cell>
          <cell r="J351">
            <v>88.245421875</v>
          </cell>
          <cell r="K351">
            <v>88.2455078125</v>
          </cell>
          <cell r="L351">
            <v>88.245421875</v>
          </cell>
          <cell r="M351">
            <v>88.2455078125</v>
          </cell>
        </row>
        <row r="352">
          <cell r="H352">
            <v>20.533228515625</v>
          </cell>
          <cell r="I352">
            <v>20.533228515625</v>
          </cell>
          <cell r="J352">
            <v>20.53321484375</v>
          </cell>
          <cell r="K352">
            <v>20.533228515625</v>
          </cell>
          <cell r="L352">
            <v>20.53321484375</v>
          </cell>
          <cell r="M352">
            <v>20.533228515625</v>
          </cell>
        </row>
        <row r="355">
          <cell r="H355">
            <v>25.3770234375</v>
          </cell>
          <cell r="I355">
            <v>25.3770234375</v>
          </cell>
          <cell r="J355">
            <v>25.3771015625</v>
          </cell>
          <cell r="K355">
            <v>25.3770234375</v>
          </cell>
          <cell r="L355">
            <v>25.3771015625</v>
          </cell>
          <cell r="M355">
            <v>25.3770234375</v>
          </cell>
        </row>
        <row r="356">
          <cell r="H356">
            <v>29.238001953125</v>
          </cell>
          <cell r="I356">
            <v>29.238001953125</v>
          </cell>
          <cell r="J356">
            <v>29.237662109375</v>
          </cell>
          <cell r="K356">
            <v>29.238001953125</v>
          </cell>
          <cell r="L356">
            <v>29.237662109375</v>
          </cell>
          <cell r="M356">
            <v>29.238001953125</v>
          </cell>
        </row>
        <row r="357">
          <cell r="H357">
            <v>207.668140625</v>
          </cell>
          <cell r="I357">
            <v>207.668140625</v>
          </cell>
          <cell r="J357">
            <v>207.666421875</v>
          </cell>
          <cell r="K357">
            <v>207.668140625</v>
          </cell>
          <cell r="L357">
            <v>207.666421875</v>
          </cell>
          <cell r="M357">
            <v>207.668140625</v>
          </cell>
        </row>
        <row r="362">
          <cell r="H362">
            <v>3197.84925</v>
          </cell>
          <cell r="I362">
            <v>3197.84925</v>
          </cell>
          <cell r="J362">
            <v>3195.7645</v>
          </cell>
          <cell r="K362">
            <v>4830.832</v>
          </cell>
          <cell r="L362">
            <v>4828.8065</v>
          </cell>
          <cell r="M362">
            <v>4614.871</v>
          </cell>
        </row>
        <row r="365">
          <cell r="H365">
            <v>5930.3545</v>
          </cell>
          <cell r="I365">
            <v>4511.498</v>
          </cell>
          <cell r="J365">
            <v>1928.9015</v>
          </cell>
          <cell r="K365">
            <v>106.1806875</v>
          </cell>
          <cell r="L365">
            <v>414.18153125</v>
          </cell>
          <cell r="M365">
            <v>1702.583375</v>
          </cell>
        </row>
        <row r="366">
          <cell r="H366">
            <v>-14313.49</v>
          </cell>
          <cell r="I366">
            <v>-22411.054</v>
          </cell>
          <cell r="J366">
            <v>-13326.747</v>
          </cell>
          <cell r="K366">
            <v>-17316.776</v>
          </cell>
          <cell r="L366">
            <v>-15754.143</v>
          </cell>
          <cell r="M366">
            <v>-15759.77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FORECAST $1000"/>
      <sheetName val=" FORECAST MWH"/>
      <sheetName val="FORECAST MWA"/>
      <sheetName val="FORECAST MILL PER KWH"/>
      <sheetName val="PwrCsOut"/>
      <sheetName val="PwrEnOut"/>
      <sheetName val="PwrAEOut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H20">
            <v>2900.84225</v>
          </cell>
          <cell r="I20">
            <v>2900.84225</v>
          </cell>
          <cell r="J20">
            <v>2807.26625</v>
          </cell>
          <cell r="K20">
            <v>2900.84225</v>
          </cell>
          <cell r="L20">
            <v>2807.26625</v>
          </cell>
          <cell r="M20">
            <v>2900.84225</v>
          </cell>
        </row>
        <row r="23">
          <cell r="H23">
            <v>455.26490625</v>
          </cell>
          <cell r="I23">
            <v>455.26490625</v>
          </cell>
          <cell r="J23">
            <v>440.57915625</v>
          </cell>
          <cell r="K23">
            <v>455.26490625</v>
          </cell>
          <cell r="L23">
            <v>440.57915625</v>
          </cell>
          <cell r="M23">
            <v>455.26490625</v>
          </cell>
        </row>
        <row r="24">
          <cell r="H24">
            <v>455.26490625</v>
          </cell>
          <cell r="I24">
            <v>455.26490625</v>
          </cell>
          <cell r="J24">
            <v>440.57915625</v>
          </cell>
          <cell r="K24">
            <v>455.26490625</v>
          </cell>
          <cell r="L24">
            <v>440.57915625</v>
          </cell>
          <cell r="M24">
            <v>455.26490625</v>
          </cell>
        </row>
        <row r="27">
          <cell r="H27">
            <v>10603.266</v>
          </cell>
          <cell r="I27">
            <v>10911.789</v>
          </cell>
          <cell r="J27">
            <v>10713.105</v>
          </cell>
          <cell r="K27">
            <v>12901.751</v>
          </cell>
          <cell r="L27">
            <v>18385.11</v>
          </cell>
          <cell r="M27">
            <v>20335.194</v>
          </cell>
        </row>
        <row r="28">
          <cell r="H28">
            <v>0</v>
          </cell>
          <cell r="I28">
            <v>675.552875</v>
          </cell>
          <cell r="J28">
            <v>347.8804375</v>
          </cell>
          <cell r="K28">
            <v>839.0934375</v>
          </cell>
          <cell r="L28">
            <v>1077.976</v>
          </cell>
          <cell r="M28">
            <v>1254.220125</v>
          </cell>
        </row>
        <row r="29">
          <cell r="H29">
            <v>3990.434</v>
          </cell>
          <cell r="I29">
            <v>4098.74125</v>
          </cell>
          <cell r="J29">
            <v>4045.46475</v>
          </cell>
          <cell r="K29">
            <v>4259.26</v>
          </cell>
          <cell r="L29">
            <v>4607.9485</v>
          </cell>
          <cell r="M29">
            <v>5051.2355</v>
          </cell>
        </row>
        <row r="39">
          <cell r="H39">
            <v>2187.845</v>
          </cell>
          <cell r="I39">
            <v>2097.788</v>
          </cell>
          <cell r="J39">
            <v>2116.869</v>
          </cell>
          <cell r="K39">
            <v>2128.85</v>
          </cell>
          <cell r="L39">
            <v>2177.461</v>
          </cell>
          <cell r="M39">
            <v>3702.356</v>
          </cell>
        </row>
        <row r="46">
          <cell r="H46">
            <v>1580.267</v>
          </cell>
          <cell r="I46">
            <v>1580.267</v>
          </cell>
          <cell r="J46">
            <v>1580.263</v>
          </cell>
          <cell r="K46">
            <v>1580.267</v>
          </cell>
          <cell r="L46">
            <v>1580.263</v>
          </cell>
          <cell r="M46">
            <v>1580.267</v>
          </cell>
        </row>
        <row r="50">
          <cell r="G50">
            <v>16.6667421875</v>
          </cell>
          <cell r="H50">
            <v>16.666638671875</v>
          </cell>
          <cell r="I50">
            <v>16.666638671875</v>
          </cell>
          <cell r="J50">
            <v>16.6667421875</v>
          </cell>
          <cell r="K50">
            <v>16.666638671875</v>
          </cell>
          <cell r="L50">
            <v>16.6667421875</v>
          </cell>
          <cell r="M50">
            <v>16.666638671875</v>
          </cell>
        </row>
        <row r="51">
          <cell r="G51">
            <v>9.16664453125</v>
          </cell>
          <cell r="H51">
            <v>9.16663671875</v>
          </cell>
          <cell r="I51">
            <v>9.16663671875</v>
          </cell>
          <cell r="J51">
            <v>9.16664453125</v>
          </cell>
          <cell r="K51">
            <v>9.16663671875</v>
          </cell>
          <cell r="L51">
            <v>9.16664453125</v>
          </cell>
          <cell r="M51">
            <v>9.16663671875</v>
          </cell>
        </row>
        <row r="58">
          <cell r="G58">
            <v>766.124</v>
          </cell>
          <cell r="H58">
            <v>766.1218125</v>
          </cell>
          <cell r="I58">
            <v>766.1218125</v>
          </cell>
          <cell r="J58">
            <v>766.124</v>
          </cell>
          <cell r="K58">
            <v>766.1218125</v>
          </cell>
          <cell r="L58">
            <v>766.124</v>
          </cell>
          <cell r="M58">
            <v>766.1218125</v>
          </cell>
        </row>
        <row r="59">
          <cell r="G59">
            <v>514.890375</v>
          </cell>
          <cell r="H59">
            <v>514.89421875</v>
          </cell>
          <cell r="I59">
            <v>514.89421875</v>
          </cell>
          <cell r="J59">
            <v>514.890375</v>
          </cell>
          <cell r="K59">
            <v>514.89421875</v>
          </cell>
          <cell r="L59">
            <v>514.890375</v>
          </cell>
          <cell r="M59">
            <v>514.89421875</v>
          </cell>
        </row>
        <row r="60">
          <cell r="H60">
            <v>-285.40884375</v>
          </cell>
          <cell r="I60">
            <v>-530.3310625</v>
          </cell>
          <cell r="J60">
            <v>-593.9710625</v>
          </cell>
          <cell r="K60">
            <v>-2125.516</v>
          </cell>
          <cell r="L60">
            <v>-1795.95</v>
          </cell>
          <cell r="M60">
            <v>-2055.765</v>
          </cell>
        </row>
        <row r="61">
          <cell r="H61">
            <v>-1281.197125</v>
          </cell>
          <cell r="I61">
            <v>-1376.5015</v>
          </cell>
          <cell r="J61">
            <v>-1374.201875</v>
          </cell>
          <cell r="K61">
            <v>-1459.94725</v>
          </cell>
          <cell r="L61">
            <v>-43.19074609375</v>
          </cell>
          <cell r="M61">
            <v>-165.830921875</v>
          </cell>
        </row>
        <row r="62">
          <cell r="H62">
            <v>-3492.525</v>
          </cell>
          <cell r="I62">
            <v>-3611.616</v>
          </cell>
          <cell r="J62">
            <v>-3738.6475</v>
          </cell>
          <cell r="K62">
            <v>-4458.19</v>
          </cell>
          <cell r="L62">
            <v>-2910.07525</v>
          </cell>
          <cell r="M62">
            <v>-3309.442</v>
          </cell>
        </row>
        <row r="267">
          <cell r="H267">
            <v>221362.3</v>
          </cell>
          <cell r="I267">
            <v>202038</v>
          </cell>
          <cell r="J267">
            <v>188018.8</v>
          </cell>
          <cell r="K267">
            <v>117976.7</v>
          </cell>
          <cell r="L267">
            <v>114470</v>
          </cell>
          <cell r="M267">
            <v>128300.4</v>
          </cell>
        </row>
        <row r="428">
          <cell r="H428">
            <v>-172007.3</v>
          </cell>
          <cell r="I428">
            <v>-153833.4</v>
          </cell>
          <cell r="J428">
            <v>-156068.9</v>
          </cell>
          <cell r="K428">
            <v>-75496.63</v>
          </cell>
          <cell r="L428">
            <v>-62335.96</v>
          </cell>
          <cell r="M428">
            <v>-63855.61</v>
          </cell>
        </row>
        <row r="430">
          <cell r="H430">
            <v>248.4588125</v>
          </cell>
          <cell r="I430">
            <v>248.4588125</v>
          </cell>
          <cell r="J430">
            <v>248.456828125</v>
          </cell>
          <cell r="K430">
            <v>248.4588125</v>
          </cell>
          <cell r="L430">
            <v>248.456828125</v>
          </cell>
          <cell r="M430">
            <v>248.4588125</v>
          </cell>
        </row>
        <row r="431">
          <cell r="H431">
            <v>79.99978125</v>
          </cell>
          <cell r="I431">
            <v>79.99978125</v>
          </cell>
          <cell r="J431">
            <v>79.9993203125</v>
          </cell>
          <cell r="K431">
            <v>79.99978125</v>
          </cell>
          <cell r="L431">
            <v>79.9993203125</v>
          </cell>
          <cell r="M431">
            <v>79.99978125</v>
          </cell>
        </row>
        <row r="432">
          <cell r="H432">
            <v>88.2455078125</v>
          </cell>
          <cell r="I432">
            <v>88.2455078125</v>
          </cell>
          <cell r="J432">
            <v>88.245421875</v>
          </cell>
          <cell r="K432">
            <v>88.2455078125</v>
          </cell>
          <cell r="L432">
            <v>88.245421875</v>
          </cell>
          <cell r="M432">
            <v>88.2455078125</v>
          </cell>
        </row>
        <row r="433">
          <cell r="H433">
            <v>20.533228515625</v>
          </cell>
          <cell r="I433">
            <v>20.533228515625</v>
          </cell>
          <cell r="J433">
            <v>20.53321484375</v>
          </cell>
          <cell r="K433">
            <v>20.533228515625</v>
          </cell>
          <cell r="L433">
            <v>20.53321484375</v>
          </cell>
          <cell r="M433">
            <v>20.533228515625</v>
          </cell>
        </row>
        <row r="436">
          <cell r="H436">
            <v>25.3770234375</v>
          </cell>
          <cell r="I436">
            <v>25.3770234375</v>
          </cell>
          <cell r="J436">
            <v>25.3771015625</v>
          </cell>
          <cell r="K436">
            <v>25.3770234375</v>
          </cell>
          <cell r="L436">
            <v>25.3771015625</v>
          </cell>
          <cell r="M436">
            <v>25.3770234375</v>
          </cell>
        </row>
        <row r="437">
          <cell r="H437">
            <v>29.238001953125</v>
          </cell>
          <cell r="I437">
            <v>29.238001953125</v>
          </cell>
          <cell r="J437">
            <v>29.237662109375</v>
          </cell>
          <cell r="K437">
            <v>29.238001953125</v>
          </cell>
          <cell r="L437">
            <v>29.237662109375</v>
          </cell>
          <cell r="M437">
            <v>29.238001953125</v>
          </cell>
        </row>
        <row r="438">
          <cell r="H438">
            <v>207.668140625</v>
          </cell>
          <cell r="I438">
            <v>207.668140625</v>
          </cell>
          <cell r="J438">
            <v>207.666421875</v>
          </cell>
          <cell r="K438">
            <v>207.668140625</v>
          </cell>
          <cell r="L438">
            <v>207.666421875</v>
          </cell>
          <cell r="M438">
            <v>207.668140625</v>
          </cell>
        </row>
        <row r="443">
          <cell r="H443">
            <v>3197.84925</v>
          </cell>
          <cell r="I443">
            <v>3197.84925</v>
          </cell>
          <cell r="J443">
            <v>3195.7645</v>
          </cell>
          <cell r="K443">
            <v>4830.832</v>
          </cell>
          <cell r="L443">
            <v>4828.8065</v>
          </cell>
          <cell r="M443">
            <v>4614.871</v>
          </cell>
        </row>
        <row r="446">
          <cell r="H446">
            <v>6074.51</v>
          </cell>
          <cell r="I446">
            <v>6220.497</v>
          </cell>
          <cell r="J446">
            <v>2896.229</v>
          </cell>
          <cell r="K446">
            <v>36.8524921875</v>
          </cell>
          <cell r="L446">
            <v>313.65978125</v>
          </cell>
          <cell r="M446">
            <v>1070.262375</v>
          </cell>
        </row>
        <row r="447">
          <cell r="H447">
            <v>-28819.358</v>
          </cell>
          <cell r="I447">
            <v>-37610.64</v>
          </cell>
          <cell r="J447">
            <v>-17613.836</v>
          </cell>
          <cell r="K447">
            <v>-29681.356</v>
          </cell>
          <cell r="L447">
            <v>-26708.988</v>
          </cell>
          <cell r="M447">
            <v>-23587.48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FORECAST $1000"/>
      <sheetName val=" FORECAST MWH"/>
      <sheetName val="FORECAST MWA"/>
      <sheetName val="FORECAST MILL PER KWH"/>
      <sheetName val="PwrCsOut"/>
      <sheetName val="PwrEnOut"/>
      <sheetName val="PwrAEOut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1874.31525</v>
          </cell>
          <cell r="H20">
            <v>2900.84225</v>
          </cell>
          <cell r="I20">
            <v>2900.84225</v>
          </cell>
          <cell r="J20">
            <v>2807.26625</v>
          </cell>
          <cell r="K20">
            <v>2900.84225</v>
          </cell>
          <cell r="L20">
            <v>2807.26625</v>
          </cell>
          <cell r="M20">
            <v>2900.84225</v>
          </cell>
        </row>
        <row r="23">
          <cell r="G23">
            <v>487.912125</v>
          </cell>
          <cell r="H23">
            <v>455.26490625</v>
          </cell>
          <cell r="I23">
            <v>455.26490625</v>
          </cell>
          <cell r="J23">
            <v>440.57915625</v>
          </cell>
          <cell r="K23">
            <v>455.26490625</v>
          </cell>
          <cell r="L23">
            <v>440.57915625</v>
          </cell>
          <cell r="M23">
            <v>455.26490625</v>
          </cell>
        </row>
        <row r="24">
          <cell r="G24">
            <v>487.912125</v>
          </cell>
          <cell r="H24">
            <v>455.26490625</v>
          </cell>
          <cell r="I24">
            <v>455.26490625</v>
          </cell>
          <cell r="J24">
            <v>440.57915625</v>
          </cell>
          <cell r="K24">
            <v>455.26490625</v>
          </cell>
          <cell r="L24">
            <v>440.57915625</v>
          </cell>
          <cell r="M24">
            <v>455.26490625</v>
          </cell>
        </row>
        <row r="27">
          <cell r="G27">
            <v>13112.641</v>
          </cell>
          <cell r="H27">
            <v>13814.536</v>
          </cell>
          <cell r="I27">
            <v>14013.252</v>
          </cell>
          <cell r="J27">
            <v>13764.957</v>
          </cell>
          <cell r="K27">
            <v>14323.652</v>
          </cell>
          <cell r="L27">
            <v>24240.904</v>
          </cell>
          <cell r="M27">
            <v>26516.806</v>
          </cell>
        </row>
        <row r="28">
          <cell r="G28">
            <v>0</v>
          </cell>
          <cell r="H28">
            <v>0</v>
          </cell>
          <cell r="I28">
            <v>341.574125</v>
          </cell>
          <cell r="J28">
            <v>306.6993125</v>
          </cell>
          <cell r="K28">
            <v>346.9975625</v>
          </cell>
          <cell r="L28">
            <v>527.5174375</v>
          </cell>
          <cell r="M28">
            <v>537.733125</v>
          </cell>
        </row>
        <row r="29">
          <cell r="G29">
            <v>4460.4345</v>
          </cell>
          <cell r="H29">
            <v>4616.9315</v>
          </cell>
          <cell r="I29">
            <v>4716.371</v>
          </cell>
          <cell r="J29">
            <v>4662.919</v>
          </cell>
          <cell r="K29">
            <v>4904.78</v>
          </cell>
          <cell r="L29">
            <v>5348.9155</v>
          </cell>
          <cell r="M29">
            <v>5806.546</v>
          </cell>
        </row>
        <row r="39">
          <cell r="G39">
            <v>5898.676</v>
          </cell>
          <cell r="H39">
            <v>2187.845</v>
          </cell>
          <cell r="I39">
            <v>2097.788</v>
          </cell>
          <cell r="J39">
            <v>2116.869</v>
          </cell>
          <cell r="K39">
            <v>2128.85</v>
          </cell>
          <cell r="L39">
            <v>2177.461</v>
          </cell>
          <cell r="M39">
            <v>3702.356</v>
          </cell>
        </row>
        <row r="46">
          <cell r="G46">
            <v>1580.263</v>
          </cell>
          <cell r="H46">
            <v>1580.267</v>
          </cell>
          <cell r="I46">
            <v>1580.267</v>
          </cell>
          <cell r="J46">
            <v>1580.263</v>
          </cell>
          <cell r="K46">
            <v>1580.267</v>
          </cell>
          <cell r="L46">
            <v>1580.263</v>
          </cell>
          <cell r="M46">
            <v>1580.267</v>
          </cell>
        </row>
        <row r="50">
          <cell r="F50">
            <v>16.666638671875</v>
          </cell>
          <cell r="G50">
            <v>16.6667421875</v>
          </cell>
          <cell r="H50">
            <v>16.666638671875</v>
          </cell>
          <cell r="I50">
            <v>16.666638671875</v>
          </cell>
          <cell r="J50">
            <v>16.6667421875</v>
          </cell>
          <cell r="K50">
            <v>16.666638671875</v>
          </cell>
          <cell r="L50">
            <v>16.6667421875</v>
          </cell>
          <cell r="M50">
            <v>16.666638671875</v>
          </cell>
        </row>
        <row r="51">
          <cell r="F51">
            <v>9.16663671875</v>
          </cell>
          <cell r="G51">
            <v>9.16664453125</v>
          </cell>
          <cell r="H51">
            <v>9.16663671875</v>
          </cell>
          <cell r="I51">
            <v>9.16663671875</v>
          </cell>
          <cell r="J51">
            <v>9.16664453125</v>
          </cell>
          <cell r="K51">
            <v>9.16663671875</v>
          </cell>
          <cell r="L51">
            <v>9.16664453125</v>
          </cell>
          <cell r="M51">
            <v>9.16663671875</v>
          </cell>
        </row>
        <row r="58">
          <cell r="F58">
            <v>766.1218125</v>
          </cell>
          <cell r="G58">
            <v>766.124</v>
          </cell>
          <cell r="H58">
            <v>766.1218125</v>
          </cell>
          <cell r="I58">
            <v>766.1218125</v>
          </cell>
          <cell r="J58">
            <v>766.124</v>
          </cell>
          <cell r="K58">
            <v>766.1218125</v>
          </cell>
          <cell r="L58">
            <v>766.124</v>
          </cell>
          <cell r="M58">
            <v>766.1218125</v>
          </cell>
        </row>
        <row r="59">
          <cell r="F59">
            <v>514.89421875</v>
          </cell>
          <cell r="G59">
            <v>514.890375</v>
          </cell>
          <cell r="H59">
            <v>514.89421875</v>
          </cell>
          <cell r="I59">
            <v>514.89421875</v>
          </cell>
          <cell r="J59">
            <v>514.890375</v>
          </cell>
          <cell r="K59">
            <v>514.89421875</v>
          </cell>
          <cell r="L59">
            <v>514.890375</v>
          </cell>
          <cell r="M59">
            <v>514.89421875</v>
          </cell>
        </row>
        <row r="60">
          <cell r="G60">
            <v>-2203.7415</v>
          </cell>
          <cell r="H60">
            <v>-2518.6415</v>
          </cell>
          <cell r="I60">
            <v>-2668.28725</v>
          </cell>
          <cell r="J60">
            <v>-2685.61675</v>
          </cell>
          <cell r="K60">
            <v>-2871.40025</v>
          </cell>
          <cell r="L60">
            <v>-4314.231</v>
          </cell>
          <cell r="M60">
            <v>-4657.8125</v>
          </cell>
        </row>
        <row r="61">
          <cell r="G61">
            <v>-1907.615625</v>
          </cell>
          <cell r="H61">
            <v>-1976.41175</v>
          </cell>
          <cell r="I61">
            <v>-2058.652875</v>
          </cell>
          <cell r="J61">
            <v>-2049.120375</v>
          </cell>
          <cell r="K61">
            <v>-2997.455</v>
          </cell>
          <cell r="L61">
            <v>-500.26953125</v>
          </cell>
          <cell r="M61">
            <v>-641.8216875</v>
          </cell>
        </row>
        <row r="62">
          <cell r="G62">
            <v>-1308.032375</v>
          </cell>
          <cell r="H62">
            <v>-4653.388</v>
          </cell>
          <cell r="I62">
            <v>-4707.6625</v>
          </cell>
          <cell r="J62">
            <v>-4593.279</v>
          </cell>
          <cell r="K62">
            <v>-4773.496</v>
          </cell>
          <cell r="L62">
            <v>-6191.1585</v>
          </cell>
          <cell r="M62">
            <v>-6871.843</v>
          </cell>
        </row>
        <row r="261">
          <cell r="G261">
            <v>140927.1</v>
          </cell>
          <cell r="H261">
            <v>199835.9</v>
          </cell>
          <cell r="I261">
            <v>180138.9</v>
          </cell>
          <cell r="J261">
            <v>159051.3</v>
          </cell>
          <cell r="K261">
            <v>142801</v>
          </cell>
          <cell r="L261">
            <v>127829.1</v>
          </cell>
          <cell r="M261">
            <v>144724.1</v>
          </cell>
        </row>
        <row r="397">
          <cell r="G397">
            <v>-141505.4</v>
          </cell>
          <cell r="H397">
            <v>-149763.4</v>
          </cell>
          <cell r="I397">
            <v>-134222.5</v>
          </cell>
          <cell r="J397">
            <v>-113700.7</v>
          </cell>
          <cell r="K397">
            <v>-61471</v>
          </cell>
          <cell r="L397">
            <v>-53265.66</v>
          </cell>
          <cell r="M397">
            <v>-55011.37</v>
          </cell>
        </row>
        <row r="399">
          <cell r="G399">
            <v>211.52578125</v>
          </cell>
          <cell r="H399">
            <v>248.4588125</v>
          </cell>
          <cell r="I399">
            <v>248.4588125</v>
          </cell>
          <cell r="J399">
            <v>248.456828125</v>
          </cell>
          <cell r="K399">
            <v>248.4588125</v>
          </cell>
          <cell r="L399">
            <v>248.456828125</v>
          </cell>
          <cell r="M399">
            <v>248.4588125</v>
          </cell>
        </row>
        <row r="400">
          <cell r="G400">
            <v>79.9993203125</v>
          </cell>
          <cell r="H400">
            <v>79.99978125</v>
          </cell>
          <cell r="I400">
            <v>79.99978125</v>
          </cell>
          <cell r="J400">
            <v>79.9993203125</v>
          </cell>
          <cell r="K400">
            <v>79.99978125</v>
          </cell>
          <cell r="L400">
            <v>79.9993203125</v>
          </cell>
          <cell r="M400">
            <v>79.99978125</v>
          </cell>
        </row>
        <row r="401">
          <cell r="G401">
            <v>88.245421875</v>
          </cell>
          <cell r="H401">
            <v>88.2455078125</v>
          </cell>
          <cell r="I401">
            <v>88.2455078125</v>
          </cell>
          <cell r="J401">
            <v>88.245421875</v>
          </cell>
          <cell r="K401">
            <v>88.2455078125</v>
          </cell>
          <cell r="L401">
            <v>88.245421875</v>
          </cell>
          <cell r="M401">
            <v>88.2455078125</v>
          </cell>
        </row>
        <row r="402">
          <cell r="G402">
            <v>20.53321484375</v>
          </cell>
          <cell r="H402">
            <v>20.533228515625</v>
          </cell>
          <cell r="I402">
            <v>20.533228515625</v>
          </cell>
          <cell r="J402">
            <v>20.53321484375</v>
          </cell>
          <cell r="K402">
            <v>20.533228515625</v>
          </cell>
          <cell r="L402">
            <v>20.53321484375</v>
          </cell>
          <cell r="M402">
            <v>20.533228515625</v>
          </cell>
        </row>
        <row r="405">
          <cell r="G405">
            <v>25.3771015625</v>
          </cell>
          <cell r="H405">
            <v>25.3770234375</v>
          </cell>
          <cell r="I405">
            <v>25.3770234375</v>
          </cell>
          <cell r="J405">
            <v>25.3771015625</v>
          </cell>
          <cell r="K405">
            <v>25.3770234375</v>
          </cell>
          <cell r="L405">
            <v>25.3771015625</v>
          </cell>
          <cell r="M405">
            <v>25.3770234375</v>
          </cell>
        </row>
        <row r="406">
          <cell r="G406">
            <v>29.237662109375</v>
          </cell>
          <cell r="H406">
            <v>29.238001953125</v>
          </cell>
          <cell r="I406">
            <v>29.238001953125</v>
          </cell>
          <cell r="J406">
            <v>29.237662109375</v>
          </cell>
          <cell r="K406">
            <v>29.238001953125</v>
          </cell>
          <cell r="L406">
            <v>29.237662109375</v>
          </cell>
          <cell r="M406">
            <v>29.238001953125</v>
          </cell>
        </row>
        <row r="407">
          <cell r="G407">
            <v>207.666421875</v>
          </cell>
          <cell r="H407">
            <v>207.668140625</v>
          </cell>
          <cell r="I407">
            <v>207.668140625</v>
          </cell>
          <cell r="J407">
            <v>207.666421875</v>
          </cell>
          <cell r="K407">
            <v>207.668140625</v>
          </cell>
          <cell r="L407">
            <v>207.666421875</v>
          </cell>
          <cell r="M407">
            <v>207.668140625</v>
          </cell>
        </row>
        <row r="412">
          <cell r="G412">
            <v>2979.76775</v>
          </cell>
          <cell r="H412">
            <v>3197.84925</v>
          </cell>
          <cell r="I412">
            <v>3197.84925</v>
          </cell>
          <cell r="J412">
            <v>3195.7645</v>
          </cell>
          <cell r="K412">
            <v>4830.832</v>
          </cell>
          <cell r="L412">
            <v>4828.8065</v>
          </cell>
          <cell r="M412">
            <v>4614.871</v>
          </cell>
        </row>
        <row r="415">
          <cell r="G415">
            <v>10772.4</v>
          </cell>
          <cell r="H415">
            <v>13292.074</v>
          </cell>
          <cell r="I415">
            <v>16093.633</v>
          </cell>
          <cell r="J415">
            <v>3838.0365</v>
          </cell>
          <cell r="K415">
            <v>1737.280875</v>
          </cell>
          <cell r="L415">
            <v>1771.24225</v>
          </cell>
          <cell r="M415">
            <v>3193.0465</v>
          </cell>
        </row>
        <row r="416">
          <cell r="G416">
            <v>-25975.482</v>
          </cell>
          <cell r="H416">
            <v>-60191.232</v>
          </cell>
          <cell r="I416">
            <v>-68349.84</v>
          </cell>
          <cell r="J416">
            <v>-52998.172</v>
          </cell>
          <cell r="K416">
            <v>-87274.392</v>
          </cell>
          <cell r="L416">
            <v>-63625.564</v>
          </cell>
          <cell r="M416">
            <v>-58996.22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4.56"/>
    <col collapsed="false" customWidth="true" hidden="false" outlineLevel="0" max="3" min="3" style="0" width="14.14"/>
    <col collapsed="false" customWidth="true" hidden="false" outlineLevel="0" max="4" min="4" style="0" width="6.13"/>
    <col collapsed="false" customWidth="true" hidden="false" outlineLevel="0" max="5" min="5" style="0" width="14.99"/>
    <col collapsed="false" customWidth="true" hidden="false" outlineLevel="0" max="6" min="6" style="0" width="18.41"/>
    <col collapsed="false" customWidth="true" hidden="false" outlineLevel="0" max="7" min="7" style="0" width="12.7"/>
  </cols>
  <sheetData>
    <row r="2" customFormat="false" ht="18" hidden="false" customHeight="false" outlineLevel="0" collapsed="false">
      <c r="A2" s="1" t="s">
        <v>0</v>
      </c>
    </row>
    <row r="3" customFormat="false" ht="12.75" hidden="false" customHeight="false" outlineLevel="0" collapsed="false">
      <c r="B3" s="2"/>
      <c r="C3" s="2"/>
      <c r="D3" s="2"/>
      <c r="E3" s="2" t="s">
        <v>1</v>
      </c>
      <c r="F3" s="2" t="s">
        <v>1</v>
      </c>
    </row>
    <row r="4" customFormat="false" ht="12.75" hidden="false" customHeight="false" outlineLevel="0" collapsed="false">
      <c r="B4" s="3" t="s">
        <v>2</v>
      </c>
      <c r="C4" s="3" t="s">
        <v>3</v>
      </c>
      <c r="D4" s="3"/>
      <c r="E4" s="3" t="s">
        <v>4</v>
      </c>
      <c r="F4" s="3" t="s">
        <v>5</v>
      </c>
    </row>
    <row r="6" customFormat="false" ht="12.75" hidden="false" customHeight="false" outlineLevel="0" collapsed="false">
      <c r="A6" s="0" t="s">
        <v>6</v>
      </c>
      <c r="B6" s="4" t="n">
        <v>1202</v>
      </c>
      <c r="C6" s="4" t="n">
        <v>1202</v>
      </c>
      <c r="D6" s="4"/>
      <c r="E6" s="4" t="n">
        <v>1162</v>
      </c>
      <c r="F6" s="4" t="n">
        <f aca="false">1162-(E32-F32)</f>
        <v>1160</v>
      </c>
      <c r="G6" s="4"/>
      <c r="H6" s="4"/>
    </row>
    <row r="7" customFormat="false" ht="12.75" hidden="false" customHeight="false" outlineLevel="0" collapsed="false">
      <c r="B7" s="4"/>
      <c r="C7" s="4"/>
      <c r="D7" s="4"/>
      <c r="E7" s="4"/>
      <c r="F7" s="4"/>
      <c r="G7" s="4"/>
      <c r="H7" s="4"/>
    </row>
    <row r="8" customFormat="false" ht="12.75" hidden="false" customHeight="false" outlineLevel="0" collapsed="false">
      <c r="A8" s="0" t="s">
        <v>7</v>
      </c>
      <c r="B8" s="4" t="n">
        <v>-657</v>
      </c>
      <c r="C8" s="4" t="n">
        <f aca="false">B8+63</f>
        <v>-594</v>
      </c>
      <c r="D8" s="4"/>
      <c r="E8" s="4" t="n">
        <v>-528</v>
      </c>
      <c r="F8" s="4" t="n">
        <v>-545</v>
      </c>
      <c r="G8" s="4"/>
      <c r="H8" s="4"/>
    </row>
    <row r="9" customFormat="false" ht="12.75" hidden="false" customHeight="false" outlineLevel="0" collapsed="false">
      <c r="A9" s="0" t="s">
        <v>8</v>
      </c>
      <c r="B9" s="5" t="n">
        <v>190</v>
      </c>
      <c r="C9" s="5" t="n">
        <f aca="false">+B9-50*0.9</f>
        <v>145</v>
      </c>
      <c r="D9" s="5"/>
      <c r="E9" s="5" t="n">
        <f aca="false">+'June 7 deferral'!K34/1000</f>
        <v>65.9548257162392</v>
      </c>
      <c r="F9" s="5" t="n">
        <f aca="false">+'June 19 deferral'!K34/1000</f>
        <v>85.1916794213173</v>
      </c>
      <c r="G9" s="4"/>
      <c r="H9" s="4"/>
    </row>
    <row r="10" customFormat="false" ht="12.75" hidden="false" customHeight="false" outlineLevel="0" collapsed="false">
      <c r="A10" s="0" t="s">
        <v>9</v>
      </c>
      <c r="B10" s="6" t="n">
        <f aca="false">SUM(B8:B9)</f>
        <v>-467</v>
      </c>
      <c r="C10" s="6" t="n">
        <f aca="false">SUM(C8:C9)</f>
        <v>-449</v>
      </c>
      <c r="D10" s="6"/>
      <c r="E10" s="6" t="n">
        <f aca="false">SUM(E8:E9)</f>
        <v>-462.045174283761</v>
      </c>
      <c r="F10" s="6" t="n">
        <f aca="false">SUM(F8:F9)</f>
        <v>-459.808320578683</v>
      </c>
      <c r="G10" s="4"/>
      <c r="H10" s="4"/>
    </row>
    <row r="11" customFormat="false" ht="12.75" hidden="false" customHeight="false" outlineLevel="0" collapsed="false">
      <c r="B11" s="5"/>
      <c r="C11" s="5"/>
      <c r="D11" s="5"/>
      <c r="E11" s="5"/>
      <c r="F11" s="5"/>
      <c r="G11" s="4"/>
      <c r="H11" s="4"/>
    </row>
    <row r="12" customFormat="false" ht="12.75" hidden="false" customHeight="false" outlineLevel="0" collapsed="false">
      <c r="A12" s="0" t="s">
        <v>10</v>
      </c>
      <c r="B12" s="4" t="n">
        <f aca="false">+B6+B10</f>
        <v>735</v>
      </c>
      <c r="C12" s="4" t="n">
        <f aca="false">+C6+C10</f>
        <v>753</v>
      </c>
      <c r="D12" s="4"/>
      <c r="E12" s="4" t="n">
        <f aca="false">+E6+E10</f>
        <v>699.954825716239</v>
      </c>
      <c r="F12" s="4" t="n">
        <f aca="false">+F6+F10</f>
        <v>700.191679421317</v>
      </c>
      <c r="G12" s="4"/>
      <c r="H12" s="4"/>
    </row>
    <row r="13" customFormat="false" ht="12.75" hidden="false" customHeight="false" outlineLevel="0" collapsed="false">
      <c r="B13" s="4"/>
      <c r="C13" s="4"/>
      <c r="D13" s="4"/>
      <c r="E13" s="4"/>
      <c r="F13" s="4"/>
      <c r="G13" s="4"/>
      <c r="H13" s="4"/>
    </row>
    <row r="14" customFormat="false" ht="12.75" hidden="false" customHeight="false" outlineLevel="0" collapsed="false">
      <c r="A14" s="0" t="s">
        <v>11</v>
      </c>
      <c r="B14" s="4" t="n">
        <v>299.7</v>
      </c>
      <c r="C14" s="4" t="n">
        <v>281</v>
      </c>
      <c r="D14" s="4"/>
      <c r="E14" s="4" t="n">
        <v>284</v>
      </c>
      <c r="F14" s="4" t="n">
        <v>284</v>
      </c>
      <c r="G14" s="4"/>
      <c r="H14" s="4"/>
    </row>
    <row r="15" customFormat="false" ht="12.75" hidden="false" customHeight="false" outlineLevel="0" collapsed="false">
      <c r="B15" s="4"/>
      <c r="C15" s="4"/>
      <c r="D15" s="4"/>
      <c r="E15" s="4"/>
      <c r="F15" s="4"/>
      <c r="G15" s="4"/>
      <c r="H15" s="4"/>
    </row>
    <row r="16" customFormat="false" ht="12.75" hidden="false" customHeight="false" outlineLevel="0" collapsed="false">
      <c r="A16" s="7" t="s">
        <v>12</v>
      </c>
      <c r="B16" s="8" t="n">
        <v>197</v>
      </c>
      <c r="C16" s="8" t="n">
        <f aca="false">+B16+35</f>
        <v>232</v>
      </c>
      <c r="D16" s="8"/>
      <c r="E16" s="8" t="n">
        <v>180</v>
      </c>
      <c r="F16" s="8" t="n">
        <f aca="false">+E16</f>
        <v>180</v>
      </c>
      <c r="G16" s="8"/>
      <c r="H16" s="8"/>
    </row>
    <row r="17" customFormat="false" ht="12.75" hidden="false" customHeight="false" outlineLevel="0" collapsed="false">
      <c r="A17" s="7" t="s">
        <v>13</v>
      </c>
      <c r="B17" s="8" t="n">
        <v>89</v>
      </c>
      <c r="C17" s="8" t="n">
        <f aca="false">+B17+21</f>
        <v>110</v>
      </c>
      <c r="D17" s="8"/>
      <c r="E17" s="8" t="n">
        <v>79</v>
      </c>
      <c r="F17" s="8" t="n">
        <f aca="false">+E17</f>
        <v>79</v>
      </c>
      <c r="G17" s="8"/>
      <c r="H17" s="8"/>
    </row>
    <row r="18" customFormat="false" ht="12.75" hidden="false" customHeight="false" outlineLevel="0" collapsed="false">
      <c r="B18" s="4"/>
      <c r="C18" s="4"/>
      <c r="D18" s="4"/>
      <c r="E18" s="4"/>
      <c r="F18" s="4"/>
      <c r="G18" s="4"/>
      <c r="H18" s="4"/>
    </row>
    <row r="19" customFormat="false" ht="12.75" hidden="false" customHeight="false" outlineLevel="0" collapsed="false">
      <c r="A19" s="7" t="s">
        <v>14</v>
      </c>
      <c r="B19" s="4"/>
      <c r="C19" s="4"/>
      <c r="D19" s="4"/>
      <c r="E19" s="4"/>
      <c r="F19" s="4"/>
      <c r="G19" s="4"/>
      <c r="H19" s="4"/>
    </row>
    <row r="20" customFormat="false" ht="12.75" hidden="false" customHeight="false" outlineLevel="0" collapsed="false">
      <c r="A20" s="0" t="s">
        <v>15</v>
      </c>
      <c r="B20" s="4"/>
      <c r="C20" s="4"/>
      <c r="D20" s="4"/>
      <c r="E20" s="9" t="n">
        <f aca="false">(+E22-E21)</f>
        <v>517760</v>
      </c>
      <c r="F20" s="4"/>
      <c r="G20" s="4"/>
      <c r="H20" s="4"/>
    </row>
    <row r="21" customFormat="false" ht="12.75" hidden="false" customHeight="false" outlineLevel="0" collapsed="false">
      <c r="A21" s="0" t="s">
        <v>16</v>
      </c>
      <c r="B21" s="10"/>
      <c r="C21" s="10"/>
      <c r="D21" s="10"/>
      <c r="E21" s="11" t="n">
        <f aca="false">+'Loads &amp; Revenues'!B42</f>
        <v>124000</v>
      </c>
      <c r="F21" s="10"/>
    </row>
    <row r="22" customFormat="false" ht="12.75" hidden="false" customHeight="false" outlineLevel="0" collapsed="false">
      <c r="A22" s="0" t="s">
        <v>17</v>
      </c>
      <c r="E22" s="9" t="n">
        <f aca="false">-SUM('Loads &amp; Revenues'!B16:J16)</f>
        <v>641760</v>
      </c>
    </row>
    <row r="24" customFormat="false" ht="12.75" hidden="false" customHeight="false" outlineLevel="0" collapsed="false">
      <c r="A24" s="7" t="s">
        <v>18</v>
      </c>
    </row>
    <row r="25" customFormat="false" ht="12.75" hidden="false" customHeight="false" outlineLevel="0" collapsed="false">
      <c r="A25" s="7" t="s">
        <v>15</v>
      </c>
      <c r="B25" s="12"/>
      <c r="C25" s="12"/>
      <c r="D25" s="12"/>
      <c r="E25" s="12" t="n">
        <v>22.4</v>
      </c>
      <c r="F25" s="12"/>
      <c r="G25" s="12"/>
    </row>
    <row r="26" customFormat="false" ht="12.75" hidden="false" customHeight="false" outlineLevel="0" collapsed="false">
      <c r="A26" s="0" t="s">
        <v>19</v>
      </c>
      <c r="B26" s="13" t="n">
        <v>0</v>
      </c>
      <c r="C26" s="13" t="n">
        <v>0</v>
      </c>
      <c r="D26" s="13"/>
      <c r="E26" s="13" t="n">
        <v>6.2</v>
      </c>
      <c r="F26" s="13" t="n">
        <v>6.2</v>
      </c>
      <c r="G26" s="14"/>
    </row>
    <row r="27" customFormat="false" ht="12.75" hidden="false" customHeight="false" outlineLevel="0" collapsed="false">
      <c r="A27" s="0" t="s">
        <v>20</v>
      </c>
      <c r="B27" s="14"/>
      <c r="C27" s="14"/>
      <c r="D27" s="14"/>
      <c r="E27" s="14" t="n">
        <f aca="false">+E25+E26</f>
        <v>28.6</v>
      </c>
      <c r="F27" s="14"/>
      <c r="G27" s="14"/>
    </row>
    <row r="28" customFormat="false" ht="12.75" hidden="false" customHeight="false" outlineLevel="0" collapsed="false">
      <c r="B28" s="4"/>
      <c r="C28" s="4"/>
      <c r="D28" s="4"/>
      <c r="E28" s="4"/>
      <c r="F28" s="4"/>
      <c r="G28" s="4"/>
    </row>
    <row r="29" customFormat="false" ht="12.75" hidden="false" customHeight="false" outlineLevel="0" collapsed="false">
      <c r="A29" s="0" t="s">
        <v>21</v>
      </c>
      <c r="B29" s="4"/>
      <c r="C29" s="4"/>
      <c r="D29" s="4"/>
      <c r="E29" s="4" t="n">
        <f aca="false">159.7-8.5-11.7-14.5</f>
        <v>125</v>
      </c>
      <c r="F29" s="4"/>
      <c r="G29" s="4"/>
    </row>
    <row r="30" customFormat="false" ht="12.75" hidden="false" customHeight="false" outlineLevel="0" collapsed="false">
      <c r="A30" s="0" t="s">
        <v>22</v>
      </c>
      <c r="B30" s="4"/>
      <c r="C30" s="4"/>
      <c r="D30" s="4"/>
      <c r="E30" s="4" t="n">
        <f aca="false">+E29*0.1</f>
        <v>12.5</v>
      </c>
      <c r="F30" s="4"/>
      <c r="G30" s="4"/>
    </row>
    <row r="31" customFormat="false" ht="12.75" hidden="false" customHeight="false" outlineLevel="0" collapsed="false">
      <c r="B31" s="4"/>
      <c r="C31" s="4"/>
      <c r="D31" s="4"/>
      <c r="E31" s="4"/>
      <c r="F31" s="4"/>
      <c r="G31" s="4"/>
    </row>
    <row r="32" customFormat="false" ht="12.75" hidden="false" customHeight="false" outlineLevel="0" collapsed="false">
      <c r="A32" s="0" t="s">
        <v>23</v>
      </c>
      <c r="B32" s="4" t="n">
        <v>193</v>
      </c>
      <c r="C32" s="4" t="n">
        <v>193</v>
      </c>
      <c r="D32" s="4"/>
      <c r="E32" s="4" t="n">
        <v>179</v>
      </c>
      <c r="F32" s="4" t="n">
        <v>177</v>
      </c>
      <c r="G32" s="4"/>
    </row>
    <row r="33" customFormat="false" ht="12.75" hidden="false" customHeight="false" outlineLevel="0" collapsed="false">
      <c r="A33" s="0" t="s">
        <v>24</v>
      </c>
      <c r="B33" s="4"/>
      <c r="C33" s="4"/>
      <c r="D33" s="4"/>
      <c r="E33" s="4" t="n">
        <f aca="false">+E32-C32</f>
        <v>-14</v>
      </c>
      <c r="F33" s="4" t="n">
        <f aca="false">+F32-C32</f>
        <v>-16</v>
      </c>
      <c r="G33" s="4"/>
    </row>
    <row r="34" customFormat="false" ht="12.75" hidden="false" customHeight="false" outlineLevel="0" collapsed="false">
      <c r="B34" s="4"/>
      <c r="C34" s="4"/>
      <c r="D34" s="4"/>
      <c r="E34" s="4"/>
      <c r="F34" s="4"/>
      <c r="G34" s="4"/>
    </row>
    <row r="35" customFormat="false" ht="12.75" hidden="false" customHeight="false" outlineLevel="0" collapsed="false">
      <c r="B35" s="4"/>
      <c r="C35" s="4"/>
      <c r="D35" s="4"/>
      <c r="E35" s="4"/>
      <c r="F35" s="4"/>
      <c r="G35" s="4"/>
    </row>
    <row r="38" customFormat="false" ht="18" hidden="false" customHeight="false" outlineLevel="0" collapsed="false">
      <c r="A38" s="1" t="s">
        <v>25</v>
      </c>
    </row>
    <row r="40" customFormat="false" ht="12.75" hidden="false" customHeight="false" outlineLevel="0" collapsed="false">
      <c r="A40" s="7" t="s">
        <v>26</v>
      </c>
      <c r="B40" s="7"/>
      <c r="C40" s="12" t="n">
        <v>197</v>
      </c>
    </row>
    <row r="41" customFormat="false" ht="12.75" hidden="false" customHeight="false" outlineLevel="0" collapsed="false">
      <c r="C41" s="14"/>
    </row>
    <row r="42" customFormat="false" ht="12.75" hidden="false" customHeight="false" outlineLevel="0" collapsed="false">
      <c r="A42" s="0" t="s">
        <v>27</v>
      </c>
      <c r="C42" s="14"/>
    </row>
    <row r="43" customFormat="false" ht="12.75" hidden="false" customHeight="false" outlineLevel="0" collapsed="false">
      <c r="A43" s="0" t="s">
        <v>28</v>
      </c>
      <c r="B43" s="14" t="n">
        <f aca="false">-E26</f>
        <v>-6.2</v>
      </c>
      <c r="C43" s="14"/>
    </row>
    <row r="44" customFormat="false" ht="13.5" hidden="false" customHeight="true" outlineLevel="0" collapsed="false">
      <c r="A44" s="0" t="s">
        <v>29</v>
      </c>
      <c r="B44" s="14" t="n">
        <f aca="false">-E25</f>
        <v>-22.4</v>
      </c>
      <c r="C44" s="14"/>
    </row>
    <row r="45" customFormat="false" ht="13.5" hidden="false" customHeight="true" outlineLevel="0" collapsed="false">
      <c r="A45" s="0" t="s">
        <v>30</v>
      </c>
      <c r="B45" s="14" t="n">
        <v>5</v>
      </c>
      <c r="C45" s="14"/>
    </row>
    <row r="46" customFormat="false" ht="13.5" hidden="false" customHeight="true" outlineLevel="0" collapsed="false">
      <c r="A46" s="0" t="s">
        <v>31</v>
      </c>
      <c r="B46" s="13" t="n">
        <v>-1</v>
      </c>
      <c r="C46" s="14"/>
    </row>
    <row r="47" customFormat="false" ht="12.75" hidden="false" customHeight="false" outlineLevel="0" collapsed="false">
      <c r="A47" s="0" t="s">
        <v>32</v>
      </c>
      <c r="C47" s="14" t="n">
        <f aca="false">+B43+B44+B45+B46</f>
        <v>-24.6</v>
      </c>
    </row>
    <row r="48" customFormat="false" ht="12.75" hidden="false" customHeight="false" outlineLevel="0" collapsed="false">
      <c r="C48" s="14"/>
    </row>
    <row r="49" customFormat="false" ht="12.75" hidden="false" customHeight="false" outlineLevel="0" collapsed="false">
      <c r="A49" s="0" t="s">
        <v>33</v>
      </c>
      <c r="B49" s="14"/>
    </row>
    <row r="50" customFormat="false" ht="12.75" hidden="false" customHeight="false" outlineLevel="0" collapsed="false">
      <c r="A50" s="0" t="s">
        <v>34</v>
      </c>
      <c r="B50" s="14" t="n">
        <v>-8.2</v>
      </c>
    </row>
    <row r="51" customFormat="false" ht="12.75" hidden="false" customHeight="false" outlineLevel="0" collapsed="false">
      <c r="A51" s="0" t="s">
        <v>35</v>
      </c>
      <c r="B51" s="14" t="n">
        <v>-13.1</v>
      </c>
    </row>
    <row r="52" customFormat="false" ht="12.75" hidden="false" customHeight="false" outlineLevel="0" collapsed="false">
      <c r="A52" s="0" t="s">
        <v>36</v>
      </c>
      <c r="B52" s="14" t="n">
        <f aca="false">(-'June 19 Power Cost Forecast'!T60+'Budget Deferral'!K33)/1000</f>
        <v>116.697832778637</v>
      </c>
    </row>
    <row r="53" customFormat="false" ht="12.75" hidden="false" customHeight="false" outlineLevel="0" collapsed="false">
      <c r="A53" s="0" t="s">
        <v>37</v>
      </c>
      <c r="B53" s="15" t="n">
        <f aca="false">-B52*0.9</f>
        <v>-105.028049500774</v>
      </c>
    </row>
    <row r="54" customFormat="false" ht="12.75" hidden="false" customHeight="false" outlineLevel="0" collapsed="false">
      <c r="A54" s="0" t="s">
        <v>38</v>
      </c>
      <c r="B54" s="13" t="n">
        <f aca="false">+(5+6.2)*0.9</f>
        <v>10.08</v>
      </c>
    </row>
    <row r="55" customFormat="false" ht="12.75" hidden="false" customHeight="false" outlineLevel="0" collapsed="false">
      <c r="A55" s="0" t="s">
        <v>39</v>
      </c>
      <c r="C55" s="14" t="n">
        <f aca="false">SUM(B50:B54)</f>
        <v>0.449783277863732</v>
      </c>
    </row>
    <row r="56" customFormat="false" ht="12.75" hidden="false" customHeight="false" outlineLevel="0" collapsed="false">
      <c r="C56" s="14"/>
    </row>
    <row r="57" customFormat="false" ht="12.75" hidden="false" customHeight="false" outlineLevel="0" collapsed="false">
      <c r="A57" s="0" t="s">
        <v>40</v>
      </c>
      <c r="B57" s="14"/>
    </row>
    <row r="58" customFormat="false" ht="12.75" hidden="false" customHeight="false" outlineLevel="0" collapsed="false">
      <c r="A58" s="0" t="s">
        <v>41</v>
      </c>
      <c r="B58" s="14" t="n">
        <v>8.4</v>
      </c>
    </row>
    <row r="59" customFormat="false" ht="12.75" hidden="false" customHeight="false" outlineLevel="0" collapsed="false">
      <c r="A59" s="0" t="s">
        <v>42</v>
      </c>
      <c r="B59" s="13" t="n">
        <f aca="false">(11.4+6-1.9-B58)</f>
        <v>7.1</v>
      </c>
    </row>
    <row r="60" customFormat="false" ht="12.75" hidden="false" customHeight="false" outlineLevel="0" collapsed="false">
      <c r="A60" s="0" t="s">
        <v>43</v>
      </c>
      <c r="B60" s="14"/>
      <c r="C60" s="14" t="n">
        <f aca="false">+B58+B59</f>
        <v>15.5</v>
      </c>
    </row>
    <row r="61" customFormat="false" ht="12.75" hidden="false" customHeight="false" outlineLevel="0" collapsed="false">
      <c r="B61" s="14"/>
    </row>
    <row r="62" customFormat="false" ht="12.75" hidden="false" customHeight="false" outlineLevel="0" collapsed="false">
      <c r="A62" s="0" t="s">
        <v>44</v>
      </c>
      <c r="B62" s="14"/>
      <c r="C62" s="15" t="n">
        <v>-8.6</v>
      </c>
    </row>
    <row r="63" customFormat="false" ht="12.75" hidden="false" customHeight="false" outlineLevel="0" collapsed="false">
      <c r="A63" s="0" t="s">
        <v>45</v>
      </c>
      <c r="B63" s="14"/>
      <c r="C63" s="13" t="n">
        <v>0.3</v>
      </c>
    </row>
    <row r="64" customFormat="false" ht="12.75" hidden="false" customHeight="false" outlineLevel="0" collapsed="false">
      <c r="B64" s="14"/>
    </row>
    <row r="65" customFormat="false" ht="12.75" hidden="false" customHeight="false" outlineLevel="0" collapsed="false">
      <c r="A65" s="7" t="s">
        <v>46</v>
      </c>
      <c r="B65" s="12"/>
      <c r="C65" s="12" t="n">
        <f aca="false">+C40+C47+C55+C60+C62+C63</f>
        <v>180.049783277864</v>
      </c>
    </row>
  </sheetData>
  <printOptions headings="false" gridLines="false" gridLinesSet="true" horizontalCentered="false" verticalCentered="false"/>
  <pageMargins left="0.540277777777778" right="0.429861111111111" top="0.6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7"/>
  <sheetViews>
    <sheetView showFormulas="false" showGridLines="false" showRowColHeaders="true" showZeros="true" rightToLeft="false" tabSelected="false" showOutlineSymbols="true" defaultGridColor="true" view="normal" topLeftCell="A10" colorId="64" zoomScale="85" zoomScaleNormal="85" zoomScalePageLayoutView="100" workbookViewId="0">
      <pane xSplit="2760" ySplit="0" topLeftCell="G1" activePane="topRight" state="split"/>
      <selection pane="topLeft" activeCell="A10" activeCellId="0" sqref="A10"/>
      <selection pane="topRight" activeCell="J36" activeCellId="0" sqref="J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6" width="21.13"/>
    <col collapsed="false" customWidth="true" hidden="false" outlineLevel="0" max="2" min="2" style="116" width="12.7"/>
    <col collapsed="false" customWidth="true" hidden="false" outlineLevel="0" max="3" min="3" style="116" width="10.56"/>
    <col collapsed="false" customWidth="true" hidden="false" outlineLevel="0" max="13" min="4" style="116" width="10.41"/>
    <col collapsed="false" customWidth="true" hidden="false" outlineLevel="0" max="14" min="14" style="116" width="11.56"/>
    <col collapsed="false" customWidth="false" hidden="false" outlineLevel="0" max="257" min="15" style="116" width="9.14"/>
  </cols>
  <sheetData>
    <row r="1" customFormat="false" ht="12.75" hidden="false" customHeight="false" outlineLevel="0" collapsed="false">
      <c r="A1" s="117" t="s">
        <v>166</v>
      </c>
    </row>
    <row r="2" customFormat="false" ht="12.75" hidden="false" customHeight="false" outlineLevel="0" collapsed="false">
      <c r="A2" s="117" t="s">
        <v>167</v>
      </c>
    </row>
    <row r="4" customFormat="false" ht="12.75" hidden="false" customHeight="false" outlineLevel="0" collapsed="false">
      <c r="A4" s="117" t="s">
        <v>168</v>
      </c>
      <c r="B4" s="118" t="s">
        <v>169</v>
      </c>
      <c r="C4" s="118" t="s">
        <v>170</v>
      </c>
      <c r="D4" s="118" t="s">
        <v>171</v>
      </c>
      <c r="E4" s="118" t="s">
        <v>172</v>
      </c>
      <c r="F4" s="118" t="s">
        <v>173</v>
      </c>
      <c r="G4" s="118" t="s">
        <v>174</v>
      </c>
      <c r="H4" s="118" t="s">
        <v>175</v>
      </c>
      <c r="I4" s="118" t="s">
        <v>176</v>
      </c>
      <c r="J4" s="118" t="s">
        <v>177</v>
      </c>
      <c r="K4" s="118" t="s">
        <v>178</v>
      </c>
      <c r="L4" s="118" t="s">
        <v>179</v>
      </c>
      <c r="M4" s="118" t="s">
        <v>180</v>
      </c>
      <c r="N4" s="118" t="s">
        <v>181</v>
      </c>
    </row>
    <row r="5" customFormat="false" ht="12.75" hidden="false" customHeight="false" outlineLevel="0" collapsed="false">
      <c r="A5" s="116" t="s">
        <v>182</v>
      </c>
      <c r="B5" s="119" t="n">
        <f aca="false">31*24</f>
        <v>744</v>
      </c>
      <c r="C5" s="119" t="n">
        <f aca="false">28*24</f>
        <v>672</v>
      </c>
      <c r="D5" s="119" t="n">
        <f aca="false">31*24</f>
        <v>744</v>
      </c>
      <c r="E5" s="119" t="n">
        <f aca="false">30*24</f>
        <v>720</v>
      </c>
      <c r="F5" s="119" t="n">
        <f aca="false">31*24</f>
        <v>744</v>
      </c>
      <c r="G5" s="119" t="n">
        <f aca="false">30*24</f>
        <v>720</v>
      </c>
      <c r="H5" s="119" t="n">
        <f aca="false">31*24</f>
        <v>744</v>
      </c>
      <c r="I5" s="119" t="n">
        <f aca="false">31*24</f>
        <v>744</v>
      </c>
      <c r="J5" s="119" t="n">
        <f aca="false">30*24</f>
        <v>720</v>
      </c>
      <c r="K5" s="119" t="n">
        <f aca="false">31*24</f>
        <v>744</v>
      </c>
      <c r="L5" s="119" t="n">
        <f aca="false">30*24</f>
        <v>720</v>
      </c>
      <c r="M5" s="119" t="n">
        <f aca="false">31*24</f>
        <v>744</v>
      </c>
      <c r="N5" s="119" t="n">
        <f aca="false">SUM(B5:M5)</f>
        <v>8760</v>
      </c>
    </row>
    <row r="6" customFormat="false" ht="12.75" hidden="false" customHeight="false" outlineLevel="0" collapsed="false"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customFormat="false" ht="12.75" hidden="false" customHeight="false" outlineLevel="0" collapsed="false">
      <c r="A7" s="117" t="s">
        <v>183</v>
      </c>
      <c r="B7" s="121" t="n">
        <v>2776</v>
      </c>
      <c r="C7" s="121" t="n">
        <v>2752</v>
      </c>
      <c r="D7" s="121" t="n">
        <v>2487</v>
      </c>
      <c r="E7" s="121" t="n">
        <v>2432</v>
      </c>
      <c r="F7" s="121" t="n">
        <v>2277</v>
      </c>
      <c r="G7" s="121" t="n">
        <v>2251</v>
      </c>
      <c r="H7" s="121" t="n">
        <v>2291</v>
      </c>
      <c r="I7" s="121" t="n">
        <v>2330</v>
      </c>
      <c r="J7" s="121" t="n">
        <v>2315</v>
      </c>
      <c r="K7" s="121" t="n">
        <v>2413</v>
      </c>
      <c r="L7" s="121" t="n">
        <v>2614</v>
      </c>
      <c r="M7" s="121" t="n">
        <v>2836</v>
      </c>
      <c r="N7" s="122" t="n">
        <f aca="false">SUM(B8:M8)/N5</f>
        <v>2479.79726027397</v>
      </c>
    </row>
    <row r="8" customFormat="false" ht="12.75" hidden="false" customHeight="false" outlineLevel="0" collapsed="false">
      <c r="A8" s="116" t="s">
        <v>184</v>
      </c>
      <c r="B8" s="121" t="n">
        <f aca="false">B7*B5</f>
        <v>2065344</v>
      </c>
      <c r="C8" s="121" t="n">
        <f aca="false">C7*C5</f>
        <v>1849344</v>
      </c>
      <c r="D8" s="121" t="n">
        <f aca="false">D7*D5</f>
        <v>1850328</v>
      </c>
      <c r="E8" s="121" t="n">
        <f aca="false">E7*E5</f>
        <v>1751040</v>
      </c>
      <c r="F8" s="121" t="n">
        <f aca="false">F7*F5</f>
        <v>1694088</v>
      </c>
      <c r="G8" s="121" t="n">
        <f aca="false">G7*G5</f>
        <v>1620720</v>
      </c>
      <c r="H8" s="121" t="n">
        <f aca="false">H7*H5</f>
        <v>1704504</v>
      </c>
      <c r="I8" s="121" t="n">
        <f aca="false">I7*I5</f>
        <v>1733520</v>
      </c>
      <c r="J8" s="121" t="n">
        <f aca="false">J7*J5</f>
        <v>1666800</v>
      </c>
      <c r="K8" s="121" t="n">
        <f aca="false">K7*K5</f>
        <v>1795272</v>
      </c>
      <c r="L8" s="121" t="n">
        <f aca="false">L7*L5</f>
        <v>1882080</v>
      </c>
      <c r="M8" s="121" t="n">
        <f aca="false">M7*M5</f>
        <v>2109984</v>
      </c>
      <c r="N8" s="123" t="n">
        <f aca="false">SUM(B8:M8)</f>
        <v>21723024</v>
      </c>
    </row>
    <row r="9" customFormat="false" ht="12.75" hidden="false" customHeight="false" outlineLevel="0" collapsed="false">
      <c r="A9" s="117" t="s">
        <v>185</v>
      </c>
      <c r="B9" s="121" t="n">
        <v>2650</v>
      </c>
      <c r="C9" s="121" t="n">
        <v>2606</v>
      </c>
      <c r="D9" s="121" t="n">
        <v>2408</v>
      </c>
      <c r="E9" s="121" t="n">
        <v>2295</v>
      </c>
      <c r="F9" s="121" t="n">
        <v>2159</v>
      </c>
      <c r="G9" s="121"/>
      <c r="H9" s="121"/>
      <c r="I9" s="121"/>
      <c r="J9" s="121"/>
      <c r="K9" s="121"/>
      <c r="L9" s="121"/>
      <c r="M9" s="121"/>
      <c r="N9" s="122" t="n">
        <f aca="false">SUM(B10:F10)/SUM(B5:F5)</f>
        <v>2420.82781456954</v>
      </c>
    </row>
    <row r="10" customFormat="false" ht="12.75" hidden="false" customHeight="false" outlineLevel="0" collapsed="false">
      <c r="A10" s="116" t="s">
        <v>186</v>
      </c>
      <c r="B10" s="121" t="n">
        <f aca="false">B9*B5</f>
        <v>1971600</v>
      </c>
      <c r="C10" s="121" t="n">
        <f aca="false">C9*C5</f>
        <v>1751232</v>
      </c>
      <c r="D10" s="121" t="n">
        <f aca="false">D9*D5</f>
        <v>1791552</v>
      </c>
      <c r="E10" s="121" t="n">
        <f aca="false">E9*E5</f>
        <v>1652400</v>
      </c>
      <c r="F10" s="121" t="n">
        <f aca="false">F9*F5</f>
        <v>1606296</v>
      </c>
      <c r="G10" s="121"/>
      <c r="H10" s="121"/>
      <c r="I10" s="121"/>
      <c r="J10" s="121"/>
      <c r="K10" s="121"/>
      <c r="L10" s="121"/>
      <c r="M10" s="121"/>
      <c r="N10" s="123" t="n">
        <f aca="false">SUM(B10:M10)</f>
        <v>8773080</v>
      </c>
    </row>
    <row r="11" customFormat="false" ht="12.75" hidden="false" customHeight="false" outlineLevel="0" collapsed="false">
      <c r="A11" s="117" t="s">
        <v>187</v>
      </c>
      <c r="B11" s="121"/>
      <c r="C11" s="121"/>
      <c r="D11" s="121"/>
      <c r="E11" s="121"/>
      <c r="F11" s="121"/>
      <c r="G11" s="121" t="n">
        <v>2156</v>
      </c>
      <c r="H11" s="121" t="n">
        <v>2252</v>
      </c>
      <c r="I11" s="121" t="n">
        <v>2270</v>
      </c>
      <c r="J11" s="121" t="n">
        <v>2228</v>
      </c>
      <c r="K11" s="121" t="n">
        <v>2322</v>
      </c>
      <c r="L11" s="121" t="n">
        <v>2491</v>
      </c>
      <c r="M11" s="121" t="n">
        <v>2712</v>
      </c>
      <c r="N11" s="122" t="n">
        <f aca="false">SUM(G12:L12)/SUM(G5:M5)</f>
        <v>1955.20560747664</v>
      </c>
    </row>
    <row r="12" customFormat="false" ht="12.75" hidden="false" customHeight="false" outlineLevel="0" collapsed="false">
      <c r="A12" s="116" t="s">
        <v>188</v>
      </c>
      <c r="B12" s="121"/>
      <c r="C12" s="121"/>
      <c r="D12" s="121"/>
      <c r="E12" s="121"/>
      <c r="F12" s="121"/>
      <c r="G12" s="121" t="n">
        <f aca="false">G11*G5</f>
        <v>1552320</v>
      </c>
      <c r="H12" s="121" t="n">
        <f aca="false">H11*H5</f>
        <v>1675488</v>
      </c>
      <c r="I12" s="121" t="n">
        <f aca="false">I11*I5</f>
        <v>1688880</v>
      </c>
      <c r="J12" s="121" t="n">
        <f aca="false">J11*J5</f>
        <v>1604160</v>
      </c>
      <c r="K12" s="121" t="n">
        <f aca="false">K11*K5</f>
        <v>1727568</v>
      </c>
      <c r="L12" s="121" t="n">
        <f aca="false">L11*L5</f>
        <v>1793520</v>
      </c>
      <c r="M12" s="121" t="n">
        <f aca="false">M11*M5</f>
        <v>2017728</v>
      </c>
      <c r="N12" s="123" t="n">
        <f aca="false">SUM(B12:M12)</f>
        <v>12059664</v>
      </c>
    </row>
    <row r="13" customFormat="false" ht="12.75" hidden="false" customHeight="false" outlineLevel="0" collapsed="false">
      <c r="N13" s="123" t="n">
        <f aca="false">+N10+N12</f>
        <v>20832744</v>
      </c>
    </row>
    <row r="14" customFormat="false" ht="12.75" hidden="false" customHeight="false" outlineLevel="0" collapsed="false">
      <c r="N14" s="123" t="n">
        <f aca="false">+N8-N13</f>
        <v>890280</v>
      </c>
      <c r="O14" s="116" t="n">
        <f aca="false">+N14/8760</f>
        <v>101.630136986301</v>
      </c>
    </row>
    <row r="15" customFormat="false" ht="12.75" hidden="false" customHeight="false" outlineLevel="0" collapsed="false">
      <c r="A15" s="116" t="s">
        <v>189</v>
      </c>
      <c r="B15" s="124" t="n">
        <f aca="false">B9-B7</f>
        <v>-126</v>
      </c>
      <c r="C15" s="124" t="n">
        <f aca="false">C9-C7</f>
        <v>-146</v>
      </c>
      <c r="D15" s="124" t="n">
        <f aca="false">D9-D7</f>
        <v>-79</v>
      </c>
      <c r="E15" s="124" t="n">
        <f aca="false">E9-E7</f>
        <v>-137</v>
      </c>
      <c r="F15" s="124" t="n">
        <f aca="false">F9-F7</f>
        <v>-118</v>
      </c>
      <c r="G15" s="124" t="n">
        <f aca="false">G11-G7</f>
        <v>-95</v>
      </c>
      <c r="H15" s="124" t="n">
        <f aca="false">H11-H7</f>
        <v>-39</v>
      </c>
      <c r="I15" s="124" t="n">
        <f aca="false">I11-I7</f>
        <v>-60</v>
      </c>
      <c r="J15" s="124" t="n">
        <f aca="false">J11-J7</f>
        <v>-87</v>
      </c>
      <c r="K15" s="124" t="n">
        <f aca="false">K11-K7</f>
        <v>-91</v>
      </c>
      <c r="L15" s="124" t="n">
        <f aca="false">L11-L7</f>
        <v>-123</v>
      </c>
      <c r="M15" s="124" t="n">
        <f aca="false">M11-M7</f>
        <v>-124</v>
      </c>
      <c r="N15" s="121"/>
      <c r="O15" s="125" t="n">
        <f aca="false">+O14/N7</f>
        <v>0.040983244321785</v>
      </c>
    </row>
    <row r="16" customFormat="false" ht="12.75" hidden="false" customHeight="false" outlineLevel="0" collapsed="false">
      <c r="A16" s="116" t="s">
        <v>190</v>
      </c>
      <c r="B16" s="124" t="n">
        <f aca="false">B15*B5</f>
        <v>-93744</v>
      </c>
      <c r="C16" s="124" t="n">
        <f aca="false">C15*C5</f>
        <v>-98112</v>
      </c>
      <c r="D16" s="124" t="n">
        <f aca="false">D15*D5</f>
        <v>-58776</v>
      </c>
      <c r="E16" s="124" t="n">
        <f aca="false">E15*E5</f>
        <v>-98640</v>
      </c>
      <c r="F16" s="124" t="n">
        <f aca="false">F15*F5</f>
        <v>-87792</v>
      </c>
      <c r="G16" s="124" t="n">
        <f aca="false">G15*G5</f>
        <v>-68400</v>
      </c>
      <c r="H16" s="124" t="n">
        <f aca="false">H15*H5</f>
        <v>-29016</v>
      </c>
      <c r="I16" s="124" t="n">
        <f aca="false">I15*I5</f>
        <v>-44640</v>
      </c>
      <c r="J16" s="124" t="n">
        <f aca="false">J15*J5</f>
        <v>-62640</v>
      </c>
      <c r="K16" s="124" t="n">
        <f aca="false">K15*K5</f>
        <v>-67704</v>
      </c>
      <c r="L16" s="124" t="n">
        <f aca="false">L15*L5</f>
        <v>-88560</v>
      </c>
      <c r="M16" s="124" t="n">
        <f aca="false">M15*M5</f>
        <v>-92256</v>
      </c>
      <c r="N16" s="123" t="n">
        <f aca="false">SUM(B16:M16)</f>
        <v>-890280</v>
      </c>
    </row>
    <row r="17" customFormat="false" ht="12.75" hidden="false" customHeight="false" outlineLevel="0" collapsed="false">
      <c r="A17" s="116" t="s">
        <v>191</v>
      </c>
      <c r="B17" s="124" t="n">
        <f aca="false">B16/B5</f>
        <v>-126</v>
      </c>
      <c r="C17" s="124" t="n">
        <f aca="false">SUM($B$16:C16)/SUM($B$5:C5)</f>
        <v>-135.491525423729</v>
      </c>
      <c r="D17" s="124" t="n">
        <f aca="false">SUM($B$16:D16)/SUM($B$5:D5)</f>
        <v>-116.033333333333</v>
      </c>
      <c r="E17" s="124" t="n">
        <f aca="false">SUM($B$16:E16)/SUM($B$5:E5)</f>
        <v>-121.275</v>
      </c>
      <c r="F17" s="124" t="n">
        <f aca="false">SUM($B$16:F16)/SUM($B$5:F5)</f>
        <v>-120.602649006623</v>
      </c>
      <c r="G17" s="124" t="n">
        <f aca="false">SUM($B$16:G16)/SUM($B$5:G5)</f>
        <v>-116.359116022099</v>
      </c>
      <c r="H17" s="124" t="n">
        <f aca="false">SUM($B$16:H16)/SUM($B$5:H5)</f>
        <v>-105.047169811321</v>
      </c>
      <c r="I17" s="124" t="n">
        <f aca="false">SUM($B$16:I16)/SUM($B$5:I5)</f>
        <v>-99.3004115226338</v>
      </c>
      <c r="J17" s="124" t="n">
        <f aca="false">SUM($B$16:J16)/SUM($B$5:J5)</f>
        <v>-97.9487179487179</v>
      </c>
      <c r="K17" s="124" t="n">
        <f aca="false">SUM($B$16:K16)/SUM($B$5:K5)</f>
        <v>-97.2401315789474</v>
      </c>
      <c r="L17" s="124" t="n">
        <f aca="false">SUM($B$16:L16)/SUM($B$5:L5)</f>
        <v>-99.5538922155689</v>
      </c>
      <c r="M17" s="124" t="n">
        <f aca="false">SUM($B$16:M16)/SUM($B$5:M5)</f>
        <v>-101.630136986301</v>
      </c>
      <c r="N17" s="121"/>
    </row>
    <row r="18" customFormat="false" ht="12.75" hidden="false" customHeight="false" outlineLevel="0" collapsed="false">
      <c r="A18" s="116" t="s">
        <v>192</v>
      </c>
      <c r="B18" s="126" t="n">
        <f aca="false">B15/B7</f>
        <v>-0.0453890489913545</v>
      </c>
      <c r="C18" s="126" t="n">
        <f aca="false">C15/C7</f>
        <v>-0.0530523255813953</v>
      </c>
      <c r="D18" s="126" t="n">
        <f aca="false">D15/D7</f>
        <v>-0.0317651789304383</v>
      </c>
      <c r="E18" s="126" t="n">
        <f aca="false">E15/E7</f>
        <v>-0.0563322368421053</v>
      </c>
      <c r="F18" s="126" t="n">
        <f aca="false">F15/F7</f>
        <v>-0.051822573561704</v>
      </c>
      <c r="G18" s="126" t="n">
        <f aca="false">G15/G7</f>
        <v>-0.0422034651266104</v>
      </c>
      <c r="H18" s="126" t="n">
        <f aca="false">H15/H7</f>
        <v>-0.0170231340026189</v>
      </c>
      <c r="I18" s="126" t="n">
        <f aca="false">I15/I7</f>
        <v>-0.0257510729613734</v>
      </c>
      <c r="J18" s="126" t="n">
        <f aca="false">J15/J7</f>
        <v>-0.0375809935205184</v>
      </c>
      <c r="K18" s="126" t="n">
        <f aca="false">K15/K7</f>
        <v>-0.0377123912142561</v>
      </c>
      <c r="L18" s="126" t="n">
        <f aca="false">L15/L7</f>
        <v>-0.0470543228768171</v>
      </c>
      <c r="M18" s="126" t="n">
        <f aca="false">M15/M7</f>
        <v>-0.0437235543018336</v>
      </c>
      <c r="N18" s="126"/>
    </row>
    <row r="19" customFormat="false" ht="12.75" hidden="false" customHeight="false" outlineLevel="0" collapsed="false">
      <c r="A19" s="116" t="s">
        <v>193</v>
      </c>
      <c r="B19" s="126" t="n">
        <f aca="false">B16/B8</f>
        <v>-0.0453890489913545</v>
      </c>
      <c r="C19" s="126" t="n">
        <f aca="false">SUM($B$16:C16)/SUM($B$8:C8)</f>
        <v>-0.0490092697042523</v>
      </c>
      <c r="D19" s="126" t="n">
        <f aca="false">SUM($B$16:D16)/SUM($B$8:D8)</f>
        <v>-0.0434746408336074</v>
      </c>
      <c r="E19" s="126" t="n">
        <f aca="false">SUM($B$16:E16)/SUM($B$8:E8)</f>
        <v>-0.0464701167740102</v>
      </c>
      <c r="F19" s="126" t="n">
        <f aca="false">SUM($B$16:F16)/SUM($B$8:F8)</f>
        <v>-0.047454632631151</v>
      </c>
      <c r="G19" s="126" t="n">
        <f aca="false">SUM($B$16:G16)/SUM($B$8:G8)</f>
        <v>-0.0466688530111725</v>
      </c>
      <c r="H19" s="126" t="n">
        <f aca="false">SUM($B$16:H16)/SUM($B$8:H8)</f>
        <v>-0.0426377590191209</v>
      </c>
      <c r="I19" s="126" t="n">
        <f aca="false">SUM($B$16:I16)/SUM($B$8:I8)</f>
        <v>-0.0405862040545837</v>
      </c>
      <c r="J19" s="126" t="n">
        <f aca="false">SUM($B$16:J16)/SUM($B$8:J8)</f>
        <v>-0.0402718727926902</v>
      </c>
      <c r="K19" s="126" t="n">
        <f aca="false">SUM($B$16:K16)/SUM($B$8:K8)</f>
        <v>-0.0400127235073566</v>
      </c>
      <c r="L19" s="126" t="n">
        <f aca="false">SUM($B$16:L16)/SUM($B$8:L8)</f>
        <v>-0.0406884399358794</v>
      </c>
      <c r="M19" s="126" t="n">
        <f aca="false">SUM($B$16:M16)/SUM($B$8:M8)</f>
        <v>-0.040983244321785</v>
      </c>
    </row>
    <row r="20" customFormat="false" ht="12.75" hidden="false" customHeight="false" outlineLevel="0" collapsed="false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</row>
    <row r="21" customFormat="false" ht="12.75" hidden="false" customHeight="false" outlineLevel="0" collapsed="false">
      <c r="A21" s="117" t="s">
        <v>194</v>
      </c>
    </row>
    <row r="23" customFormat="false" ht="12.75" hidden="false" customHeight="false" outlineLevel="0" collapsed="false">
      <c r="A23" s="117" t="s">
        <v>195</v>
      </c>
    </row>
    <row r="24" customFormat="false" ht="12.75" hidden="false" customHeight="false" outlineLevel="0" collapsed="false">
      <c r="A24" s="116" t="s">
        <v>196</v>
      </c>
      <c r="B24" s="127" t="n">
        <f aca="false">108.7-1</f>
        <v>107.7</v>
      </c>
      <c r="C24" s="127" t="n">
        <f aca="false">103.3-8.5</f>
        <v>94.8</v>
      </c>
      <c r="D24" s="127" t="n">
        <f aca="false">95.8-1.1</f>
        <v>94.7</v>
      </c>
      <c r="E24" s="127" t="n">
        <f aca="false">91.1-1.9</f>
        <v>89.2</v>
      </c>
      <c r="F24" s="127" t="n">
        <f aca="false">84.3+1.2</f>
        <v>85.5</v>
      </c>
      <c r="G24" s="127" t="n">
        <f aca="false">83.8-1.7</f>
        <v>82.1</v>
      </c>
      <c r="H24" s="127" t="n">
        <f aca="false">84.4+2.6</f>
        <v>87</v>
      </c>
      <c r="I24" s="127" t="n">
        <f aca="false">86.9+0.4</f>
        <v>87.3</v>
      </c>
      <c r="J24" s="127" t="n">
        <f aca="false">86.8-2.3</f>
        <v>84.5</v>
      </c>
      <c r="K24" s="127" t="n">
        <f aca="false">91.7+4.6</f>
        <v>96.3</v>
      </c>
      <c r="L24" s="127" t="n">
        <f aca="false">97.7+3.9</f>
        <v>101.6</v>
      </c>
      <c r="M24" s="127" t="n">
        <f aca="false">109.1+4.4</f>
        <v>113.5</v>
      </c>
      <c r="N24" s="127" t="n">
        <f aca="false">SUM(B24:M24)</f>
        <v>1124.2</v>
      </c>
    </row>
    <row r="25" customFormat="false" ht="12.75" hidden="false" customHeight="false" outlineLevel="0" collapsed="false">
      <c r="A25" s="116" t="s">
        <v>197</v>
      </c>
      <c r="B25" s="127" t="n">
        <f aca="false">B24+B27</f>
        <v>104.6</v>
      </c>
      <c r="C25" s="127" t="n">
        <f aca="false">C24+C27</f>
        <v>91.9</v>
      </c>
      <c r="D25" s="127" t="n">
        <f aca="false">D24+D27</f>
        <v>91.8</v>
      </c>
      <c r="E25" s="127" t="n">
        <f aca="false">E24+E27</f>
        <v>86.4</v>
      </c>
      <c r="F25" s="127" t="n">
        <f aca="false">F24+F27</f>
        <v>82.8</v>
      </c>
      <c r="G25" s="127" t="n">
        <f aca="false">G24+G27</f>
        <v>80</v>
      </c>
      <c r="H25" s="127" t="n">
        <f aca="false">H24+H27</f>
        <v>83.1</v>
      </c>
      <c r="I25" s="127" t="n">
        <f aca="false">I24+I27</f>
        <v>83.7</v>
      </c>
      <c r="J25" s="127" t="n">
        <f aca="false">J24+J27</f>
        <v>81.2</v>
      </c>
      <c r="K25" s="127" t="n">
        <f aca="false">K24+K27</f>
        <v>92.6</v>
      </c>
      <c r="L25" s="127" t="n">
        <f aca="false">L24+L27</f>
        <v>97.6</v>
      </c>
      <c r="M25" s="127" t="n">
        <f aca="false">M24+M27</f>
        <v>109.3</v>
      </c>
      <c r="N25" s="127" t="n">
        <f aca="false">N24+N27</f>
        <v>1085</v>
      </c>
    </row>
    <row r="26" customFormat="false" ht="12.75" hidden="false" customHeight="false" outlineLevel="0" collapsed="false">
      <c r="A26" s="116" t="s">
        <v>198</v>
      </c>
      <c r="B26" s="127" t="n">
        <v>0</v>
      </c>
      <c r="C26" s="127" t="n">
        <v>0</v>
      </c>
      <c r="D26" s="127" t="n">
        <v>0</v>
      </c>
      <c r="E26" s="127" t="n">
        <v>0</v>
      </c>
      <c r="F26" s="127" t="n">
        <v>0</v>
      </c>
      <c r="G26" s="127" t="n">
        <v>0</v>
      </c>
      <c r="H26" s="127" t="n">
        <v>0</v>
      </c>
      <c r="I26" s="127" t="n">
        <v>0</v>
      </c>
      <c r="J26" s="127" t="n">
        <v>0</v>
      </c>
      <c r="K26" s="127" t="n">
        <v>31.2</v>
      </c>
      <c r="L26" s="127" t="n">
        <v>32.9</v>
      </c>
      <c r="M26" s="127" t="n">
        <v>36.7</v>
      </c>
      <c r="N26" s="127" t="n">
        <f aca="false">SUM(B26:M26)</f>
        <v>100.8</v>
      </c>
    </row>
    <row r="27" customFormat="false" ht="12.75" hidden="false" customHeight="false" outlineLevel="0" collapsed="false">
      <c r="A27" s="116" t="s">
        <v>199</v>
      </c>
      <c r="B27" s="127" t="n">
        <f aca="false">B28-B24</f>
        <v>-3.10000000000001</v>
      </c>
      <c r="C27" s="127" t="n">
        <f aca="false">C28-C24</f>
        <v>-2.89999999999999</v>
      </c>
      <c r="D27" s="127" t="n">
        <f aca="false">D28-D24</f>
        <v>-2.90000000000001</v>
      </c>
      <c r="E27" s="127" t="n">
        <f aca="false">E28-E24</f>
        <v>-2.79999999999998</v>
      </c>
      <c r="F27" s="127" t="n">
        <f aca="false">F28-F24</f>
        <v>-2.7</v>
      </c>
      <c r="G27" s="127" t="n">
        <f aca="false">G28-G24</f>
        <v>-2.09999999999999</v>
      </c>
      <c r="H27" s="127" t="n">
        <f aca="false">H28-H24</f>
        <v>-3.90000000000001</v>
      </c>
      <c r="I27" s="127" t="n">
        <f aca="false">I28-I24</f>
        <v>-3.60000000000001</v>
      </c>
      <c r="J27" s="127" t="n">
        <f aca="false">J28-J24</f>
        <v>-3.3</v>
      </c>
      <c r="K27" s="127" t="n">
        <f aca="false">92.6-K24</f>
        <v>-3.7</v>
      </c>
      <c r="L27" s="127" t="n">
        <f aca="false">97.6-L24</f>
        <v>-4.00000000000001</v>
      </c>
      <c r="M27" s="127" t="n">
        <f aca="false">109.3-M24</f>
        <v>-4.2</v>
      </c>
      <c r="N27" s="127" t="n">
        <f aca="false">SUM(B27:M27)</f>
        <v>-39.2</v>
      </c>
    </row>
    <row r="28" customFormat="false" ht="12.75" hidden="false" customHeight="false" outlineLevel="0" collapsed="false">
      <c r="A28" s="116" t="s">
        <v>200</v>
      </c>
      <c r="B28" s="127" t="n">
        <f aca="false">104.6</f>
        <v>104.6</v>
      </c>
      <c r="C28" s="127" t="n">
        <f aca="false">91.9</f>
        <v>91.9</v>
      </c>
      <c r="D28" s="127" t="n">
        <f aca="false">91.8</f>
        <v>91.8</v>
      </c>
      <c r="E28" s="127" t="n">
        <f aca="false">86.4</f>
        <v>86.4</v>
      </c>
      <c r="F28" s="127" t="n">
        <f aca="false">82.8</f>
        <v>82.8</v>
      </c>
      <c r="G28" s="127" t="n">
        <f aca="false">80</f>
        <v>80</v>
      </c>
      <c r="H28" s="127" t="n">
        <f aca="false">83.1</f>
        <v>83.1</v>
      </c>
      <c r="I28" s="127" t="n">
        <f aca="false">83.7</f>
        <v>83.7</v>
      </c>
      <c r="J28" s="127" t="n">
        <f aca="false">81.2</f>
        <v>81.2</v>
      </c>
      <c r="K28" s="127" t="n">
        <f aca="false">92.6+31.2</f>
        <v>123.8</v>
      </c>
      <c r="L28" s="127" t="n">
        <f aca="false">97.6+32.9</f>
        <v>130.5</v>
      </c>
      <c r="M28" s="127" t="n">
        <f aca="false">109.3+36.7</f>
        <v>146</v>
      </c>
      <c r="N28" s="127" t="n">
        <f aca="false">SUM(B28:M28)</f>
        <v>1185.8</v>
      </c>
    </row>
    <row r="29" customFormat="false" ht="12.75" hidden="false" customHeight="false" outlineLevel="0" collapsed="false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customFormat="false" ht="12.75" hidden="false" customHeight="false" outlineLevel="0" collapsed="false">
      <c r="A30" s="117" t="s">
        <v>201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customFormat="false" ht="12.75" hidden="false" customHeight="false" outlineLevel="0" collapsed="false">
      <c r="A31" s="116" t="s">
        <v>197</v>
      </c>
      <c r="B31" s="127" t="n">
        <v>96.9</v>
      </c>
      <c r="C31" s="127" t="n">
        <v>88.7</v>
      </c>
      <c r="D31" s="127" t="n">
        <v>90.1</v>
      </c>
      <c r="E31" s="127" t="n">
        <v>80.3</v>
      </c>
      <c r="F31" s="127" t="n">
        <v>80.9</v>
      </c>
      <c r="G31" s="127" t="n">
        <v>76.1</v>
      </c>
      <c r="H31" s="127" t="n">
        <v>81.7</v>
      </c>
      <c r="I31" s="127" t="n">
        <v>82</v>
      </c>
      <c r="J31" s="127" t="n">
        <v>85.2</v>
      </c>
      <c r="K31" s="127" t="n">
        <f aca="false">117.8-K32</f>
        <v>86.1</v>
      </c>
      <c r="L31" s="127" t="n">
        <f aca="false">122.8-L32</f>
        <v>89.4</v>
      </c>
      <c r="M31" s="127" t="n">
        <f aca="false">137.2-M32</f>
        <v>99.9</v>
      </c>
      <c r="N31" s="127" t="n">
        <f aca="false">SUM(B31:M31)</f>
        <v>1037.3</v>
      </c>
    </row>
    <row r="32" customFormat="false" ht="12.75" hidden="false" customHeight="false" outlineLevel="0" collapsed="false">
      <c r="A32" s="116" t="s">
        <v>198</v>
      </c>
      <c r="B32" s="127" t="n">
        <v>0</v>
      </c>
      <c r="C32" s="127" t="n">
        <v>0</v>
      </c>
      <c r="D32" s="127" t="n">
        <v>0</v>
      </c>
      <c r="E32" s="127" t="n">
        <v>0</v>
      </c>
      <c r="F32" s="127" t="n">
        <v>0</v>
      </c>
      <c r="G32" s="127" t="n">
        <v>0</v>
      </c>
      <c r="H32" s="127" t="n">
        <v>0</v>
      </c>
      <c r="I32" s="127" t="n">
        <v>0</v>
      </c>
      <c r="J32" s="127" t="n">
        <v>0</v>
      </c>
      <c r="K32" s="127" t="n">
        <v>31.7</v>
      </c>
      <c r="L32" s="127" t="n">
        <v>33.4</v>
      </c>
      <c r="M32" s="127" t="n">
        <v>37.3</v>
      </c>
      <c r="N32" s="127" t="n">
        <f aca="false">SUM(B32:M32)</f>
        <v>102.4</v>
      </c>
    </row>
    <row r="33" customFormat="false" ht="12.75" hidden="false" customHeight="false" outlineLevel="0" collapsed="false">
      <c r="A33" s="116" t="s">
        <v>202</v>
      </c>
      <c r="B33" s="127" t="n">
        <f aca="false">SUM(B31:B32)</f>
        <v>96.9</v>
      </c>
      <c r="C33" s="127" t="n">
        <f aca="false">SUM(C31:C32)</f>
        <v>88.7</v>
      </c>
      <c r="D33" s="127" t="n">
        <f aca="false">SUM(D31:D32)</f>
        <v>90.1</v>
      </c>
      <c r="E33" s="127" t="n">
        <f aca="false">SUM(E31:E32)</f>
        <v>80.3</v>
      </c>
      <c r="F33" s="127" t="n">
        <f aca="false">SUM(F31:F32)</f>
        <v>80.9</v>
      </c>
      <c r="G33" s="127" t="n">
        <f aca="false">SUM(G31:G32)</f>
        <v>76.1</v>
      </c>
      <c r="H33" s="127" t="n">
        <f aca="false">SUM(H31:H32)</f>
        <v>81.7</v>
      </c>
      <c r="I33" s="127" t="n">
        <f aca="false">SUM(I31:I32)</f>
        <v>82</v>
      </c>
      <c r="J33" s="127" t="n">
        <f aca="false">SUM(J31:J32)</f>
        <v>85.2</v>
      </c>
      <c r="K33" s="127" t="n">
        <f aca="false">SUM(K31:K32)</f>
        <v>117.8</v>
      </c>
      <c r="L33" s="127" t="n">
        <f aca="false">SUM(L31:L32)</f>
        <v>122.8</v>
      </c>
      <c r="M33" s="127" t="n">
        <f aca="false">SUM(M31:M32)</f>
        <v>137.2</v>
      </c>
      <c r="N33" s="127" t="n">
        <f aca="false">SUM(N31:N32)</f>
        <v>1139.7</v>
      </c>
    </row>
    <row r="34" customFormat="false" ht="12.75" hidden="false" customHeight="false" outlineLevel="0" collapsed="false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</row>
    <row r="35" customFormat="false" ht="12.75" hidden="false" customHeight="false" outlineLevel="0" collapsed="false">
      <c r="A35" s="116" t="s">
        <v>203</v>
      </c>
      <c r="B35" s="128" t="n">
        <f aca="false">B33-B28</f>
        <v>-7.69999999999999</v>
      </c>
      <c r="C35" s="128" t="n">
        <f aca="false">C33-C28</f>
        <v>-3.2</v>
      </c>
      <c r="D35" s="128" t="n">
        <f aca="false">D33-D28</f>
        <v>-1.7</v>
      </c>
      <c r="E35" s="128" t="n">
        <f aca="false">E33-E28</f>
        <v>-6.10000000000001</v>
      </c>
      <c r="F35" s="128" t="n">
        <f aca="false">F33-F28</f>
        <v>-1.89999999999999</v>
      </c>
      <c r="G35" s="128" t="n">
        <f aca="false">G33-G28</f>
        <v>-3.90000000000001</v>
      </c>
      <c r="H35" s="128" t="n">
        <f aca="false">H33-H28</f>
        <v>-1.39999999999999</v>
      </c>
      <c r="I35" s="128" t="n">
        <f aca="false">I33-I28</f>
        <v>-1.7</v>
      </c>
      <c r="J35" s="128" t="n">
        <f aca="false">J33-J28</f>
        <v>4</v>
      </c>
      <c r="K35" s="128" t="n">
        <f aca="false">K33-K28</f>
        <v>-6</v>
      </c>
      <c r="L35" s="128" t="n">
        <f aca="false">L33-L28</f>
        <v>-7.69999999999999</v>
      </c>
      <c r="M35" s="128" t="n">
        <f aca="false">M33-M28</f>
        <v>-8.80000000000001</v>
      </c>
      <c r="N35" s="128" t="n">
        <f aca="false">SUM(B35:M35)</f>
        <v>-46.1</v>
      </c>
    </row>
    <row r="36" customFormat="false" ht="12.75" hidden="false" customHeight="false" outlineLevel="0" collapsed="false">
      <c r="A36" s="116" t="s">
        <v>191</v>
      </c>
      <c r="B36" s="128" t="n">
        <f aca="false">B35</f>
        <v>-7.69999999999999</v>
      </c>
      <c r="C36" s="128" t="n">
        <f aca="false">SUM($B$35:C35)</f>
        <v>-10.9</v>
      </c>
      <c r="D36" s="128" t="n">
        <f aca="false">SUM($B$35:D35)</f>
        <v>-12.6</v>
      </c>
      <c r="E36" s="128" t="n">
        <f aca="false">SUM($B$35:E35)</f>
        <v>-18.7</v>
      </c>
      <c r="F36" s="128" t="n">
        <f aca="false">SUM($B$35:F35)</f>
        <v>-20.6</v>
      </c>
      <c r="G36" s="128" t="n">
        <f aca="false">SUM($B$35:G35)</f>
        <v>-24.5</v>
      </c>
      <c r="H36" s="128" t="n">
        <f aca="false">SUM($B$35:H35)</f>
        <v>-25.9</v>
      </c>
      <c r="I36" s="128" t="n">
        <f aca="false">SUM($B$35:I35)</f>
        <v>-27.6</v>
      </c>
      <c r="J36" s="128" t="n">
        <f aca="false">SUM($B$35:J35)</f>
        <v>-23.6</v>
      </c>
      <c r="K36" s="128" t="n">
        <f aca="false">SUM($B$35:K35)</f>
        <v>-29.6</v>
      </c>
      <c r="L36" s="128" t="n">
        <f aca="false">SUM($B$35:L35)</f>
        <v>-37.3</v>
      </c>
      <c r="M36" s="128" t="n">
        <f aca="false">SUM($B$35:M35)</f>
        <v>-46.1</v>
      </c>
    </row>
    <row r="37" customFormat="false" ht="12.75" hidden="false" customHeight="false" outlineLevel="0" collapsed="false">
      <c r="A37" s="116" t="s">
        <v>192</v>
      </c>
      <c r="B37" s="126" t="n">
        <f aca="false">B35/B25</f>
        <v>-0.0736137667304014</v>
      </c>
      <c r="C37" s="126" t="n">
        <f aca="false">C35/C25</f>
        <v>-0.0348204570184984</v>
      </c>
      <c r="D37" s="126" t="n">
        <f aca="false">D35/D25</f>
        <v>-0.0185185185185186</v>
      </c>
      <c r="E37" s="126" t="n">
        <f aca="false">E35/E25</f>
        <v>-0.0706018518518519</v>
      </c>
      <c r="F37" s="126" t="n">
        <f aca="false">F35/F25</f>
        <v>-0.0229468599033815</v>
      </c>
      <c r="G37" s="126" t="n">
        <f aca="false">G35/G25</f>
        <v>-0.0487500000000001</v>
      </c>
      <c r="H37" s="126" t="n">
        <f aca="false">H35/H25</f>
        <v>-0.016847172081829</v>
      </c>
      <c r="I37" s="126" t="n">
        <f aca="false">I35/I25</f>
        <v>-0.0203106332138591</v>
      </c>
      <c r="J37" s="126" t="n">
        <f aca="false">J35/J25</f>
        <v>0.0492610837438424</v>
      </c>
      <c r="K37" s="126" t="n">
        <f aca="false">K35/K25</f>
        <v>-0.0647948164146868</v>
      </c>
      <c r="L37" s="126" t="n">
        <f aca="false">L35/L25</f>
        <v>-0.0788934426229507</v>
      </c>
      <c r="M37" s="126" t="n">
        <f aca="false">M35/M25</f>
        <v>-0.0805123513266241</v>
      </c>
    </row>
    <row r="38" customFormat="false" ht="12.75" hidden="false" customHeight="false" outlineLevel="0" collapsed="false">
      <c r="A38" s="116" t="s">
        <v>193</v>
      </c>
      <c r="B38" s="126" t="n">
        <f aca="false">B36/B25</f>
        <v>-0.0736137667304014</v>
      </c>
      <c r="C38" s="126" t="n">
        <f aca="false">C36/SUM($B$25:C25)</f>
        <v>-0.055470737913486</v>
      </c>
      <c r="D38" s="126" t="n">
        <f aca="false">D36/SUM($B$25:D25)</f>
        <v>-0.0437044745057232</v>
      </c>
      <c r="E38" s="126" t="n">
        <f aca="false">E36/SUM($B$25:E25)</f>
        <v>-0.0499065919402188</v>
      </c>
      <c r="F38" s="126" t="n">
        <f aca="false">F36/SUM($B$25:F25)</f>
        <v>-0.0450273224043716</v>
      </c>
      <c r="G38" s="126" t="n">
        <f aca="false">G36/SUM($B$25:G25)</f>
        <v>-0.0455813953488372</v>
      </c>
      <c r="H38" s="126" t="n">
        <f aca="false">H36/SUM($B$25:H25)</f>
        <v>-0.0417338059941991</v>
      </c>
      <c r="I38" s="126" t="n">
        <f aca="false">I36/SUM($B$25:I25)</f>
        <v>-0.0391878460883146</v>
      </c>
      <c r="J38" s="126" t="n">
        <f aca="false">J36/SUM($B$25:J25)</f>
        <v>-0.03004455760662</v>
      </c>
      <c r="K38" s="126" t="n">
        <f aca="false">K36/SUM($B$25:K25)</f>
        <v>-0.0337091447443344</v>
      </c>
      <c r="L38" s="126" t="n">
        <f aca="false">L36/SUM($B$25:L25)</f>
        <v>-0.0382289638208466</v>
      </c>
      <c r="M38" s="126" t="n">
        <f aca="false">M36/SUM($B$25:M25)</f>
        <v>-0.0424884792626728</v>
      </c>
    </row>
    <row r="39" customFormat="false" ht="12.75" hidden="false" customHeight="false" outlineLevel="0" collapsed="false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</row>
    <row r="40" customFormat="false" ht="12.75" hidden="false" customHeight="false" outlineLevel="0" collapsed="false">
      <c r="A40" s="117" t="s">
        <v>204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</row>
    <row r="41" customFormat="false" ht="12.75" hidden="false" customHeight="false" outlineLevel="0" collapsed="false">
      <c r="A41" s="116" t="s">
        <v>205</v>
      </c>
      <c r="B41" s="129" t="n">
        <v>6.2</v>
      </c>
      <c r="C41" s="130" t="n">
        <f aca="false">B41/N25</f>
        <v>0.00571428571428571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</row>
    <row r="42" customFormat="false" ht="12.75" hidden="false" customHeight="false" outlineLevel="0" collapsed="false">
      <c r="A42" s="116" t="s">
        <v>206</v>
      </c>
      <c r="B42" s="121" t="n">
        <f aca="false">(B41*1000000)/(0.05*1000)</f>
        <v>124000</v>
      </c>
      <c r="C42" s="130" t="n">
        <f aca="false">B42/SUM(B8:M8)</f>
        <v>0.00570822920418446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</row>
    <row r="43" customFormat="false" ht="12.75" hidden="false" customHeight="false" outlineLevel="0" collapsed="false">
      <c r="A43" s="117"/>
      <c r="B43" s="131"/>
      <c r="C43" s="131"/>
      <c r="D43" s="131"/>
      <c r="E43" s="126"/>
      <c r="F43" s="126"/>
      <c r="G43" s="126"/>
      <c r="H43" s="126"/>
      <c r="I43" s="126"/>
      <c r="J43" s="126"/>
      <c r="K43" s="126"/>
      <c r="L43" s="126"/>
      <c r="M43" s="126"/>
    </row>
    <row r="45" customFormat="false" ht="12.75" hidden="false" customHeight="false" outlineLevel="0" collapsed="false">
      <c r="A45" s="116" t="s">
        <v>207</v>
      </c>
    </row>
    <row r="46" customFormat="false" ht="12.75" hidden="false" customHeight="false" outlineLevel="0" collapsed="false">
      <c r="A46" s="116" t="s">
        <v>208</v>
      </c>
    </row>
    <row r="47" customFormat="false" ht="12.75" hidden="false" customHeight="false" outlineLevel="0" collapsed="false">
      <c r="A47" s="116" t="s">
        <v>209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5" ySplit="5" topLeftCell="K41" activePane="bottomRight" state="frozen"/>
      <selection pane="topLeft" activeCell="A1" activeCellId="0" sqref="A1"/>
      <selection pane="topRight" activeCell="K1" activeCellId="0" sqref="K1"/>
      <selection pane="bottomLeft" activeCell="A41" activeCellId="0" sqref="A41"/>
      <selection pane="bottomRight" activeCell="F60" activeCellId="0" sqref="F60:N6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6" width="4.99"/>
    <col collapsed="false" customWidth="false" hidden="false" outlineLevel="0" max="5" min="3" style="16" width="9.14"/>
    <col collapsed="false" customWidth="true" hidden="false" outlineLevel="0" max="6" min="6" style="16" width="10.28"/>
    <col collapsed="false" customWidth="true" hidden="false" outlineLevel="0" max="7" min="7" style="16" width="11.56"/>
    <col collapsed="false" customWidth="true" hidden="false" outlineLevel="0" max="8" min="8" style="16" width="10.85"/>
    <col collapsed="false" customWidth="true" hidden="false" outlineLevel="0" max="9" min="9" style="16" width="10.28"/>
    <col collapsed="false" customWidth="true" hidden="false" outlineLevel="0" max="10" min="10" style="16" width="9.99"/>
    <col collapsed="false" customWidth="true" hidden="false" outlineLevel="0" max="11" min="11" style="16" width="10.13"/>
    <col collapsed="false" customWidth="true" hidden="false" outlineLevel="0" max="12" min="12" style="16" width="10.41"/>
    <col collapsed="false" customWidth="true" hidden="false" outlineLevel="0" max="13" min="13" style="16" width="9.85"/>
    <col collapsed="false" customWidth="true" hidden="false" outlineLevel="0" max="14" min="14" style="16" width="10.28"/>
    <col collapsed="false" customWidth="true" hidden="false" outlineLevel="0" max="17" min="15" style="16" width="9.7"/>
    <col collapsed="false" customWidth="true" hidden="false" outlineLevel="0" max="18" min="18" style="16" width="13.7"/>
    <col collapsed="false" customWidth="false" hidden="false" outlineLevel="0" max="19" min="19" style="16" width="9.14"/>
    <col collapsed="false" customWidth="true" hidden="false" outlineLevel="0" max="20" min="20" style="16" width="11.99"/>
    <col collapsed="false" customWidth="false" hidden="false" outlineLevel="0" max="257" min="21" style="16" width="9.14"/>
  </cols>
  <sheetData>
    <row r="1" customFormat="false" ht="26.25" hidden="false" customHeight="false" outlineLevel="0" collapsed="false">
      <c r="A1" s="17" t="s">
        <v>47</v>
      </c>
      <c r="B1" s="17"/>
      <c r="C1" s="17"/>
      <c r="F1" s="18" t="s">
        <v>48</v>
      </c>
      <c r="G1" s="19"/>
      <c r="H1" s="19"/>
      <c r="I1" s="20"/>
      <c r="J1" s="21" t="s">
        <v>49</v>
      </c>
      <c r="K1" s="22"/>
      <c r="L1" s="23" t="s">
        <v>50</v>
      </c>
    </row>
    <row r="2" customFormat="false" ht="12.75" hidden="false" customHeight="false" outlineLevel="0" collapsed="false">
      <c r="A2" s="17" t="s">
        <v>51</v>
      </c>
      <c r="B2" s="17"/>
      <c r="C2" s="17"/>
      <c r="F2" s="24" t="s">
        <v>52</v>
      </c>
      <c r="G2" s="22"/>
      <c r="H2" s="22"/>
      <c r="I2" s="25"/>
      <c r="J2" s="21"/>
      <c r="K2" s="22"/>
      <c r="N2" s="26"/>
    </row>
    <row r="3" customFormat="false" ht="13.5" hidden="false" customHeight="false" outlineLevel="0" collapsed="false">
      <c r="F3" s="27" t="s">
        <v>53</v>
      </c>
      <c r="G3" s="28"/>
      <c r="H3" s="29"/>
      <c r="I3" s="30"/>
      <c r="J3" s="22"/>
      <c r="K3" s="22"/>
      <c r="L3" s="31"/>
      <c r="M3" s="31"/>
      <c r="N3" s="21"/>
      <c r="O3" s="32"/>
      <c r="P3" s="31"/>
    </row>
    <row r="4" customFormat="false" ht="12.75" hidden="false" customHeight="false" outlineLevel="0" collapsed="false">
      <c r="N4" s="33"/>
    </row>
    <row r="5" customFormat="false" ht="12.75" hidden="false" customHeight="false" outlineLevel="0" collapsed="false">
      <c r="F5" s="34" t="s">
        <v>54</v>
      </c>
      <c r="G5" s="34" t="s">
        <v>55</v>
      </c>
      <c r="H5" s="34" t="s">
        <v>56</v>
      </c>
      <c r="I5" s="34" t="s">
        <v>57</v>
      </c>
      <c r="J5" s="34" t="s">
        <v>58</v>
      </c>
      <c r="K5" s="34" t="s">
        <v>59</v>
      </c>
      <c r="L5" s="34" t="s">
        <v>60</v>
      </c>
      <c r="M5" s="34" t="s">
        <v>61</v>
      </c>
      <c r="N5" s="35" t="s">
        <v>62</v>
      </c>
      <c r="O5" s="34" t="s">
        <v>63</v>
      </c>
      <c r="P5" s="34" t="s">
        <v>64</v>
      </c>
      <c r="Q5" s="34" t="s">
        <v>65</v>
      </c>
      <c r="R5" s="34" t="s">
        <v>66</v>
      </c>
      <c r="T5" s="36" t="s">
        <v>67</v>
      </c>
    </row>
    <row r="6" customFormat="false" ht="12.75" hidden="false" customHeight="false" outlineLevel="0" collapsed="false">
      <c r="N6" s="33"/>
    </row>
    <row r="7" customFormat="false" ht="12.75" hidden="false" customHeight="false" outlineLevel="0" collapsed="false">
      <c r="A7" s="16" t="s">
        <v>68</v>
      </c>
      <c r="N7" s="33"/>
    </row>
    <row r="8" customFormat="false" ht="12.75" hidden="false" customHeight="false" outlineLevel="0" collapsed="false">
      <c r="B8" s="16" t="s">
        <v>69</v>
      </c>
      <c r="F8" s="16" t="n">
        <v>150083</v>
      </c>
      <c r="G8" s="16" t="n">
        <v>127850</v>
      </c>
      <c r="H8" s="16" t="n">
        <v>115264</v>
      </c>
      <c r="I8" s="16" t="n">
        <v>157783</v>
      </c>
      <c r="J8" s="16" t="n">
        <v>158516</v>
      </c>
      <c r="K8" s="16" t="n">
        <f aca="false">1680+170064</f>
        <v>171744</v>
      </c>
      <c r="L8" s="16" t="n">
        <f aca="false">[2]PwrCsOut!H39+[2]PwrCsOut!H46+[2]PwrCsOut!H219-[2]PwrCsOut!H50-[2]PwrCsOut!H51-[2]PwrCsOut!H58-[2]PwrCsOut!H59-[2]PwrCsOut!H60-[2]PwrCsOut!H61-[2]PwrCsOut!H62</f>
        <v>231928.423345703</v>
      </c>
      <c r="M8" s="16" t="n">
        <f aca="false">[2]PwrCsOut!I39+[2]PwrCsOut!I46+[2]PwrCsOut!I219-[2]PwrCsOut!I50-[2]PwrCsOut!I51-[2]PwrCsOut!I58-[2]PwrCsOut!I59-[2]PwrCsOut!I60-[2]PwrCsOut!I61-[2]PwrCsOut!I62</f>
        <v>206134.176037109</v>
      </c>
      <c r="N8" s="33" t="n">
        <f aca="false">[2]PwrCsOut!J39+[2]PwrCsOut!J46+[2]PwrCsOut!J219-[2]PwrCsOut!J50-[2]PwrCsOut!J51-[2]PwrCsOut!J58-[2]PwrCsOut!J59-[2]PwrCsOut!J60-[2]PwrCsOut!J61-[2]PwrCsOut!J62</f>
        <v>200603.358363281</v>
      </c>
      <c r="O8" s="16" t="n">
        <f aca="false">[2]PwrCsOut!K39+[2]PwrCsOut!K46+[2]PwrCsOut!K219-[2]PwrCsOut!K50-[2]PwrCsOut!K51-[2]PwrCsOut!K58-[2]PwrCsOut!K59-[2]PwrCsOut!K60-[2]PwrCsOut!K61-[2]PwrCsOut!K62</f>
        <v>122611.521568359</v>
      </c>
      <c r="P8" s="16" t="n">
        <f aca="false">[2]PwrCsOut!L39+[2]PwrCsOut!L46+[2]PwrCsOut!L219-[2]PwrCsOut!L50-[2]PwrCsOut!L51-[2]PwrCsOut!L58-[2]PwrCsOut!L59-[2]PwrCsOut!L60-[2]PwrCsOut!L61-[2]PwrCsOut!L62</f>
        <v>115777.185929688</v>
      </c>
      <c r="Q8" s="16" t="n">
        <f aca="false">[2]PwrCsOut!M39+[2]PwrCsOut!M46+[2]PwrCsOut!M219-[2]PwrCsOut!M50-[2]PwrCsOut!M51-[2]PwrCsOut!M58-[2]PwrCsOut!M59-[2]PwrCsOut!M60-[2]PwrCsOut!M61-[2]PwrCsOut!M62</f>
        <v>135252.620068359</v>
      </c>
      <c r="R8" s="16" t="n">
        <f aca="false">SUM(F8:Q8)</f>
        <v>1893547.2853125</v>
      </c>
      <c r="T8" s="16" t="n">
        <f aca="false">SUM(F8:N8)</f>
        <v>1519905.95774609</v>
      </c>
    </row>
    <row r="9" customFormat="false" ht="12.75" hidden="false" customHeight="false" outlineLevel="0" collapsed="false">
      <c r="B9" s="16" t="s">
        <v>70</v>
      </c>
      <c r="F9" s="16" t="n">
        <v>2778</v>
      </c>
      <c r="G9" s="16" t="n">
        <v>-6816</v>
      </c>
      <c r="H9" s="16" t="n">
        <v>2750</v>
      </c>
      <c r="I9" s="16" t="n">
        <v>-1255</v>
      </c>
      <c r="J9" s="16" t="n">
        <v>2720</v>
      </c>
      <c r="N9" s="33"/>
      <c r="R9" s="16" t="n">
        <f aca="false">SUM(F9:Q9)</f>
        <v>177</v>
      </c>
      <c r="T9" s="16" t="n">
        <f aca="false">SUM(F9:N9)</f>
        <v>177</v>
      </c>
    </row>
    <row r="10" customFormat="false" ht="12.75" hidden="false" customHeight="false" outlineLevel="0" collapsed="false">
      <c r="A10" s="22"/>
      <c r="B10" s="22" t="s">
        <v>71</v>
      </c>
      <c r="C10" s="22"/>
      <c r="D10" s="22"/>
      <c r="E10" s="22"/>
      <c r="F10" s="22" t="n">
        <v>1851</v>
      </c>
      <c r="G10" s="22" t="n">
        <v>699</v>
      </c>
      <c r="H10" s="22" t="n">
        <v>1054</v>
      </c>
      <c r="I10" s="22" t="n">
        <v>4081</v>
      </c>
      <c r="J10" s="22" t="n">
        <v>6268</v>
      </c>
      <c r="K10" s="22" t="n">
        <v>5800</v>
      </c>
      <c r="L10" s="22"/>
      <c r="M10" s="22"/>
      <c r="N10" s="33"/>
      <c r="O10" s="22"/>
      <c r="P10" s="22"/>
      <c r="Q10" s="22"/>
      <c r="R10" s="22" t="n">
        <f aca="false">SUM(F10:Q10)</f>
        <v>19753</v>
      </c>
      <c r="S10" s="22"/>
      <c r="T10" s="16" t="n">
        <f aca="false">SUM(F10:N10)</f>
        <v>19753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.75" hidden="false" customHeight="false" outlineLevel="0" collapsed="false">
      <c r="A11" s="22"/>
      <c r="B11" s="21" t="s">
        <v>72</v>
      </c>
      <c r="C11" s="22"/>
      <c r="D11" s="22"/>
      <c r="E11" s="22"/>
      <c r="F11" s="22" t="n">
        <v>8135</v>
      </c>
      <c r="G11" s="22" t="n">
        <v>-5059</v>
      </c>
      <c r="H11" s="22" t="n">
        <v>-12505</v>
      </c>
      <c r="I11" s="22" t="n">
        <v>-2611</v>
      </c>
      <c r="J11" s="22" t="n">
        <v>-2008</v>
      </c>
      <c r="K11" s="22" t="n">
        <v>-7909</v>
      </c>
      <c r="L11" s="22" t="n">
        <v>14865</v>
      </c>
      <c r="M11" s="22" t="n">
        <v>16642</v>
      </c>
      <c r="N11" s="33" t="n">
        <v>16085</v>
      </c>
      <c r="O11" s="22" t="n">
        <v>-4300</v>
      </c>
      <c r="P11" s="22" t="n">
        <v>-3698</v>
      </c>
      <c r="Q11" s="22" t="n">
        <v>-3740</v>
      </c>
      <c r="R11" s="22" t="n">
        <f aca="false">SUM(F11:Q11)</f>
        <v>13897</v>
      </c>
      <c r="S11" s="22"/>
      <c r="T11" s="16" t="n">
        <f aca="false">SUM(F11:N11)</f>
        <v>25635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4.25" hidden="false" customHeight="true" outlineLevel="0" collapsed="false">
      <c r="B12" s="16" t="s">
        <v>73</v>
      </c>
      <c r="F12" s="37" t="n">
        <v>43404</v>
      </c>
      <c r="G12" s="37" t="n">
        <v>20602</v>
      </c>
      <c r="H12" s="37" t="n">
        <v>45124</v>
      </c>
      <c r="I12" s="37" t="n">
        <v>38634</v>
      </c>
      <c r="J12" s="37" t="n">
        <v>36516</v>
      </c>
      <c r="K12" s="37" t="n">
        <v>2942</v>
      </c>
      <c r="L12" s="37" t="n">
        <f aca="false">[2]PwrCsOut!H365</f>
        <v>5930.3545</v>
      </c>
      <c r="M12" s="37" t="n">
        <f aca="false">[2]PwrCsOut!I365</f>
        <v>4511.498</v>
      </c>
      <c r="N12" s="38" t="n">
        <f aca="false">[2]PwrCsOut!J365</f>
        <v>1928.9015</v>
      </c>
      <c r="O12" s="37" t="n">
        <f aca="false">[2]PwrCsOut!K365</f>
        <v>106.1806875</v>
      </c>
      <c r="P12" s="37" t="n">
        <f aca="false">[2]PwrCsOut!L365</f>
        <v>414.18153125</v>
      </c>
      <c r="Q12" s="37" t="n">
        <f aca="false">[2]PwrCsOut!M365</f>
        <v>1702.583375</v>
      </c>
      <c r="R12" s="37" t="n">
        <f aca="false">SUM(F12:Q12)</f>
        <v>201815.69959375</v>
      </c>
      <c r="T12" s="37" t="n">
        <f aca="false">SUM(F12:N12)</f>
        <v>199592.754</v>
      </c>
    </row>
    <row r="13" customFormat="false" ht="12.75" hidden="false" customHeight="false" outlineLevel="0" collapsed="false">
      <c r="N13" s="33"/>
    </row>
    <row r="14" customFormat="false" ht="12.75" hidden="false" customHeight="false" outlineLevel="0" collapsed="false">
      <c r="C14" s="16" t="s">
        <v>74</v>
      </c>
      <c r="F14" s="37" t="n">
        <f aca="false">SUM(F8:F12)</f>
        <v>206251</v>
      </c>
      <c r="G14" s="37" t="n">
        <f aca="false">SUM(G8:G12)</f>
        <v>137276</v>
      </c>
      <c r="H14" s="37" t="n">
        <f aca="false">SUM(H8:H12)</f>
        <v>151687</v>
      </c>
      <c r="I14" s="37" t="n">
        <f aca="false">SUM(I8:I12)</f>
        <v>196632</v>
      </c>
      <c r="J14" s="37" t="n">
        <f aca="false">SUM(J8:J12)</f>
        <v>202012</v>
      </c>
      <c r="K14" s="37" t="n">
        <f aca="false">SUM(K8:K12)</f>
        <v>172577</v>
      </c>
      <c r="L14" s="37" t="n">
        <f aca="false">SUM(L8:L12)</f>
        <v>252723.777845703</v>
      </c>
      <c r="M14" s="37" t="n">
        <f aca="false">SUM(M8:M12)</f>
        <v>227287.674037109</v>
      </c>
      <c r="N14" s="38" t="n">
        <f aca="false">SUM(N8:N12)</f>
        <v>218617.259863281</v>
      </c>
      <c r="O14" s="37" t="n">
        <f aca="false">SUM(O8:O12)</f>
        <v>118417.702255859</v>
      </c>
      <c r="P14" s="37" t="n">
        <f aca="false">SUM(P8:P12)</f>
        <v>112493.367460938</v>
      </c>
      <c r="Q14" s="37" t="n">
        <f aca="false">SUM(Q8:Q12)</f>
        <v>133215.203443359</v>
      </c>
      <c r="R14" s="37" t="n">
        <f aca="false">SUM(R8:R12)</f>
        <v>2129189.98490625</v>
      </c>
      <c r="T14" s="37" t="n">
        <f aca="false">SUM(T8:T12)</f>
        <v>1765063.71174609</v>
      </c>
    </row>
    <row r="15" customFormat="false" ht="12.75" hidden="false" customHeight="false" outlineLevel="0" collapsed="false">
      <c r="N15" s="33"/>
    </row>
    <row r="16" customFormat="false" ht="12.75" hidden="false" customHeight="false" outlineLevel="0" collapsed="false">
      <c r="B16" s="16" t="s">
        <v>75</v>
      </c>
      <c r="F16" s="16" t="n">
        <v>2365</v>
      </c>
      <c r="G16" s="16" t="n">
        <v>2757</v>
      </c>
      <c r="H16" s="16" t="n">
        <v>3165</v>
      </c>
      <c r="I16" s="16" t="n">
        <v>3101</v>
      </c>
      <c r="J16" s="16" t="n">
        <v>3008</v>
      </c>
      <c r="K16" s="16" t="n">
        <v>3079</v>
      </c>
      <c r="L16" s="16" t="n">
        <f aca="false">[2]PwrCsOut!H362</f>
        <v>3197.84925</v>
      </c>
      <c r="M16" s="16" t="n">
        <f aca="false">[2]PwrCsOut!I362</f>
        <v>3197.84925</v>
      </c>
      <c r="N16" s="33" t="n">
        <f aca="false">[2]PwrCsOut!J362</f>
        <v>3195.7645</v>
      </c>
      <c r="O16" s="16" t="n">
        <f aca="false">[2]PwrCsOut!K362</f>
        <v>4830.832</v>
      </c>
      <c r="P16" s="16" t="n">
        <f aca="false">[2]PwrCsOut!L362</f>
        <v>4828.8065</v>
      </c>
      <c r="Q16" s="16" t="n">
        <f aca="false">[2]PwrCsOut!M362</f>
        <v>4614.871</v>
      </c>
      <c r="R16" s="16" t="n">
        <f aca="false">SUM(F16:Q16)</f>
        <v>41340.9725</v>
      </c>
      <c r="T16" s="16" t="n">
        <f aca="false">SUM(F16:N16)</f>
        <v>27066.463</v>
      </c>
    </row>
    <row r="17" customFormat="false" ht="12.75" hidden="false" customHeight="false" outlineLevel="0" collapsed="false">
      <c r="N17" s="33"/>
    </row>
    <row r="18" customFormat="false" ht="12.75" hidden="false" customHeight="false" outlineLevel="0" collapsed="false">
      <c r="A18" s="16" t="s">
        <v>76</v>
      </c>
      <c r="N18" s="33"/>
    </row>
    <row r="19" customFormat="false" ht="12.75" hidden="false" customHeight="false" outlineLevel="0" collapsed="false">
      <c r="B19" s="16" t="s">
        <v>77</v>
      </c>
      <c r="N19" s="33"/>
    </row>
    <row r="20" customFormat="false" ht="12.75" hidden="false" customHeight="false" outlineLevel="0" collapsed="false">
      <c r="C20" s="16" t="s">
        <v>78</v>
      </c>
      <c r="N20" s="33"/>
      <c r="R20" s="16" t="n">
        <f aca="false">SUM(F20:Q20)</f>
        <v>0</v>
      </c>
    </row>
    <row r="21" customFormat="false" ht="12.75" hidden="false" customHeight="false" outlineLevel="0" collapsed="false">
      <c r="C21" s="16" t="s">
        <v>79</v>
      </c>
      <c r="F21" s="16" t="n">
        <v>957</v>
      </c>
      <c r="G21" s="16" t="n">
        <v>1470</v>
      </c>
      <c r="H21" s="16" t="n">
        <v>1037</v>
      </c>
      <c r="I21" s="16" t="n">
        <v>722</v>
      </c>
      <c r="J21" s="16" t="n">
        <v>728</v>
      </c>
      <c r="K21" s="16" t="n">
        <v>1140</v>
      </c>
      <c r="L21" s="16" t="n">
        <f aca="false">[2]PwrCsOut!H24+[2]PwrCsOut!H23+[2]PwrCsOut!H349+[2]PwrCsOut!H356</f>
        <v>1188.22662695312</v>
      </c>
      <c r="M21" s="16" t="n">
        <f aca="false">[2]PwrCsOut!I24+[2]PwrCsOut!I23+[2]PwrCsOut!I349+[2]PwrCsOut!I356</f>
        <v>1188.22662695312</v>
      </c>
      <c r="N21" s="33" t="n">
        <f aca="false">[2]PwrCsOut!J24+[2]PwrCsOut!J23+[2]PwrCsOut!J349+[2]PwrCsOut!J356</f>
        <v>1158.85280273437</v>
      </c>
      <c r="O21" s="16" t="n">
        <f aca="false">[2]PwrCsOut!K24+[2]PwrCsOut!K23+[2]PwrCsOut!K349+[2]PwrCsOut!K356</f>
        <v>1188.22662695312</v>
      </c>
      <c r="P21" s="16" t="n">
        <f aca="false">[2]PwrCsOut!L24+[2]PwrCsOut!L23+[2]PwrCsOut!L349+[2]PwrCsOut!L356</f>
        <v>1158.85280273437</v>
      </c>
      <c r="Q21" s="16" t="n">
        <f aca="false">[2]PwrCsOut!M24+[2]PwrCsOut!M23+[2]PwrCsOut!M349+[2]PwrCsOut!M356</f>
        <v>1188.22662695312</v>
      </c>
      <c r="R21" s="16" t="n">
        <f aca="false">SUM(F21:Q21)</f>
        <v>13124.6121132813</v>
      </c>
      <c r="T21" s="16" t="n">
        <f aca="false">SUM(F21:N21)</f>
        <v>9589.30605664062</v>
      </c>
    </row>
    <row r="22" customFormat="false" ht="12.75" hidden="false" customHeight="false" outlineLevel="0" collapsed="false">
      <c r="C22" s="16" t="s">
        <v>80</v>
      </c>
      <c r="F22" s="37" t="n">
        <v>2555</v>
      </c>
      <c r="G22" s="37" t="n">
        <v>2746</v>
      </c>
      <c r="H22" s="37" t="n">
        <v>3155</v>
      </c>
      <c r="I22" s="37" t="n">
        <v>2750</v>
      </c>
      <c r="J22" s="37" t="n">
        <v>1578</v>
      </c>
      <c r="K22" s="37" t="n">
        <v>1374</v>
      </c>
      <c r="L22" s="37" t="n">
        <f aca="false">[2]PwrCsOut!H20+[2]PwrCsOut!H350+[2]PwrCsOut!H351+[2]PwrCsOut!H352+[2]PwrCsOut!H355</f>
        <v>3114.99779101563</v>
      </c>
      <c r="M22" s="37" t="n">
        <f aca="false">[2]PwrCsOut!I20+[2]PwrCsOut!I350+[2]PwrCsOut!I351+[2]PwrCsOut!I352+[2]PwrCsOut!I355</f>
        <v>3114.99779101563</v>
      </c>
      <c r="N22" s="38" t="n">
        <f aca="false">[2]PwrCsOut!J20+[2]PwrCsOut!J350+[2]PwrCsOut!J351+[2]PwrCsOut!J352+[2]PwrCsOut!J355</f>
        <v>3021.42130859375</v>
      </c>
      <c r="O22" s="37" t="n">
        <f aca="false">[2]PwrCsOut!K20+[2]PwrCsOut!K350+[2]PwrCsOut!K351+[2]PwrCsOut!K352+[2]PwrCsOut!K355</f>
        <v>3114.99779101563</v>
      </c>
      <c r="P22" s="37" t="n">
        <f aca="false">[2]PwrCsOut!L20+[2]PwrCsOut!L350+[2]PwrCsOut!L351+[2]PwrCsOut!L352+[2]PwrCsOut!L355</f>
        <v>3021.42130859375</v>
      </c>
      <c r="Q22" s="37" t="n">
        <f aca="false">[2]PwrCsOut!M20+[2]PwrCsOut!M350+[2]PwrCsOut!M351+[2]PwrCsOut!M352+[2]PwrCsOut!M355</f>
        <v>3114.99779101563</v>
      </c>
      <c r="R22" s="37" t="n">
        <f aca="false">SUM(F22:Q22)</f>
        <v>32660.83378125</v>
      </c>
      <c r="T22" s="37" t="n">
        <f aca="false">SUM(F22:N22)</f>
        <v>23409.416890625</v>
      </c>
    </row>
    <row r="23" customFormat="false" ht="12.75" hidden="false" customHeight="false" outlineLevel="0" collapsed="false">
      <c r="N23" s="33"/>
    </row>
    <row r="24" customFormat="false" ht="12.75" hidden="false" customHeight="false" outlineLevel="0" collapsed="false">
      <c r="C24" s="16" t="s">
        <v>81</v>
      </c>
      <c r="F24" s="16" t="n">
        <f aca="false">SUM(F20:F23)</f>
        <v>3512</v>
      </c>
      <c r="G24" s="16" t="n">
        <f aca="false">SUM(G20:G23)</f>
        <v>4216</v>
      </c>
      <c r="H24" s="16" t="n">
        <f aca="false">SUM(H20:H23)</f>
        <v>4192</v>
      </c>
      <c r="I24" s="16" t="n">
        <f aca="false">SUM(I20:I23)</f>
        <v>3472</v>
      </c>
      <c r="J24" s="16" t="n">
        <f aca="false">SUM(J20:J23)</f>
        <v>2306</v>
      </c>
      <c r="K24" s="16" t="n">
        <f aca="false">SUM(K20:K23)</f>
        <v>2514</v>
      </c>
      <c r="L24" s="16" t="n">
        <f aca="false">SUM(L20:L23)</f>
        <v>4303.22441796875</v>
      </c>
      <c r="M24" s="16" t="n">
        <f aca="false">SUM(M20:M23)</f>
        <v>4303.22441796875</v>
      </c>
      <c r="N24" s="33" t="n">
        <f aca="false">SUM(N20:N23)</f>
        <v>4180.27411132812</v>
      </c>
      <c r="O24" s="16" t="n">
        <f aca="false">SUM(O20:O23)</f>
        <v>4303.22441796875</v>
      </c>
      <c r="P24" s="16" t="n">
        <f aca="false">SUM(P20:P23)</f>
        <v>4180.27411132812</v>
      </c>
      <c r="Q24" s="16" t="n">
        <f aca="false">SUM(Q20:Q23)</f>
        <v>4303.22441796875</v>
      </c>
      <c r="R24" s="16" t="n">
        <f aca="false">SUM(F24:Q24)</f>
        <v>45785.4458945313</v>
      </c>
      <c r="T24" s="16" t="n">
        <f aca="false">SUM(T20:T23)</f>
        <v>32998.7229472656</v>
      </c>
    </row>
    <row r="25" customFormat="false" ht="12.75" hidden="false" customHeight="false" outlineLevel="0" collapsed="false">
      <c r="N25" s="33"/>
    </row>
    <row r="26" customFormat="false" ht="12.75" hidden="false" customHeight="false" outlineLevel="0" collapsed="false">
      <c r="B26" s="16" t="s">
        <v>82</v>
      </c>
      <c r="N26" s="33"/>
    </row>
    <row r="27" customFormat="false" ht="12.75" hidden="false" customHeight="false" outlineLevel="0" collapsed="false">
      <c r="N27" s="33"/>
    </row>
    <row r="28" customFormat="false" ht="12.75" hidden="false" customHeight="false" outlineLevel="0" collapsed="false">
      <c r="B28" s="16" t="s">
        <v>83</v>
      </c>
      <c r="N28" s="33"/>
    </row>
    <row r="29" customFormat="false" ht="12.75" hidden="false" customHeight="false" outlineLevel="0" collapsed="false">
      <c r="C29" s="16" t="s">
        <v>84</v>
      </c>
      <c r="F29" s="16" t="n">
        <v>23277</v>
      </c>
      <c r="G29" s="16" t="n">
        <v>14193</v>
      </c>
      <c r="H29" s="16" t="n">
        <v>16472</v>
      </c>
      <c r="I29" s="16" t="n">
        <v>11705</v>
      </c>
      <c r="J29" s="16" t="n">
        <v>9693</v>
      </c>
      <c r="K29" s="16" t="n">
        <v>11173</v>
      </c>
      <c r="L29" s="16" t="n">
        <f aca="false">[2]PwrCsOut!H27+[2]PwrCsOut!H28+[2]PwrCsOut!H357+[2]PwrCsOut!H60</f>
        <v>10465.8391132813</v>
      </c>
      <c r="M29" s="16" t="n">
        <f aca="false">[2]PwrCsOut!I27+[2]PwrCsOut!I28+[2]PwrCsOut!I357+[2]PwrCsOut!I60</f>
        <v>11176.726609375</v>
      </c>
      <c r="N29" s="33" t="n">
        <f aca="false">[2]PwrCsOut!J27+[2]PwrCsOut!J28+[2]PwrCsOut!J357+[2]PwrCsOut!J60</f>
        <v>10604.652453125</v>
      </c>
      <c r="O29" s="16" t="n">
        <f aca="false">[2]PwrCsOut!K27+[2]PwrCsOut!K28+[2]PwrCsOut!K357+[2]PwrCsOut!K60</f>
        <v>11523.477140625</v>
      </c>
      <c r="P29" s="16" t="n">
        <f aca="false">[2]PwrCsOut!L27+[2]PwrCsOut!L28+[2]PwrCsOut!L357+[2]PwrCsOut!L60</f>
        <v>16787.378234375</v>
      </c>
      <c r="Q29" s="16" t="n">
        <f aca="false">[2]PwrCsOut!M27+[2]PwrCsOut!M28+[2]PwrCsOut!M357+[2]PwrCsOut!M60</f>
        <v>18506.88196875</v>
      </c>
      <c r="R29" s="16" t="n">
        <f aca="false">SUM(F29:Q29)</f>
        <v>165577.955519531</v>
      </c>
      <c r="T29" s="16" t="n">
        <f aca="false">SUM(F29:N29)</f>
        <v>118760.218175781</v>
      </c>
    </row>
    <row r="30" customFormat="false" ht="12.75" hidden="false" customHeight="false" outlineLevel="0" collapsed="false">
      <c r="C30" s="16" t="s">
        <v>85</v>
      </c>
      <c r="F30" s="16" t="n">
        <v>5167</v>
      </c>
      <c r="G30" s="16" t="n">
        <v>4626</v>
      </c>
      <c r="H30" s="16" t="n">
        <v>4783</v>
      </c>
      <c r="I30" s="16" t="n">
        <v>3562</v>
      </c>
      <c r="J30" s="16" t="n">
        <v>4649</v>
      </c>
      <c r="K30" s="16" t="n">
        <v>4069</v>
      </c>
      <c r="L30" s="16" t="n">
        <f aca="false">[2]PwrCsOut!H29+[2]PwrCsOut!H61</f>
        <v>2718.668875</v>
      </c>
      <c r="M30" s="16" t="n">
        <f aca="false">[2]PwrCsOut!I29+[2]PwrCsOut!I61</f>
        <v>2730.797625</v>
      </c>
      <c r="N30" s="33" t="n">
        <f aca="false">[2]PwrCsOut!J29+[2]PwrCsOut!J61</f>
        <v>2677.705375</v>
      </c>
      <c r="O30" s="16" t="n">
        <f aca="false">[2]PwrCsOut!K29+[2]PwrCsOut!K61</f>
        <v>2804.165625</v>
      </c>
      <c r="P30" s="16" t="n">
        <f aca="false">[2]PwrCsOut!L29+[2]PwrCsOut!L61</f>
        <v>4559.68630859375</v>
      </c>
      <c r="Q30" s="16" t="n">
        <f aca="false">[2]PwrCsOut!M29+[2]PwrCsOut!M61</f>
        <v>4894.554671875</v>
      </c>
      <c r="R30" s="16" t="n">
        <f aca="false">SUM(F30:Q30)</f>
        <v>47241.5784804687</v>
      </c>
      <c r="T30" s="16" t="n">
        <f aca="false">SUM(F30:N30)</f>
        <v>34983.171875</v>
      </c>
    </row>
    <row r="31" customFormat="false" ht="12.75" hidden="false" customHeight="false" outlineLevel="0" collapsed="false">
      <c r="C31" s="16" t="s">
        <v>86</v>
      </c>
      <c r="F31" s="16" t="n">
        <v>1386</v>
      </c>
      <c r="G31" s="16" t="n">
        <v>1241</v>
      </c>
      <c r="H31" s="16" t="n">
        <v>1527</v>
      </c>
      <c r="I31" s="16" t="n">
        <v>1403</v>
      </c>
      <c r="J31" s="16" t="n">
        <v>1325</v>
      </c>
      <c r="K31" s="16" t="n">
        <v>1307</v>
      </c>
      <c r="L31" s="16" t="n">
        <f aca="false">[2]PwrCsOut!H58+[2]PwrCsOut!H59+[2]PwrCsOut!H50+[2]PwrCsOut!H51</f>
        <v>1306.84930664063</v>
      </c>
      <c r="M31" s="16" t="n">
        <f aca="false">[2]PwrCsOut!I58+[2]PwrCsOut!I59+[2]PwrCsOut!I50+[2]PwrCsOut!I51</f>
        <v>1306.84930664063</v>
      </c>
      <c r="N31" s="33" t="n">
        <f aca="false">[2]PwrCsOut!J58+[2]PwrCsOut!J59+[2]PwrCsOut!J50+[2]PwrCsOut!J51</f>
        <v>1306.84776171875</v>
      </c>
      <c r="O31" s="16" t="n">
        <f aca="false">[2]PwrCsOut!K58+[2]PwrCsOut!K59+[2]PwrCsOut!K50+[2]PwrCsOut!K51</f>
        <v>1306.84930664063</v>
      </c>
      <c r="P31" s="16" t="n">
        <f aca="false">[2]PwrCsOut!L58+[2]PwrCsOut!L59+[2]PwrCsOut!L50+[2]PwrCsOut!L51</f>
        <v>1306.84776171875</v>
      </c>
      <c r="Q31" s="16" t="n">
        <f aca="false">[2]PwrCsOut!M58+[2]PwrCsOut!M59+[2]PwrCsOut!M50+[2]PwrCsOut!M51</f>
        <v>1306.84930664063</v>
      </c>
      <c r="R31" s="16" t="n">
        <f aca="false">SUM(F31:Q31)</f>
        <v>16030.09275</v>
      </c>
      <c r="T31" s="16" t="n">
        <f aca="false">SUM(F31:N31)</f>
        <v>12109.546375</v>
      </c>
    </row>
    <row r="32" customFormat="false" ht="12.75" hidden="false" customHeight="false" outlineLevel="0" collapsed="false">
      <c r="C32" s="16" t="s">
        <v>87</v>
      </c>
      <c r="F32" s="16" t="n">
        <v>-5879</v>
      </c>
      <c r="G32" s="16" t="n">
        <v>-149</v>
      </c>
      <c r="H32" s="16" t="n">
        <v>1837</v>
      </c>
      <c r="I32" s="16" t="n">
        <v>-1265</v>
      </c>
      <c r="J32" s="16" t="n">
        <v>-978</v>
      </c>
      <c r="K32" s="16" t="n">
        <v>-1134</v>
      </c>
      <c r="L32" s="16" t="n">
        <f aca="false">[2]PwrCsOut!H62</f>
        <v>-3553.75725</v>
      </c>
      <c r="M32" s="16" t="n">
        <f aca="false">[2]PwrCsOut!I62</f>
        <v>-3665.12975</v>
      </c>
      <c r="N32" s="33" t="n">
        <f aca="false">[2]PwrCsOut!J62</f>
        <v>-3591.6805</v>
      </c>
      <c r="O32" s="16" t="n">
        <f aca="false">[2]PwrCsOut!K62</f>
        <v>-4073.77275</v>
      </c>
      <c r="P32" s="16" t="n">
        <f aca="false">[2]PwrCsOut!L62</f>
        <v>-2203.2995</v>
      </c>
      <c r="Q32" s="16" t="n">
        <f aca="false">[2]PwrCsOut!M62</f>
        <v>-3026.3575</v>
      </c>
      <c r="R32" s="16" t="n">
        <f aca="false">SUM(F32:Q32)</f>
        <v>-27681.99725</v>
      </c>
      <c r="T32" s="16" t="n">
        <f aca="false">SUM(F32:N32)</f>
        <v>-18378.5675</v>
      </c>
    </row>
    <row r="33" customFormat="false" ht="12.75" hidden="false" customHeight="false" outlineLevel="0" collapsed="false">
      <c r="C33" s="39" t="s">
        <v>88</v>
      </c>
      <c r="F33" s="16" t="n">
        <v>-711</v>
      </c>
      <c r="G33" s="16" t="n">
        <v>-2289</v>
      </c>
      <c r="H33" s="16" t="n">
        <v>-289</v>
      </c>
      <c r="I33" s="16" t="n">
        <v>1243</v>
      </c>
      <c r="J33" s="16" t="n">
        <v>-707</v>
      </c>
      <c r="K33" s="16" t="n">
        <v>667</v>
      </c>
      <c r="L33" s="16" t="n">
        <v>101</v>
      </c>
      <c r="M33" s="16" t="n">
        <v>100</v>
      </c>
      <c r="N33" s="33" t="n">
        <v>96</v>
      </c>
      <c r="O33" s="16" t="n">
        <v>99</v>
      </c>
      <c r="P33" s="16" t="n">
        <v>-147</v>
      </c>
      <c r="Q33" s="16" t="n">
        <v>-150</v>
      </c>
      <c r="R33" s="16" t="n">
        <f aca="false">SUM(F33:Q33)</f>
        <v>-1987</v>
      </c>
      <c r="T33" s="16" t="n">
        <f aca="false">SUM(F33:N33)</f>
        <v>-1789</v>
      </c>
    </row>
    <row r="34" customFormat="false" ht="12.75" hidden="false" customHeight="false" outlineLevel="0" collapsed="false">
      <c r="C34" s="39" t="s">
        <v>89</v>
      </c>
      <c r="F34" s="16" t="n">
        <v>2249</v>
      </c>
      <c r="G34" s="16" t="n">
        <v>1515</v>
      </c>
      <c r="H34" s="16" t="n">
        <v>-2736</v>
      </c>
      <c r="I34" s="16" t="n">
        <v>-1906</v>
      </c>
      <c r="J34" s="16" t="n">
        <v>-4350</v>
      </c>
      <c r="K34" s="16" t="n">
        <v>1773</v>
      </c>
      <c r="L34" s="16" t="n">
        <v>3640</v>
      </c>
      <c r="M34" s="16" t="n">
        <v>3529</v>
      </c>
      <c r="N34" s="33" t="n">
        <v>3361</v>
      </c>
      <c r="O34" s="16" t="n">
        <v>3124</v>
      </c>
      <c r="P34" s="16" t="n">
        <v>1503</v>
      </c>
      <c r="Q34" s="16" t="n">
        <f aca="false">1398-2</f>
        <v>1396</v>
      </c>
      <c r="R34" s="16" t="n">
        <f aca="false">SUM(F34:Q34)</f>
        <v>13098</v>
      </c>
      <c r="T34" s="37" t="n">
        <f aca="false">SUM(F34:N34)</f>
        <v>7075</v>
      </c>
    </row>
    <row r="35" customFormat="false" ht="12.75" hidden="false" customHeight="false" outlineLevel="0" collapsed="false">
      <c r="C35" s="16" t="s">
        <v>90</v>
      </c>
      <c r="F35" s="37" t="n">
        <f aca="false">SUM(F29:F34)</f>
        <v>25489</v>
      </c>
      <c r="G35" s="37" t="n">
        <f aca="false">SUM(G29:G34)</f>
        <v>19137</v>
      </c>
      <c r="H35" s="37" t="n">
        <f aca="false">SUM(H29:H34)</f>
        <v>21594</v>
      </c>
      <c r="I35" s="37" t="n">
        <f aca="false">SUM(I29:I34)</f>
        <v>14742</v>
      </c>
      <c r="J35" s="37" t="n">
        <f aca="false">SUM(J29:J34)</f>
        <v>9632</v>
      </c>
      <c r="K35" s="37" t="n">
        <f aca="false">SUM(K29:K34)</f>
        <v>17855</v>
      </c>
      <c r="L35" s="37" t="n">
        <f aca="false">SUM(L29:L34)</f>
        <v>14678.6000449219</v>
      </c>
      <c r="M35" s="37" t="n">
        <f aca="false">SUM(M29:M34)</f>
        <v>15178.2437910156</v>
      </c>
      <c r="N35" s="38" t="n">
        <f aca="false">SUM(N29:N34)</f>
        <v>14454.5250898438</v>
      </c>
      <c r="O35" s="37" t="n">
        <f aca="false">SUM(O29:O34)</f>
        <v>14783.7193222656</v>
      </c>
      <c r="P35" s="37" t="n">
        <f aca="false">SUM(P29:P34)</f>
        <v>21806.6128046875</v>
      </c>
      <c r="Q35" s="37" t="n">
        <f aca="false">SUM(Q29:Q34)</f>
        <v>22927.9284472656</v>
      </c>
      <c r="R35" s="37" t="n">
        <f aca="false">SUM(F35:Q35)</f>
        <v>212278.6295</v>
      </c>
      <c r="T35" s="40" t="n">
        <f aca="false">SUM(F35:N35)</f>
        <v>152760.368925781</v>
      </c>
    </row>
    <row r="36" customFormat="false" ht="12.75" hidden="false" customHeight="false" outlineLevel="0" collapsed="false">
      <c r="N36" s="33"/>
    </row>
    <row r="37" customFormat="false" ht="12.75" hidden="false" customHeight="false" outlineLevel="0" collapsed="false">
      <c r="C37" s="16" t="s">
        <v>91</v>
      </c>
      <c r="F37" s="37" t="n">
        <f aca="false">F24+F26+F35</f>
        <v>29001</v>
      </c>
      <c r="G37" s="37" t="n">
        <f aca="false">G24+G26+G35</f>
        <v>23353</v>
      </c>
      <c r="H37" s="37" t="n">
        <f aca="false">H24+H26+H35</f>
        <v>25786</v>
      </c>
      <c r="I37" s="37" t="n">
        <f aca="false">I24+I26+I35</f>
        <v>18214</v>
      </c>
      <c r="J37" s="37" t="n">
        <f aca="false">J24+J26+J35</f>
        <v>11938</v>
      </c>
      <c r="K37" s="37" t="n">
        <f aca="false">K24+K26+K35</f>
        <v>20369</v>
      </c>
      <c r="L37" s="37" t="n">
        <f aca="false">L24+L26+L35</f>
        <v>18981.8244628906</v>
      </c>
      <c r="M37" s="37" t="n">
        <f aca="false">M24+M26+M35</f>
        <v>19481.4682089844</v>
      </c>
      <c r="N37" s="38" t="n">
        <f aca="false">N24+N26+N35</f>
        <v>18634.7992011719</v>
      </c>
      <c r="O37" s="37" t="n">
        <f aca="false">O24+O26+O35</f>
        <v>19086.9437402344</v>
      </c>
      <c r="P37" s="37" t="n">
        <f aca="false">P24+P26+P35</f>
        <v>25986.8869160156</v>
      </c>
      <c r="Q37" s="37" t="n">
        <f aca="false">Q24+Q26+Q35</f>
        <v>27231.1528652344</v>
      </c>
      <c r="R37" s="37" t="n">
        <f aca="false">SUM(F37:Q37)</f>
        <v>258064.075394531</v>
      </c>
      <c r="T37" s="37" t="n">
        <f aca="false">+T24+T35</f>
        <v>185759.091873047</v>
      </c>
    </row>
    <row r="38" customFormat="false" ht="12.75" hidden="false" customHeight="false" outlineLevel="0" collapsed="false">
      <c r="N38" s="33"/>
    </row>
    <row r="39" customFormat="false" ht="12.75" hidden="false" customHeight="false" outlineLevel="0" collapsed="false">
      <c r="A39" s="16" t="s">
        <v>92</v>
      </c>
      <c r="F39" s="16" t="n">
        <f aca="false">F14+F16+F37</f>
        <v>237617</v>
      </c>
      <c r="G39" s="16" t="n">
        <f aca="false">G14+G16+G37</f>
        <v>163386</v>
      </c>
      <c r="H39" s="16" t="n">
        <f aca="false">H14+H16+H37</f>
        <v>180638</v>
      </c>
      <c r="I39" s="16" t="n">
        <f aca="false">I14+I16+I37</f>
        <v>217947</v>
      </c>
      <c r="J39" s="16" t="n">
        <f aca="false">J14+J16+J37</f>
        <v>216958</v>
      </c>
      <c r="K39" s="16" t="n">
        <f aca="false">K14+K16+K37</f>
        <v>196025</v>
      </c>
      <c r="L39" s="16" t="n">
        <f aca="false">L14+L16+L37</f>
        <v>274903.451558594</v>
      </c>
      <c r="M39" s="16" t="n">
        <f aca="false">M14+M16+M37</f>
        <v>249966.991496094</v>
      </c>
      <c r="N39" s="33" t="n">
        <f aca="false">N14+N16+N37</f>
        <v>240447.823564453</v>
      </c>
      <c r="O39" s="16" t="n">
        <f aca="false">O14+O16+O37</f>
        <v>142335.477996094</v>
      </c>
      <c r="P39" s="16" t="n">
        <f aca="false">P14+P16+P37</f>
        <v>143309.060876953</v>
      </c>
      <c r="Q39" s="16" t="n">
        <f aca="false">Q14+Q16+Q37</f>
        <v>165061.227308594</v>
      </c>
      <c r="R39" s="16" t="n">
        <f aca="false">SUM(F39:Q39)</f>
        <v>2428595.03280078</v>
      </c>
      <c r="T39" s="16" t="n">
        <f aca="false">+T14+T16+T37</f>
        <v>1977889.26661914</v>
      </c>
    </row>
    <row r="40" customFormat="false" ht="12.75" hidden="false" customHeight="false" outlineLevel="0" collapsed="false">
      <c r="N40" s="33"/>
    </row>
    <row r="41" customFormat="false" ht="12.75" hidden="false" customHeight="false" outlineLevel="0" collapsed="false">
      <c r="B41" s="16" t="s">
        <v>93</v>
      </c>
      <c r="F41" s="16" t="n">
        <v>-147729</v>
      </c>
      <c r="G41" s="16" t="n">
        <v>-155832</v>
      </c>
      <c r="H41" s="16" t="n">
        <v>-176370</v>
      </c>
      <c r="I41" s="16" t="n">
        <v>-218190</v>
      </c>
      <c r="J41" s="16" t="n">
        <v>-189150</v>
      </c>
      <c r="K41" s="16" t="n">
        <v>-174820</v>
      </c>
      <c r="L41" s="16" t="n">
        <f aca="false">[2]PwrCsOut!H347+[2]PwrCsOut!H366</f>
        <v>-197682.69</v>
      </c>
      <c r="M41" s="16" t="n">
        <f aca="false">[2]PwrCsOut!I347+[2]PwrCsOut!I366</f>
        <v>-176051.754</v>
      </c>
      <c r="N41" s="33" t="n">
        <f aca="false">[2]PwrCsOut!J347+[2]PwrCsOut!J366</f>
        <v>-173239.147</v>
      </c>
      <c r="O41" s="16" t="n">
        <f aca="false">[2]PwrCsOut!K347+[2]PwrCsOut!K366</f>
        <v>-98748.896</v>
      </c>
      <c r="P41" s="16" t="n">
        <f aca="false">[2]PwrCsOut!L347+[2]PwrCsOut!L366</f>
        <v>-83414.913</v>
      </c>
      <c r="Q41" s="16" t="n">
        <f aca="false">[2]PwrCsOut!M347+[2]PwrCsOut!M366</f>
        <v>-85142.36</v>
      </c>
      <c r="R41" s="16" t="n">
        <f aca="false">SUM(F41:Q41)</f>
        <v>-1876370.76</v>
      </c>
      <c r="T41" s="16" t="n">
        <f aca="false">SUM(F41:N41)</f>
        <v>-1609064.591</v>
      </c>
    </row>
    <row r="42" customFormat="false" ht="12.75" hidden="false" customHeight="false" outlineLevel="0" collapsed="false">
      <c r="B42" s="16" t="s">
        <v>94</v>
      </c>
      <c r="F42" s="37" t="n">
        <v>-2901</v>
      </c>
      <c r="G42" s="37" t="n">
        <v>-1482</v>
      </c>
      <c r="H42" s="37" t="n">
        <v>-844</v>
      </c>
      <c r="I42" s="37" t="n">
        <v>-1561</v>
      </c>
      <c r="J42" s="37" t="n">
        <v>-350</v>
      </c>
      <c r="K42" s="37" t="n">
        <v>-425</v>
      </c>
      <c r="L42" s="37"/>
      <c r="M42" s="37"/>
      <c r="N42" s="38"/>
      <c r="O42" s="37"/>
      <c r="P42" s="37"/>
      <c r="Q42" s="37"/>
      <c r="R42" s="37" t="n">
        <f aca="false">SUM(F42:Q42)</f>
        <v>-7563</v>
      </c>
      <c r="T42" s="37" t="n">
        <f aca="false">SUM(F42:N42)</f>
        <v>-7563</v>
      </c>
    </row>
    <row r="43" customFormat="false" ht="13.5" hidden="false" customHeight="false" outlineLevel="0" collapsed="false">
      <c r="N43" s="33"/>
    </row>
    <row r="44" customFormat="false" ht="13.5" hidden="false" customHeight="false" outlineLevel="0" collapsed="false">
      <c r="A44" s="17" t="s">
        <v>95</v>
      </c>
      <c r="F44" s="16" t="n">
        <f aca="false">F39+F41+F42</f>
        <v>86987</v>
      </c>
      <c r="G44" s="16" t="n">
        <f aca="false">G39+G41+G42</f>
        <v>6072</v>
      </c>
      <c r="H44" s="16" t="n">
        <f aca="false">H39+H41+H42</f>
        <v>3424</v>
      </c>
      <c r="I44" s="16" t="n">
        <f aca="false">I39+I41+I42</f>
        <v>-1804</v>
      </c>
      <c r="J44" s="16" t="n">
        <f aca="false">J39+J41+J42</f>
        <v>27458</v>
      </c>
      <c r="K44" s="16" t="n">
        <f aca="false">K39+K41+K42</f>
        <v>20780</v>
      </c>
      <c r="L44" s="16" t="n">
        <f aca="false">L39+L41+L42</f>
        <v>77220.7615585937</v>
      </c>
      <c r="M44" s="16" t="n">
        <f aca="false">M39+M41+M42</f>
        <v>73915.2374960937</v>
      </c>
      <c r="N44" s="33" t="n">
        <f aca="false">N39+N41+N42</f>
        <v>67208.6765644532</v>
      </c>
      <c r="O44" s="16" t="n">
        <f aca="false">O39+O41+O42</f>
        <v>43586.5819960938</v>
      </c>
      <c r="P44" s="16" t="n">
        <f aca="false">P39+P41+P42</f>
        <v>59894.1478769531</v>
      </c>
      <c r="Q44" s="16" t="n">
        <f aca="false">Q39+Q41+Q42</f>
        <v>79918.8673085938</v>
      </c>
      <c r="R44" s="41" t="n">
        <f aca="false">SUM(F44:Q44)</f>
        <v>544661.272800781</v>
      </c>
      <c r="T44" s="17" t="n">
        <f aca="false">T39+T41+T42</f>
        <v>361261.675619141</v>
      </c>
    </row>
    <row r="45" customFormat="false" ht="16.5" hidden="false" customHeight="false" outlineLevel="0" collapsed="false">
      <c r="A45" s="22"/>
      <c r="B45" s="42"/>
      <c r="C45" s="22"/>
      <c r="D45" s="43"/>
      <c r="E45" s="22"/>
      <c r="F45" s="44"/>
      <c r="G45" s="45"/>
      <c r="H45" s="45"/>
      <c r="I45" s="45"/>
      <c r="J45" s="45"/>
      <c r="K45" s="45"/>
      <c r="L45" s="45"/>
      <c r="M45" s="45"/>
      <c r="N45" s="46"/>
      <c r="O45" s="47"/>
      <c r="P45" s="45"/>
      <c r="Q45" s="45"/>
      <c r="R45" s="45"/>
      <c r="S45" s="22"/>
      <c r="T45" s="45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15.75" hidden="false" customHeight="false" outlineLevel="0" collapsed="false">
      <c r="A46" s="48" t="s">
        <v>96</v>
      </c>
      <c r="B46" s="49"/>
      <c r="C46" s="19"/>
      <c r="D46" s="50"/>
      <c r="E46" s="19"/>
      <c r="F46" s="51"/>
      <c r="G46" s="52"/>
      <c r="H46" s="52"/>
      <c r="I46" s="52"/>
      <c r="J46" s="52"/>
      <c r="K46" s="52"/>
      <c r="L46" s="52"/>
      <c r="M46" s="52"/>
      <c r="N46" s="53"/>
      <c r="O46" s="52"/>
      <c r="P46" s="52"/>
      <c r="Q46" s="52"/>
      <c r="R46" s="52"/>
      <c r="S46" s="19"/>
      <c r="T46" s="54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5" hidden="false" customHeight="false" outlineLevel="0" collapsed="false">
      <c r="A47" s="55" t="s">
        <v>97</v>
      </c>
      <c r="B47" s="56"/>
      <c r="C47" s="56"/>
      <c r="D47" s="56"/>
      <c r="E47" s="56"/>
      <c r="F47" s="22" t="n">
        <v>4279</v>
      </c>
      <c r="G47" s="22" t="n">
        <v>0</v>
      </c>
      <c r="H47" s="22" t="n">
        <v>0</v>
      </c>
      <c r="I47" s="22" t="n">
        <v>0</v>
      </c>
      <c r="J47" s="22" t="n">
        <v>0</v>
      </c>
      <c r="K47" s="22" t="n">
        <v>0</v>
      </c>
      <c r="L47" s="22" t="n">
        <v>0</v>
      </c>
      <c r="M47" s="22" t="n">
        <v>0</v>
      </c>
      <c r="N47" s="33" t="n">
        <v>0</v>
      </c>
      <c r="O47" s="22" t="n">
        <v>0</v>
      </c>
      <c r="P47" s="22" t="n">
        <v>0</v>
      </c>
      <c r="Q47" s="22" t="n">
        <v>0</v>
      </c>
      <c r="R47" s="22" t="n">
        <f aca="false">SUM(F47:Q47)</f>
        <v>4279</v>
      </c>
      <c r="S47" s="22"/>
      <c r="T47" s="25" t="n">
        <f aca="false">SUM(F47:N47)</f>
        <v>4279</v>
      </c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5" hidden="false" customHeight="false" outlineLevel="0" collapsed="false">
      <c r="A48" s="55" t="s">
        <v>98</v>
      </c>
      <c r="B48" s="56"/>
      <c r="C48" s="56"/>
      <c r="D48" s="56"/>
      <c r="E48" s="56"/>
      <c r="F48" s="22" t="n">
        <v>424</v>
      </c>
      <c r="G48" s="22" t="n">
        <v>0</v>
      </c>
      <c r="H48" s="22" t="n">
        <f aca="false">2400+6000</f>
        <v>8400</v>
      </c>
      <c r="I48" s="22" t="n">
        <v>0</v>
      </c>
      <c r="J48" s="22" t="n">
        <v>-679.077</v>
      </c>
      <c r="K48" s="22" t="n">
        <v>0</v>
      </c>
      <c r="L48" s="22" t="n">
        <v>0</v>
      </c>
      <c r="M48" s="22" t="n">
        <v>0</v>
      </c>
      <c r="N48" s="33" t="n">
        <v>0</v>
      </c>
      <c r="O48" s="22" t="n">
        <v>0</v>
      </c>
      <c r="P48" s="22" t="n">
        <v>0</v>
      </c>
      <c r="Q48" s="22" t="n">
        <v>0</v>
      </c>
      <c r="R48" s="22" t="n">
        <f aca="false">SUM(F48:Q48)</f>
        <v>8144.923</v>
      </c>
      <c r="S48" s="22"/>
      <c r="T48" s="25" t="n">
        <f aca="false">SUM(F48:N48)</f>
        <v>8144.923</v>
      </c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12.75" hidden="false" customHeight="false" outlineLevel="0" collapsed="false">
      <c r="A49" s="55" t="s">
        <v>99</v>
      </c>
      <c r="B49" s="22"/>
      <c r="C49" s="22"/>
      <c r="D49" s="22"/>
      <c r="E49" s="22"/>
      <c r="F49" s="57" t="n">
        <v>0</v>
      </c>
      <c r="G49" s="57" t="n">
        <v>0</v>
      </c>
      <c r="H49" s="57" t="n">
        <v>0</v>
      </c>
      <c r="I49" s="57" t="n">
        <v>0</v>
      </c>
      <c r="J49" s="57" t="n">
        <v>0</v>
      </c>
      <c r="K49" s="57" t="n">
        <v>0</v>
      </c>
      <c r="L49" s="57" t="n">
        <v>0</v>
      </c>
      <c r="M49" s="57" t="n">
        <v>0</v>
      </c>
      <c r="N49" s="58" t="n">
        <v>-6187</v>
      </c>
      <c r="O49" s="22" t="n">
        <v>0</v>
      </c>
      <c r="P49" s="22" t="n">
        <v>0</v>
      </c>
      <c r="Q49" s="22" t="n">
        <v>0</v>
      </c>
      <c r="R49" s="22" t="n">
        <f aca="false">SUM(F49:Q49)</f>
        <v>-6187</v>
      </c>
      <c r="S49" s="22"/>
      <c r="T49" s="25" t="n">
        <f aca="false">SUM(F49:N49)</f>
        <v>-6187</v>
      </c>
    </row>
    <row r="50" customFormat="false" ht="12.75" hidden="false" customHeight="false" outlineLevel="0" collapsed="false">
      <c r="A50" s="55" t="s">
        <v>100</v>
      </c>
      <c r="B50" s="22"/>
      <c r="C50" s="22"/>
      <c r="D50" s="22"/>
      <c r="E50" s="22"/>
      <c r="F50" s="57" t="n">
        <v>2109.27917555556</v>
      </c>
      <c r="G50" s="57" t="n">
        <v>1962</v>
      </c>
      <c r="H50" s="57" t="n">
        <v>2134</v>
      </c>
      <c r="I50" s="57" t="n">
        <v>2085</v>
      </c>
      <c r="J50" s="57" t="n">
        <v>2178</v>
      </c>
      <c r="K50" s="57" t="n">
        <v>2274.35555555556</v>
      </c>
      <c r="L50" s="57" t="n">
        <v>2249.15555555556</v>
      </c>
      <c r="M50" s="57" t="n">
        <v>2301.23555555556</v>
      </c>
      <c r="N50" s="58" t="n">
        <v>2274.35555555556</v>
      </c>
      <c r="O50" s="22" t="n">
        <v>0</v>
      </c>
      <c r="P50" s="22" t="n">
        <v>0</v>
      </c>
      <c r="Q50" s="22" t="n">
        <v>0</v>
      </c>
      <c r="R50" s="22" t="n">
        <f aca="false">SUM(F50:Q50)</f>
        <v>19567.3813977778</v>
      </c>
      <c r="S50" s="22"/>
      <c r="T50" s="25" t="n">
        <f aca="false">SUM(F50:N50)</f>
        <v>19567.3813977778</v>
      </c>
    </row>
    <row r="51" customFormat="false" ht="12.75" hidden="false" customHeight="false" outlineLevel="0" collapsed="false">
      <c r="A51" s="59" t="s">
        <v>101</v>
      </c>
      <c r="B51" s="60"/>
      <c r="C51" s="60"/>
      <c r="D51" s="60"/>
      <c r="E51" s="60" t="s">
        <v>102</v>
      </c>
      <c r="F51" s="61" t="n">
        <f aca="false">+F34</f>
        <v>2249</v>
      </c>
      <c r="G51" s="61" t="n">
        <f aca="false">+G34</f>
        <v>1515</v>
      </c>
      <c r="H51" s="61" t="n">
        <f aca="false">+H34</f>
        <v>-2736</v>
      </c>
      <c r="I51" s="61" t="n">
        <f aca="false">+I34</f>
        <v>-1906</v>
      </c>
      <c r="J51" s="61" t="n">
        <f aca="false">+J34</f>
        <v>-4350</v>
      </c>
      <c r="K51" s="61" t="n">
        <f aca="false">+K34</f>
        <v>1773</v>
      </c>
      <c r="L51" s="61" t="n">
        <f aca="false">+L34</f>
        <v>3640</v>
      </c>
      <c r="M51" s="61" t="n">
        <f aca="false">+M34</f>
        <v>3529</v>
      </c>
      <c r="N51" s="62" t="n">
        <f aca="false">+N34</f>
        <v>3361</v>
      </c>
      <c r="O51" s="61" t="n">
        <f aca="false">+O34</f>
        <v>3124</v>
      </c>
      <c r="P51" s="61" t="n">
        <f aca="false">+P34</f>
        <v>1503</v>
      </c>
      <c r="Q51" s="61" t="n">
        <f aca="false">+Q34</f>
        <v>1396</v>
      </c>
      <c r="R51" s="61" t="n">
        <f aca="false">SUM(F51:Q51)</f>
        <v>13098</v>
      </c>
      <c r="S51" s="60"/>
      <c r="T51" s="63" t="n">
        <f aca="false">SUM(F51:N51)</f>
        <v>7075</v>
      </c>
    </row>
    <row r="52" customFormat="false" ht="12.75" hidden="false" customHeight="false" outlineLevel="0" collapsed="false">
      <c r="A52" s="55"/>
      <c r="B52" s="22" t="s">
        <v>103</v>
      </c>
      <c r="C52" s="22"/>
      <c r="D52" s="22"/>
      <c r="E52" s="22"/>
      <c r="F52" s="22" t="n">
        <f aca="false">SUM(F47:F51)</f>
        <v>9061.27917555556</v>
      </c>
      <c r="G52" s="22" t="n">
        <f aca="false">SUM(G47:G51)</f>
        <v>3477</v>
      </c>
      <c r="H52" s="22" t="n">
        <f aca="false">SUM(H47:H51)</f>
        <v>7798</v>
      </c>
      <c r="I52" s="22" t="n">
        <f aca="false">SUM(I47:I51)</f>
        <v>179</v>
      </c>
      <c r="J52" s="22" t="n">
        <f aca="false">SUM(J47:J51)</f>
        <v>-2851.077</v>
      </c>
      <c r="K52" s="22" t="n">
        <f aca="false">SUM(K47:K51)</f>
        <v>4047.35555555556</v>
      </c>
      <c r="L52" s="22" t="n">
        <f aca="false">SUM(L47:L51)</f>
        <v>5889.15555555556</v>
      </c>
      <c r="M52" s="22" t="n">
        <f aca="false">SUM(M47:M51)</f>
        <v>5830.23555555556</v>
      </c>
      <c r="N52" s="33" t="n">
        <f aca="false">SUM(N47:N51)</f>
        <v>-551.644444444445</v>
      </c>
      <c r="O52" s="22" t="n">
        <f aca="false">SUM(O47:O51)</f>
        <v>3124</v>
      </c>
      <c r="P52" s="22" t="n">
        <f aca="false">SUM(P47:P51)</f>
        <v>1503</v>
      </c>
      <c r="Q52" s="22" t="n">
        <f aca="false">SUM(Q47:Q51)</f>
        <v>1396</v>
      </c>
      <c r="R52" s="22" t="n">
        <f aca="false">SUM(F52:Q52)</f>
        <v>38902.3043977778</v>
      </c>
      <c r="S52" s="22"/>
      <c r="T52" s="25" t="n">
        <f aca="false">SUM(T47:T51)</f>
        <v>32879.3043977778</v>
      </c>
    </row>
    <row r="53" customFormat="false" ht="12.75" hidden="false" customHeight="false" outlineLevel="0" collapsed="false">
      <c r="A53" s="5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33"/>
      <c r="O53" s="22"/>
      <c r="P53" s="22"/>
      <c r="Q53" s="22"/>
      <c r="R53" s="22"/>
      <c r="S53" s="22"/>
      <c r="T53" s="25"/>
    </row>
    <row r="54" customFormat="false" ht="12.75" hidden="false" customHeight="false" outlineLevel="0" collapsed="false">
      <c r="A54" s="64" t="s">
        <v>104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33"/>
      <c r="O54" s="22"/>
      <c r="P54" s="22"/>
      <c r="Q54" s="22"/>
      <c r="R54" s="22"/>
      <c r="S54" s="22"/>
      <c r="T54" s="25"/>
    </row>
    <row r="55" customFormat="false" ht="12.75" hidden="false" customHeight="false" outlineLevel="0" collapsed="false">
      <c r="A55" s="59" t="s">
        <v>105</v>
      </c>
      <c r="B55" s="60"/>
      <c r="C55" s="60"/>
      <c r="D55" s="60"/>
      <c r="E55" s="60" t="s">
        <v>106</v>
      </c>
      <c r="F55" s="60" t="n">
        <f aca="false">+F11</f>
        <v>8135</v>
      </c>
      <c r="G55" s="60" t="n">
        <f aca="false">+G11</f>
        <v>-5059</v>
      </c>
      <c r="H55" s="60" t="n">
        <f aca="false">+H11</f>
        <v>-12505</v>
      </c>
      <c r="I55" s="60" t="n">
        <f aca="false">+I11</f>
        <v>-2611</v>
      </c>
      <c r="J55" s="60" t="n">
        <f aca="false">+J11</f>
        <v>-2008</v>
      </c>
      <c r="K55" s="60" t="n">
        <f aca="false">+K11</f>
        <v>-7909</v>
      </c>
      <c r="L55" s="60" t="n">
        <f aca="false">+L11</f>
        <v>14865</v>
      </c>
      <c r="M55" s="60" t="n">
        <f aca="false">+M11</f>
        <v>16642</v>
      </c>
      <c r="N55" s="65" t="n">
        <f aca="false">+N11</f>
        <v>16085</v>
      </c>
      <c r="O55" s="60" t="n">
        <f aca="false">+O11</f>
        <v>-4300</v>
      </c>
      <c r="P55" s="60" t="n">
        <f aca="false">+P11</f>
        <v>-3698</v>
      </c>
      <c r="Q55" s="60" t="n">
        <f aca="false">+Q11</f>
        <v>-3740</v>
      </c>
      <c r="R55" s="60" t="n">
        <f aca="false">SUM(F55:Q55)</f>
        <v>13897</v>
      </c>
      <c r="S55" s="60"/>
      <c r="T55" s="66" t="n">
        <f aca="false">SUM(F55:N55)</f>
        <v>25635</v>
      </c>
    </row>
    <row r="56" customFormat="false" ht="12.75" hidden="false" customHeight="false" outlineLevel="0" collapsed="false">
      <c r="A56" s="59" t="s">
        <v>107</v>
      </c>
      <c r="B56" s="60"/>
      <c r="C56" s="60"/>
      <c r="D56" s="60"/>
      <c r="E56" s="60" t="s">
        <v>102</v>
      </c>
      <c r="F56" s="60" t="n">
        <f aca="false">+F33</f>
        <v>-711</v>
      </c>
      <c r="G56" s="60" t="n">
        <f aca="false">+G33</f>
        <v>-2289</v>
      </c>
      <c r="H56" s="60" t="n">
        <f aca="false">+H33</f>
        <v>-289</v>
      </c>
      <c r="I56" s="60" t="n">
        <f aca="false">+I33</f>
        <v>1243</v>
      </c>
      <c r="J56" s="60" t="n">
        <f aca="false">+J33</f>
        <v>-707</v>
      </c>
      <c r="K56" s="60" t="n">
        <f aca="false">+K33</f>
        <v>667</v>
      </c>
      <c r="L56" s="60" t="n">
        <f aca="false">+L33</f>
        <v>101</v>
      </c>
      <c r="M56" s="60" t="n">
        <f aca="false">+M33</f>
        <v>100</v>
      </c>
      <c r="N56" s="65" t="n">
        <f aca="false">+N33</f>
        <v>96</v>
      </c>
      <c r="O56" s="60" t="n">
        <f aca="false">+O33</f>
        <v>99</v>
      </c>
      <c r="P56" s="60" t="n">
        <f aca="false">+P33</f>
        <v>-147</v>
      </c>
      <c r="Q56" s="60" t="n">
        <f aca="false">+Q33</f>
        <v>-150</v>
      </c>
      <c r="R56" s="60" t="n">
        <f aca="false">SUM(F56:Q56)</f>
        <v>-1987</v>
      </c>
      <c r="S56" s="60"/>
      <c r="T56" s="66" t="n">
        <f aca="false">SUM(F56:N56)</f>
        <v>-1789</v>
      </c>
    </row>
    <row r="57" customFormat="false" ht="12.75" hidden="false" customHeight="false" outlineLevel="0" collapsed="false">
      <c r="A57" s="55" t="s">
        <v>108</v>
      </c>
      <c r="B57" s="22"/>
      <c r="C57" s="22"/>
      <c r="D57" s="22"/>
      <c r="E57" s="22" t="s">
        <v>109</v>
      </c>
      <c r="F57" s="67" t="n">
        <v>2007.204</v>
      </c>
      <c r="G57" s="67" t="n">
        <v>2650</v>
      </c>
      <c r="H57" s="67" t="n">
        <v>8148</v>
      </c>
      <c r="I57" s="67" t="n">
        <v>7688</v>
      </c>
      <c r="J57" s="67" t="n">
        <v>7750</v>
      </c>
      <c r="K57" s="67" t="n">
        <v>8922</v>
      </c>
      <c r="L57" s="67" t="n">
        <v>-14966</v>
      </c>
      <c r="M57" s="67" t="n">
        <v>-16742</v>
      </c>
      <c r="N57" s="68" t="n">
        <v>-16182</v>
      </c>
      <c r="O57" s="67" t="n">
        <v>4201</v>
      </c>
      <c r="P57" s="67" t="n">
        <v>3845</v>
      </c>
      <c r="Q57" s="67" t="n">
        <f aca="false">3890+1</f>
        <v>3891</v>
      </c>
      <c r="R57" s="37" t="n">
        <f aca="false">SUM(F57:Q57)</f>
        <v>1212.204</v>
      </c>
      <c r="S57" s="22"/>
      <c r="T57" s="69" t="n">
        <f aca="false">SUM(F57:N57)</f>
        <v>-10724.796</v>
      </c>
    </row>
    <row r="58" customFormat="false" ht="12.75" hidden="false" customHeight="false" outlineLevel="0" collapsed="false">
      <c r="A58" s="55"/>
      <c r="B58" s="22" t="s">
        <v>110</v>
      </c>
      <c r="C58" s="22"/>
      <c r="D58" s="22"/>
      <c r="E58" s="22"/>
      <c r="F58" s="22" t="n">
        <f aca="false">SUM(F55:F57)</f>
        <v>9431.204</v>
      </c>
      <c r="G58" s="22" t="n">
        <f aca="false">SUM(G55:G57)</f>
        <v>-4698</v>
      </c>
      <c r="H58" s="22" t="n">
        <f aca="false">SUM(H55:H57)</f>
        <v>-4646</v>
      </c>
      <c r="I58" s="22" t="n">
        <f aca="false">SUM(I55:I57)</f>
        <v>6320</v>
      </c>
      <c r="J58" s="22" t="n">
        <f aca="false">SUM(J55:J57)</f>
        <v>5035</v>
      </c>
      <c r="K58" s="22" t="n">
        <f aca="false">SUM(K55:K57)</f>
        <v>1680</v>
      </c>
      <c r="L58" s="22" t="n">
        <f aca="false">SUM(L55:L57)</f>
        <v>0</v>
      </c>
      <c r="M58" s="22" t="n">
        <f aca="false">SUM(M55:M57)</f>
        <v>0</v>
      </c>
      <c r="N58" s="33" t="n">
        <f aca="false">SUM(N55:N57)</f>
        <v>-1</v>
      </c>
      <c r="O58" s="22" t="n">
        <f aca="false">SUM(O55:O57)</f>
        <v>0</v>
      </c>
      <c r="P58" s="22" t="n">
        <f aca="false">SUM(P55:P57)</f>
        <v>0</v>
      </c>
      <c r="Q58" s="22" t="n">
        <f aca="false">SUM(Q55:Q57)</f>
        <v>1</v>
      </c>
      <c r="R58" s="22" t="n">
        <f aca="false">SUM(R55:R57)</f>
        <v>13122.204</v>
      </c>
      <c r="S58" s="22"/>
      <c r="T58" s="25" t="n">
        <f aca="false">SUM(T55:T57)</f>
        <v>13121.204</v>
      </c>
    </row>
    <row r="59" customFormat="false" ht="13.5" hidden="false" customHeight="false" outlineLevel="0" collapsed="false">
      <c r="A59" s="55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70"/>
      <c r="P59" s="22"/>
      <c r="Q59" s="22"/>
      <c r="R59" s="22"/>
      <c r="S59" s="22"/>
      <c r="T59" s="25"/>
    </row>
    <row r="60" customFormat="false" ht="13.5" hidden="false" customHeight="false" outlineLevel="0" collapsed="false">
      <c r="A60" s="71" t="s">
        <v>111</v>
      </c>
      <c r="B60" s="22"/>
      <c r="C60" s="22"/>
      <c r="D60" s="22"/>
      <c r="E60" s="22"/>
      <c r="F60" s="22" t="n">
        <f aca="false">+F44-F52-F58</f>
        <v>68494.5168244445</v>
      </c>
      <c r="G60" s="22" t="n">
        <f aca="false">+G44-G52-G58</f>
        <v>7293</v>
      </c>
      <c r="H60" s="22" t="n">
        <f aca="false">+H44-H52-H58</f>
        <v>272</v>
      </c>
      <c r="I60" s="22" t="n">
        <f aca="false">+I44-I52-I58</f>
        <v>-8303</v>
      </c>
      <c r="J60" s="22" t="n">
        <f aca="false">+J44-J52-J58</f>
        <v>25274.077</v>
      </c>
      <c r="K60" s="22" t="n">
        <f aca="false">+K44-K52-K58</f>
        <v>15052.6444444444</v>
      </c>
      <c r="L60" s="22" t="n">
        <f aca="false">+L44-L52-L58</f>
        <v>71331.6060030381</v>
      </c>
      <c r="M60" s="22" t="n">
        <f aca="false">+M44-M52-M58</f>
        <v>68085.0019405382</v>
      </c>
      <c r="N60" s="22" t="n">
        <f aca="false">+N44-N52-N58</f>
        <v>67761.3210088976</v>
      </c>
      <c r="O60" s="70" t="n">
        <f aca="false">+O44-O52-O58</f>
        <v>40462.5819960938</v>
      </c>
      <c r="P60" s="22" t="n">
        <f aca="false">+P44-P52-P58</f>
        <v>58391.1478769531</v>
      </c>
      <c r="Q60" s="22" t="n">
        <f aca="false">+Q44-Q52-Q58</f>
        <v>78521.8673085938</v>
      </c>
      <c r="R60" s="22" t="n">
        <f aca="false">+R44-R52-R58</f>
        <v>492636.764403003</v>
      </c>
      <c r="S60" s="22"/>
      <c r="T60" s="41" t="n">
        <f aca="false">+T44-T52-T58</f>
        <v>315261.167221363</v>
      </c>
    </row>
    <row r="61" customFormat="false" ht="13.5" hidden="false" customHeight="false" outlineLevel="0" collapsed="false">
      <c r="A61" s="72" t="s">
        <v>112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4"/>
      <c r="P61" s="73"/>
      <c r="Q61" s="73"/>
      <c r="R61" s="73"/>
      <c r="S61" s="73"/>
      <c r="T61" s="75" t="n">
        <v>-85192</v>
      </c>
    </row>
    <row r="62" customFormat="false" ht="13.5" hidden="false" customHeight="false" outlineLevel="0" collapsed="false">
      <c r="N62" s="22"/>
      <c r="O62" s="70"/>
      <c r="T62" s="76"/>
    </row>
    <row r="63" customFormat="false" ht="13.5" hidden="false" customHeight="false" outlineLevel="0" collapsed="false">
      <c r="A63" s="17" t="s">
        <v>113</v>
      </c>
      <c r="F63" s="37" t="n">
        <v>107837.019692698</v>
      </c>
      <c r="G63" s="37" t="n">
        <v>71459.8325902834</v>
      </c>
      <c r="H63" s="37" t="n">
        <v>50391.6535373594</v>
      </c>
      <c r="I63" s="37" t="n">
        <v>43889.2442994002</v>
      </c>
      <c r="J63" s="37" t="n">
        <v>26960.7229501149</v>
      </c>
      <c r="K63" s="37" t="n">
        <v>-1570.31839308359</v>
      </c>
      <c r="L63" s="37" t="n">
        <v>69882.0274798572</v>
      </c>
      <c r="M63" s="37" t="n">
        <v>46260.9493820718</v>
      </c>
      <c r="N63" s="38" t="n">
        <v>53488.0343791031</v>
      </c>
      <c r="O63" s="37" t="n">
        <v>36290.8726400388</v>
      </c>
      <c r="P63" s="37" t="n">
        <v>64090.7966234889</v>
      </c>
      <c r="Q63" s="37" t="n">
        <v>92988.4239938911</v>
      </c>
      <c r="R63" s="77" t="n">
        <f aca="false">SUM(F63:Q63)</f>
        <v>661969.259175223</v>
      </c>
      <c r="T63" s="76"/>
    </row>
    <row r="64" customFormat="false" ht="13.5" hidden="false" customHeight="false" outlineLevel="0" collapsed="false">
      <c r="A64" s="17" t="s">
        <v>114</v>
      </c>
      <c r="F64" s="16" t="n">
        <f aca="false">+F44-F63</f>
        <v>-20850.0196926979</v>
      </c>
      <c r="G64" s="16" t="n">
        <f aca="false">+G44-G63</f>
        <v>-65387.8325902834</v>
      </c>
      <c r="H64" s="16" t="n">
        <f aca="false">+H44-H63</f>
        <v>-46967.6535373594</v>
      </c>
      <c r="I64" s="16" t="n">
        <f aca="false">+I44-I63</f>
        <v>-45693.2442994002</v>
      </c>
      <c r="J64" s="16" t="n">
        <f aca="false">+J44-J63</f>
        <v>497.277049885146</v>
      </c>
      <c r="K64" s="16" t="n">
        <f aca="false">+K44-K63</f>
        <v>22350.3183930836</v>
      </c>
      <c r="L64" s="16" t="n">
        <f aca="false">+L44-L63</f>
        <v>7338.73407873648</v>
      </c>
      <c r="M64" s="16" t="n">
        <f aca="false">+M44-M63</f>
        <v>27654.2881140219</v>
      </c>
      <c r="N64" s="33" t="n">
        <f aca="false">+N44-N63</f>
        <v>13720.6421853501</v>
      </c>
      <c r="O64" s="22" t="n">
        <f aca="false">+O44-O63</f>
        <v>7295.709356055</v>
      </c>
      <c r="P64" s="16" t="n">
        <f aca="false">+P44-P63</f>
        <v>-4196.64874653577</v>
      </c>
      <c r="Q64" s="16" t="n">
        <f aca="false">+Q44-Q63</f>
        <v>-13069.5566852973</v>
      </c>
      <c r="R64" s="77" t="n">
        <f aca="false">+R44-R63</f>
        <v>-117307.986374442</v>
      </c>
    </row>
    <row r="65" customFormat="false" ht="12.75" hidden="false" customHeight="false" outlineLevel="0" collapsed="false">
      <c r="T65" s="17"/>
    </row>
    <row r="66" customFormat="false" ht="12.75" hidden="true" customHeight="false" outlineLevel="0" collapsed="false">
      <c r="A66" s="17" t="s">
        <v>115</v>
      </c>
      <c r="F66" s="16" t="n">
        <v>149171.323397656</v>
      </c>
      <c r="G66" s="16" t="n">
        <v>110740.359393359</v>
      </c>
      <c r="H66" s="16" t="n">
        <v>89098.6881851563</v>
      </c>
      <c r="I66" s="16" t="n">
        <v>65141.0715394531</v>
      </c>
      <c r="J66" s="16" t="n">
        <v>74765.5052070313</v>
      </c>
      <c r="K66" s="16" t="n">
        <v>65596.7581550781</v>
      </c>
      <c r="L66" s="16" t="n">
        <v>92722.6313164062</v>
      </c>
      <c r="M66" s="16" t="n">
        <v>93228.5248164063</v>
      </c>
      <c r="N66" s="16" t="n">
        <v>86227.2365800781</v>
      </c>
      <c r="O66" s="16" t="n">
        <v>80088.3628164063</v>
      </c>
      <c r="P66" s="16" t="n">
        <v>86698.9272957031</v>
      </c>
      <c r="Q66" s="16" t="n">
        <v>102782.695066406</v>
      </c>
      <c r="R66" s="78" t="n">
        <v>1096262.08376914</v>
      </c>
    </row>
    <row r="67" customFormat="false" ht="13.5" hidden="true" customHeight="false" outlineLevel="0" collapsed="false">
      <c r="A67" s="17" t="s">
        <v>116</v>
      </c>
      <c r="F67" s="67" t="n">
        <v>134596.803660156</v>
      </c>
      <c r="G67" s="67" t="n">
        <v>105048.417630859</v>
      </c>
      <c r="H67" s="67" t="n">
        <v>80946.6816601563</v>
      </c>
      <c r="I67" s="67" t="n">
        <v>76387.5507675781</v>
      </c>
      <c r="J67" s="67" t="n">
        <v>77618.9749101563</v>
      </c>
      <c r="K67" s="67" t="n">
        <v>54122.0385175781</v>
      </c>
      <c r="L67" s="67" t="n">
        <v>84128.8179414063</v>
      </c>
      <c r="M67" s="67" t="n">
        <v>93289.7934414062</v>
      </c>
      <c r="N67" s="67" t="n">
        <v>78580.3882050781</v>
      </c>
      <c r="O67" s="67" t="n">
        <v>69963.8703164063</v>
      </c>
      <c r="P67" s="67" t="n">
        <v>75571.1339550781</v>
      </c>
      <c r="Q67" s="67" t="n">
        <v>83922.9079414063</v>
      </c>
      <c r="R67" s="79" t="n">
        <v>1014177.37894727</v>
      </c>
    </row>
    <row r="68" customFormat="false" ht="13.5" hidden="true" customHeight="false" outlineLevel="0" collapsed="false">
      <c r="B68" s="17" t="s">
        <v>117</v>
      </c>
      <c r="F68" s="16" t="n">
        <f aca="false">+F67-F66</f>
        <v>-14574.5197375</v>
      </c>
      <c r="G68" s="16" t="n">
        <f aca="false">+G67-G66</f>
        <v>-5691.94176249999</v>
      </c>
      <c r="H68" s="16" t="n">
        <f aca="false">+H67-H66</f>
        <v>-8152.006525</v>
      </c>
      <c r="I68" s="16" t="n">
        <f aca="false">+I67-I66</f>
        <v>11246.479228125</v>
      </c>
      <c r="J68" s="16" t="n">
        <f aca="false">+J67-J66</f>
        <v>2853.469703125</v>
      </c>
      <c r="K68" s="16" t="n">
        <f aca="false">+K67-K66</f>
        <v>-11474.7196375</v>
      </c>
      <c r="L68" s="16" t="n">
        <f aca="false">+L67-L66</f>
        <v>-8593.813375</v>
      </c>
      <c r="M68" s="16" t="n">
        <f aca="false">+M67-M66</f>
        <v>61.2686249999824</v>
      </c>
      <c r="N68" s="16" t="n">
        <f aca="false">+N67-N66</f>
        <v>-7646.848375</v>
      </c>
      <c r="O68" s="16" t="n">
        <f aca="false">+O67-O66</f>
        <v>-10124.4925</v>
      </c>
      <c r="P68" s="16" t="n">
        <f aca="false">+P67-P66</f>
        <v>-11127.793340625</v>
      </c>
      <c r="Q68" s="16" t="n">
        <f aca="false">+Q67-Q66</f>
        <v>-18859.787125</v>
      </c>
      <c r="R68" s="80" t="n">
        <f aca="false">+R67-R66</f>
        <v>-82084.7048218751</v>
      </c>
    </row>
  </sheetData>
  <printOptions headings="false" gridLines="false" gridLinesSet="true" horizontalCentered="false" verticalCentered="false"/>
  <pageMargins left="0.5" right="0.5" top="0.75" bottom="0.770138888888889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E33" colorId="64" zoomScale="100" zoomScaleNormal="100" zoomScalePageLayoutView="100" workbookViewId="0">
      <selection pane="topLeft" activeCell="C50" activeCellId="0" sqref="C50:K5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5.85"/>
    <col collapsed="false" customWidth="true" hidden="false" outlineLevel="0" max="2" min="2" style="82" width="33.85"/>
    <col collapsed="false" customWidth="true" hidden="false" outlineLevel="0" max="3" min="3" style="83" width="11.7"/>
    <col collapsed="false" customWidth="true" hidden="false" outlineLevel="0" max="4" min="4" style="83" width="10.85"/>
    <col collapsed="false" customWidth="true" hidden="false" outlineLevel="0" max="5" min="5" style="83" width="11.13"/>
    <col collapsed="false" customWidth="true" hidden="false" outlineLevel="0" max="7" min="6" style="83" width="10.85"/>
    <col collapsed="false" customWidth="true" hidden="false" outlineLevel="0" max="11" min="8" style="83" width="11.42"/>
    <col collapsed="false" customWidth="true" hidden="false" outlineLevel="0" max="14" min="12" style="83" width="10.41"/>
    <col collapsed="false" customWidth="true" hidden="false" outlineLevel="0" max="15" min="15" style="83" width="11.42"/>
    <col collapsed="false" customWidth="true" hidden="false" outlineLevel="0" max="16" min="16" style="82" width="1.7"/>
    <col collapsed="false" customWidth="false" hidden="false" outlineLevel="0" max="257" min="17" style="82" width="9.14"/>
  </cols>
  <sheetData>
    <row r="1" customFormat="false" ht="15" hidden="false" customHeight="false" outlineLevel="0" collapsed="false">
      <c r="A1" s="84" t="n">
        <v>1</v>
      </c>
      <c r="B1" s="85" t="s">
        <v>118</v>
      </c>
    </row>
    <row r="2" customFormat="false" ht="15" hidden="false" customHeight="false" outlineLevel="0" collapsed="false">
      <c r="A2" s="81" t="n">
        <f aca="false">A1+1</f>
        <v>2</v>
      </c>
      <c r="B2" s="86" t="s">
        <v>119</v>
      </c>
      <c r="G2" s="83" t="s">
        <v>120</v>
      </c>
    </row>
    <row r="3" customFormat="false" ht="15" hidden="false" customHeight="false" outlineLevel="0" collapsed="false">
      <c r="A3" s="81" t="n">
        <f aca="false">A2+1</f>
        <v>3</v>
      </c>
      <c r="B3" s="82" t="s">
        <v>121</v>
      </c>
      <c r="C3" s="83" t="n">
        <v>319417</v>
      </c>
      <c r="G3" s="83" t="s">
        <v>122</v>
      </c>
      <c r="I3" s="87" t="n">
        <v>0.5</v>
      </c>
    </row>
    <row r="4" customFormat="false" ht="15" hidden="false" customHeight="false" outlineLevel="0" collapsed="false">
      <c r="A4" s="81" t="n">
        <f aca="false">A3+1</f>
        <v>4</v>
      </c>
      <c r="B4" s="82" t="s">
        <v>123</v>
      </c>
      <c r="C4" s="83" t="n">
        <v>2450</v>
      </c>
      <c r="G4" s="83" t="s">
        <v>124</v>
      </c>
      <c r="I4" s="87" t="n">
        <f aca="false">1-I3</f>
        <v>0.5</v>
      </c>
    </row>
    <row r="5" customFormat="false" ht="15" hidden="false" customHeight="false" outlineLevel="0" collapsed="false">
      <c r="A5" s="81" t="n">
        <f aca="false">A4+1</f>
        <v>5</v>
      </c>
      <c r="B5" s="82" t="s">
        <v>125</v>
      </c>
      <c r="C5" s="83" t="n">
        <f aca="false">20762220/8760</f>
        <v>2370.11643835616</v>
      </c>
      <c r="D5" s="88"/>
      <c r="N5" s="89"/>
      <c r="O5" s="90"/>
    </row>
    <row r="6" customFormat="false" ht="15" hidden="false" customHeight="false" outlineLevel="0" collapsed="false">
      <c r="A6" s="81" t="n">
        <f aca="false">A5+1</f>
        <v>6</v>
      </c>
      <c r="B6" s="82" t="s">
        <v>126</v>
      </c>
      <c r="C6" s="83" t="n">
        <f aca="false">C3*(C4/C5)</f>
        <v>330182.786522828</v>
      </c>
      <c r="G6" s="83" t="s">
        <v>127</v>
      </c>
      <c r="N6" s="89"/>
    </row>
    <row r="7" customFormat="false" ht="15" hidden="false" customHeight="false" outlineLevel="0" collapsed="false">
      <c r="A7" s="81" t="n">
        <f aca="false">A6+1</f>
        <v>7</v>
      </c>
      <c r="B7" s="82" t="s">
        <v>128</v>
      </c>
      <c r="C7" s="83" t="n">
        <f aca="false">O13</f>
        <v>339528.423</v>
      </c>
      <c r="G7" s="83" t="s">
        <v>122</v>
      </c>
      <c r="I7" s="87" t="n">
        <v>0.1</v>
      </c>
      <c r="N7" s="89"/>
    </row>
    <row r="8" customFormat="false" ht="15" hidden="false" customHeight="false" outlineLevel="0" collapsed="false">
      <c r="A8" s="81" t="n">
        <f aca="false">A7+1</f>
        <v>8</v>
      </c>
      <c r="B8" s="82" t="s">
        <v>129</v>
      </c>
      <c r="C8" s="83" t="n">
        <f aca="false">(C6-C7)/12</f>
        <v>-778.803039764297</v>
      </c>
      <c r="G8" s="83" t="s">
        <v>124</v>
      </c>
      <c r="I8" s="87" t="n">
        <f aca="false">1-I7</f>
        <v>0.9</v>
      </c>
      <c r="O8" s="87"/>
    </row>
    <row r="9" customFormat="false" ht="15" hidden="false" customHeight="false" outlineLevel="0" collapsed="false">
      <c r="A9" s="81" t="n">
        <f aca="false">A8+1</f>
        <v>9</v>
      </c>
      <c r="B9" s="82" t="s">
        <v>130</v>
      </c>
      <c r="C9" s="83" t="n">
        <f aca="false">(47000*2)/12*1</f>
        <v>7833.33333333333</v>
      </c>
      <c r="D9" s="83" t="s">
        <v>131</v>
      </c>
    </row>
    <row r="10" customFormat="false" ht="15" hidden="false" customHeight="false" outlineLevel="0" collapsed="false">
      <c r="A10" s="81" t="n">
        <f aca="false">A9+1</f>
        <v>10</v>
      </c>
      <c r="B10" s="82" t="s">
        <v>132</v>
      </c>
      <c r="C10" s="91" t="n">
        <f aca="false">+C9*0.6</f>
        <v>4700</v>
      </c>
      <c r="D10" s="83" t="s">
        <v>133</v>
      </c>
    </row>
    <row r="11" customFormat="false" ht="15" hidden="false" customHeight="false" outlineLevel="0" collapsed="false">
      <c r="A11" s="81" t="n">
        <f aca="false">A10+1</f>
        <v>11</v>
      </c>
    </row>
    <row r="12" customFormat="false" ht="15" hidden="false" customHeight="false" outlineLevel="0" collapsed="false">
      <c r="A12" s="81" t="n">
        <f aca="false">A11+1</f>
        <v>12</v>
      </c>
      <c r="C12" s="92" t="s">
        <v>54</v>
      </c>
      <c r="D12" s="92" t="s">
        <v>55</v>
      </c>
      <c r="E12" s="92" t="s">
        <v>134</v>
      </c>
      <c r="F12" s="92" t="s">
        <v>57</v>
      </c>
      <c r="G12" s="92" t="s">
        <v>135</v>
      </c>
      <c r="H12" s="92" t="s">
        <v>59</v>
      </c>
      <c r="I12" s="92" t="s">
        <v>60</v>
      </c>
      <c r="J12" s="92" t="s">
        <v>61</v>
      </c>
      <c r="K12" s="92" t="s">
        <v>62</v>
      </c>
      <c r="L12" s="92" t="s">
        <v>63</v>
      </c>
      <c r="M12" s="92" t="s">
        <v>64</v>
      </c>
      <c r="N12" s="92" t="s">
        <v>65</v>
      </c>
      <c r="O12" s="92" t="s">
        <v>136</v>
      </c>
    </row>
    <row r="13" customFormat="false" ht="15" hidden="false" customHeight="false" outlineLevel="0" collapsed="false">
      <c r="A13" s="81" t="n">
        <f aca="false">A12+1</f>
        <v>13</v>
      </c>
      <c r="B13" s="82" t="s">
        <v>137</v>
      </c>
      <c r="C13" s="91" t="n">
        <v>57620.79</v>
      </c>
      <c r="D13" s="91" t="n">
        <v>10670.28</v>
      </c>
      <c r="E13" s="91" t="n">
        <v>-8108.806</v>
      </c>
      <c r="F13" s="91" t="n">
        <v>33703.02</v>
      </c>
      <c r="G13" s="91" t="n">
        <v>22859.08</v>
      </c>
      <c r="H13" s="91" t="n">
        <v>-9726.131</v>
      </c>
      <c r="I13" s="91" t="n">
        <v>29567.79</v>
      </c>
      <c r="J13" s="91" t="n">
        <v>10970.53</v>
      </c>
      <c r="K13" s="91" t="n">
        <v>35406.42</v>
      </c>
      <c r="L13" s="91" t="n">
        <v>24257.87</v>
      </c>
      <c r="M13" s="91" t="n">
        <v>56019.41</v>
      </c>
      <c r="N13" s="91" t="n">
        <v>76288.17</v>
      </c>
      <c r="O13" s="83" t="n">
        <f aca="false">SUM(C13:N13)</f>
        <v>339528.423</v>
      </c>
    </row>
    <row r="14" customFormat="false" ht="15" hidden="false" customHeight="false" outlineLevel="0" collapsed="false">
      <c r="A14" s="81" t="n">
        <f aca="false">A13+1</f>
        <v>14</v>
      </c>
      <c r="B14" s="86" t="s">
        <v>138</v>
      </c>
      <c r="C14" s="92" t="n">
        <f aca="false">C13+$C$8</f>
        <v>56841.9869602357</v>
      </c>
      <c r="D14" s="92" t="n">
        <f aca="false">D13+$C$8</f>
        <v>9891.47696023571</v>
      </c>
      <c r="E14" s="92" t="n">
        <f aca="false">E13+$C$8</f>
        <v>-8887.6090397643</v>
      </c>
      <c r="F14" s="92" t="n">
        <f aca="false">F13+$C$8</f>
        <v>32924.2169602357</v>
      </c>
      <c r="G14" s="92" t="n">
        <f aca="false">G13+$C$8</f>
        <v>22080.2769602357</v>
      </c>
      <c r="H14" s="92" t="n">
        <f aca="false">H13+$C$8</f>
        <v>-10504.9340397643</v>
      </c>
      <c r="I14" s="92" t="n">
        <f aca="false">I13+$C$8</f>
        <v>28788.9869602357</v>
      </c>
      <c r="J14" s="92" t="n">
        <f aca="false">J13+$C$8</f>
        <v>10191.7269602357</v>
      </c>
      <c r="K14" s="92" t="n">
        <f aca="false">K13+$C$8</f>
        <v>34627.6169602357</v>
      </c>
      <c r="L14" s="92" t="n">
        <f aca="false">L13+$C$8</f>
        <v>23479.0669602357</v>
      </c>
      <c r="M14" s="92" t="n">
        <f aca="false">M13+$C$8</f>
        <v>55240.6069602357</v>
      </c>
      <c r="N14" s="92" t="n">
        <f aca="false">N13+$C$8</f>
        <v>75509.3669602357</v>
      </c>
      <c r="O14" s="92" t="n">
        <f aca="false">SUM(C14:N14)</f>
        <v>330182.786522828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customFormat="false" ht="15" hidden="false" customHeight="false" outlineLevel="0" collapsed="false">
      <c r="A15" s="81" t="n">
        <f aca="false">A14+1</f>
        <v>15</v>
      </c>
    </row>
    <row r="16" customFormat="false" ht="15" hidden="false" customHeight="false" outlineLevel="0" collapsed="false">
      <c r="A16" s="81" t="n">
        <f aca="false">+A15+1</f>
        <v>16</v>
      </c>
    </row>
    <row r="17" customFormat="false" ht="15" hidden="false" customHeight="false" outlineLevel="0" collapsed="false">
      <c r="A17" s="81" t="n">
        <f aca="false">+A16+1</f>
        <v>17</v>
      </c>
      <c r="B17" s="82" t="s">
        <v>139</v>
      </c>
      <c r="C17" s="83" t="n">
        <f aca="false">C18+($C$10/2)</f>
        <v>63108.6536269024</v>
      </c>
      <c r="D17" s="83" t="n">
        <f aca="false">D18+($C$10/2)</f>
        <v>16158.1436269024</v>
      </c>
      <c r="E17" s="83" t="n">
        <f aca="false">E18+($C$10/2)</f>
        <v>-2620.94237309763</v>
      </c>
      <c r="F17" s="83" t="n">
        <f aca="false">F18+($C$10/2)</f>
        <v>39190.8836269024</v>
      </c>
      <c r="G17" s="83" t="n">
        <f aca="false">G18+($C$10/2)</f>
        <v>28346.9436269024</v>
      </c>
      <c r="H17" s="83" t="n">
        <f aca="false">H18+($C$10/2)</f>
        <v>-4238.26737309763</v>
      </c>
      <c r="I17" s="83" t="n">
        <f aca="false">I18+($C$10/2)</f>
        <v>35055.6536269024</v>
      </c>
      <c r="J17" s="83" t="n">
        <f aca="false">J18+($C$10/2)</f>
        <v>16458.3936269024</v>
      </c>
      <c r="K17" s="83" t="n">
        <f aca="false">K18+($C$10/2)</f>
        <v>40894.2836269024</v>
      </c>
      <c r="O17" s="83" t="n">
        <f aca="false">SUM(C17:K17)</f>
        <v>232353.745642121</v>
      </c>
    </row>
    <row r="18" customFormat="false" ht="15" hidden="false" customHeight="false" outlineLevel="0" collapsed="false">
      <c r="A18" s="81" t="n">
        <f aca="false">A17+1</f>
        <v>18</v>
      </c>
      <c r="B18" s="82" t="s">
        <v>140</v>
      </c>
      <c r="C18" s="83" t="n">
        <f aca="false">C19+($C$9/2)</f>
        <v>60758.6536269024</v>
      </c>
      <c r="D18" s="83" t="n">
        <f aca="false">D19+($C$9/2)</f>
        <v>13808.1436269024</v>
      </c>
      <c r="E18" s="83" t="n">
        <f aca="false">E19+($C$9/2)</f>
        <v>-4970.94237309763</v>
      </c>
      <c r="F18" s="83" t="n">
        <f aca="false">F19+($C$9/2)</f>
        <v>36840.8836269024</v>
      </c>
      <c r="G18" s="83" t="n">
        <f aca="false">G19+($C$9/2)</f>
        <v>25996.9436269024</v>
      </c>
      <c r="H18" s="83" t="n">
        <f aca="false">H19+($C$9/2)</f>
        <v>-6588.26737309763</v>
      </c>
      <c r="I18" s="83" t="n">
        <f aca="false">I19+($C$9/2)</f>
        <v>32705.6536269024</v>
      </c>
      <c r="J18" s="83" t="n">
        <f aca="false">J19+($C$9/2)</f>
        <v>14108.3936269024</v>
      </c>
      <c r="K18" s="83" t="n">
        <f aca="false">K19+($C$9/2)</f>
        <v>38544.2836269024</v>
      </c>
      <c r="O18" s="83" t="n">
        <f aca="false">O19+($C$9*(9/2))</f>
        <v>211203.745642121</v>
      </c>
      <c r="Q18" s="83"/>
    </row>
    <row r="19" customFormat="false" ht="15" hidden="false" customHeight="false" outlineLevel="0" collapsed="false">
      <c r="A19" s="81" t="n">
        <f aca="false">A18+1</f>
        <v>19</v>
      </c>
      <c r="B19" s="86" t="s">
        <v>138</v>
      </c>
      <c r="C19" s="92" t="n">
        <f aca="false">C14</f>
        <v>56841.9869602357</v>
      </c>
      <c r="D19" s="92" t="n">
        <f aca="false">D14</f>
        <v>9891.47696023571</v>
      </c>
      <c r="E19" s="92" t="n">
        <f aca="false">E14</f>
        <v>-8887.6090397643</v>
      </c>
      <c r="F19" s="92" t="n">
        <f aca="false">F14</f>
        <v>32924.2169602357</v>
      </c>
      <c r="G19" s="92" t="n">
        <f aca="false">G14</f>
        <v>22080.2769602357</v>
      </c>
      <c r="H19" s="92" t="n">
        <f aca="false">H14</f>
        <v>-10504.9340397643</v>
      </c>
      <c r="I19" s="92" t="n">
        <f aca="false">I14</f>
        <v>28788.9869602357</v>
      </c>
      <c r="J19" s="92" t="n">
        <f aca="false">J14</f>
        <v>10191.7269602357</v>
      </c>
      <c r="K19" s="92" t="n">
        <f aca="false">K14</f>
        <v>34627.6169602357</v>
      </c>
      <c r="L19" s="92"/>
      <c r="M19" s="92"/>
      <c r="N19" s="92"/>
      <c r="O19" s="92" t="n">
        <f aca="false">SUM(C19:N19)</f>
        <v>175953.745642121</v>
      </c>
      <c r="P19" s="86"/>
      <c r="Q19" s="92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customFormat="false" ht="15" hidden="false" customHeight="false" outlineLevel="0" collapsed="false">
      <c r="A20" s="81" t="n">
        <f aca="false">A19+1</f>
        <v>20</v>
      </c>
      <c r="B20" s="82" t="s">
        <v>141</v>
      </c>
      <c r="C20" s="83" t="n">
        <f aca="false">C19-($C$9/2)</f>
        <v>52925.320293569</v>
      </c>
      <c r="D20" s="83" t="n">
        <f aca="false">D19-($C$9/2)</f>
        <v>5974.81029356904</v>
      </c>
      <c r="E20" s="83" t="n">
        <f aca="false">E19-($C$9/2)</f>
        <v>-12804.275706431</v>
      </c>
      <c r="F20" s="83" t="n">
        <f aca="false">F19-($C$9/2)</f>
        <v>29007.550293569</v>
      </c>
      <c r="G20" s="83" t="n">
        <f aca="false">G19-($C$9/2)</f>
        <v>18163.610293569</v>
      </c>
      <c r="H20" s="83" t="n">
        <f aca="false">H19-($C$9/2)</f>
        <v>-14421.600706431</v>
      </c>
      <c r="I20" s="83" t="n">
        <f aca="false">I19-($C$9/2)</f>
        <v>24872.320293569</v>
      </c>
      <c r="J20" s="83" t="n">
        <f aca="false">J19-($C$9/2)</f>
        <v>6275.06029356904</v>
      </c>
      <c r="K20" s="83" t="n">
        <f aca="false">K19-($C$9/2)</f>
        <v>30710.950293569</v>
      </c>
      <c r="O20" s="83" t="n">
        <f aca="false">O19-($C$9*(9/2))</f>
        <v>140703.745642121</v>
      </c>
    </row>
    <row r="21" customFormat="false" ht="15" hidden="false" customHeight="false" outlineLevel="0" collapsed="false">
      <c r="A21" s="81" t="n">
        <f aca="false">A20+1</f>
        <v>21</v>
      </c>
      <c r="B21" s="93" t="s">
        <v>142</v>
      </c>
      <c r="C21" s="83" t="n">
        <f aca="false">C20-($C$10/2)</f>
        <v>50575.320293569</v>
      </c>
      <c r="D21" s="83" t="n">
        <f aca="false">D20-($C$10/2)</f>
        <v>3624.81029356904</v>
      </c>
      <c r="E21" s="83" t="n">
        <f aca="false">E20-($C$10/2)</f>
        <v>-15154.275706431</v>
      </c>
      <c r="F21" s="83" t="n">
        <f aca="false">F20-($C$10/2)</f>
        <v>26657.550293569</v>
      </c>
      <c r="G21" s="83" t="n">
        <f aca="false">G20-($C$10/2)</f>
        <v>15813.610293569</v>
      </c>
      <c r="H21" s="83" t="n">
        <f aca="false">H20-($C$10/2)</f>
        <v>-16771.600706431</v>
      </c>
      <c r="I21" s="83" t="n">
        <f aca="false">I20-($C$10/2)</f>
        <v>22522.320293569</v>
      </c>
      <c r="J21" s="83" t="n">
        <f aca="false">J20-($C$10/2)</f>
        <v>3925.06029356904</v>
      </c>
      <c r="K21" s="83" t="n">
        <f aca="false">K20-($C$10/2)</f>
        <v>28360.950293569</v>
      </c>
      <c r="O21" s="94" t="n">
        <f aca="false">SUM(C21:N21)</f>
        <v>119553.745642121</v>
      </c>
    </row>
    <row r="22" customFormat="false" ht="15" hidden="false" customHeight="false" outlineLevel="0" collapsed="false">
      <c r="O22" s="94"/>
    </row>
    <row r="23" customFormat="false" ht="15" hidden="false" customHeight="false" outlineLevel="0" collapsed="false">
      <c r="B23" s="95" t="s">
        <v>143</v>
      </c>
      <c r="O23" s="94"/>
    </row>
    <row r="24" customFormat="false" ht="15" hidden="false" customHeight="false" outlineLevel="0" collapsed="false">
      <c r="A24" s="81" t="n">
        <f aca="false">+A21+1</f>
        <v>22</v>
      </c>
      <c r="B24" s="82" t="s">
        <v>139</v>
      </c>
      <c r="C24" s="83" t="n">
        <f aca="false">+C17</f>
        <v>63108.6536269024</v>
      </c>
      <c r="D24" s="83" t="n">
        <f aca="false">+C24+D17</f>
        <v>79266.7972538048</v>
      </c>
      <c r="E24" s="83" t="n">
        <f aca="false">+D24+E17</f>
        <v>76645.8548807071</v>
      </c>
      <c r="F24" s="83" t="n">
        <f aca="false">+E24+F17</f>
        <v>115836.73850761</v>
      </c>
      <c r="G24" s="83" t="n">
        <f aca="false">+F24+G17</f>
        <v>144183.682134512</v>
      </c>
      <c r="H24" s="83" t="n">
        <f aca="false">+G24+H17</f>
        <v>139945.414761414</v>
      </c>
      <c r="I24" s="83" t="n">
        <f aca="false">+H24+I17</f>
        <v>175001.068388317</v>
      </c>
      <c r="J24" s="83" t="n">
        <f aca="false">+I24+J17</f>
        <v>191459.462015219</v>
      </c>
      <c r="K24" s="83" t="n">
        <f aca="false">+J24+K17</f>
        <v>232353.745642121</v>
      </c>
      <c r="O24" s="94"/>
    </row>
    <row r="25" customFormat="false" ht="15" hidden="false" customHeight="false" outlineLevel="0" collapsed="false">
      <c r="A25" s="81" t="n">
        <f aca="false">+A24+1</f>
        <v>23</v>
      </c>
      <c r="B25" s="82" t="s">
        <v>140</v>
      </c>
      <c r="C25" s="83" t="n">
        <f aca="false">+C18</f>
        <v>60758.6536269024</v>
      </c>
      <c r="D25" s="83" t="n">
        <f aca="false">+C25+D18</f>
        <v>74566.7972538048</v>
      </c>
      <c r="E25" s="83" t="n">
        <f aca="false">+D25+E18</f>
        <v>69595.8548807071</v>
      </c>
      <c r="F25" s="83" t="n">
        <f aca="false">+E25+F18</f>
        <v>106436.73850761</v>
      </c>
      <c r="G25" s="83" t="n">
        <f aca="false">+F25+G18</f>
        <v>132433.682134512</v>
      </c>
      <c r="H25" s="83" t="n">
        <f aca="false">+G25+H18</f>
        <v>125845.414761414</v>
      </c>
      <c r="I25" s="83" t="n">
        <f aca="false">+H25+I18</f>
        <v>158551.068388317</v>
      </c>
      <c r="J25" s="83" t="n">
        <f aca="false">+I25+J18</f>
        <v>172659.462015219</v>
      </c>
      <c r="K25" s="83" t="n">
        <f aca="false">+J25+K18</f>
        <v>211203.745642121</v>
      </c>
      <c r="O25" s="94"/>
      <c r="Q25" s="83"/>
    </row>
    <row r="26" customFormat="false" ht="15" hidden="false" customHeight="false" outlineLevel="0" collapsed="false">
      <c r="A26" s="81" t="n">
        <f aca="false">+A25+1</f>
        <v>24</v>
      </c>
      <c r="B26" s="86" t="s">
        <v>138</v>
      </c>
      <c r="C26" s="92" t="n">
        <f aca="false">+C19</f>
        <v>56841.9869602357</v>
      </c>
      <c r="D26" s="92" t="n">
        <f aca="false">+C26+D19</f>
        <v>66733.4639204714</v>
      </c>
      <c r="E26" s="92" t="n">
        <f aca="false">+D26+E19</f>
        <v>57845.8548807071</v>
      </c>
      <c r="F26" s="92" t="n">
        <f aca="false">+E26+F19</f>
        <v>90770.0718409428</v>
      </c>
      <c r="G26" s="92" t="n">
        <f aca="false">+F26+G19</f>
        <v>112850.348801179</v>
      </c>
      <c r="H26" s="92" t="n">
        <f aca="false">+G26+H19</f>
        <v>102345.414761414</v>
      </c>
      <c r="I26" s="92" t="n">
        <f aca="false">+H26+I19</f>
        <v>131134.40172165</v>
      </c>
      <c r="J26" s="92" t="n">
        <f aca="false">+I26+J19</f>
        <v>141326.128681886</v>
      </c>
      <c r="K26" s="92" t="n">
        <f aca="false">+J26+K19</f>
        <v>175953.745642121</v>
      </c>
      <c r="L26" s="92"/>
      <c r="M26" s="92"/>
      <c r="N26" s="92"/>
      <c r="O26" s="92"/>
      <c r="Q26" s="83"/>
    </row>
    <row r="27" customFormat="false" ht="15" hidden="false" customHeight="false" outlineLevel="0" collapsed="false">
      <c r="A27" s="81" t="n">
        <f aca="false">+A26+1</f>
        <v>25</v>
      </c>
      <c r="B27" s="82" t="s">
        <v>141</v>
      </c>
      <c r="C27" s="83" t="n">
        <f aca="false">+C20</f>
        <v>52925.320293569</v>
      </c>
      <c r="D27" s="83" t="n">
        <f aca="false">+C27+D20</f>
        <v>58900.1305871381</v>
      </c>
      <c r="E27" s="83" t="n">
        <f aca="false">+D27+E20</f>
        <v>46095.8548807071</v>
      </c>
      <c r="F27" s="83" t="n">
        <f aca="false">+E27+F20</f>
        <v>75103.4051742762</v>
      </c>
      <c r="G27" s="83" t="n">
        <f aca="false">+F27+G20</f>
        <v>93267.0154678452</v>
      </c>
      <c r="H27" s="83" t="n">
        <f aca="false">+G27+H20</f>
        <v>78845.4147614142</v>
      </c>
      <c r="I27" s="83" t="n">
        <f aca="false">+H27+I20</f>
        <v>103717.735054983</v>
      </c>
      <c r="J27" s="83" t="n">
        <f aca="false">+I27+J20</f>
        <v>109992.795348552</v>
      </c>
      <c r="K27" s="83" t="n">
        <f aca="false">+J27+K20</f>
        <v>140703.745642121</v>
      </c>
      <c r="O27" s="94"/>
    </row>
    <row r="28" customFormat="false" ht="15" hidden="false" customHeight="false" outlineLevel="0" collapsed="false">
      <c r="A28" s="81" t="n">
        <f aca="false">+A27+1</f>
        <v>26</v>
      </c>
      <c r="B28" s="93" t="s">
        <v>142</v>
      </c>
      <c r="C28" s="83" t="n">
        <f aca="false">+C21</f>
        <v>50575.320293569</v>
      </c>
      <c r="D28" s="83" t="n">
        <f aca="false">+C28+D21</f>
        <v>54200.1305871381</v>
      </c>
      <c r="E28" s="83" t="n">
        <f aca="false">+D28+E21</f>
        <v>39045.8548807071</v>
      </c>
      <c r="F28" s="83" t="n">
        <f aca="false">+E28+F21</f>
        <v>65703.4051742762</v>
      </c>
      <c r="G28" s="83" t="n">
        <f aca="false">+F28+G21</f>
        <v>81517.0154678452</v>
      </c>
      <c r="H28" s="83" t="n">
        <f aca="false">+G28+H21</f>
        <v>64745.4147614142</v>
      </c>
      <c r="I28" s="83" t="n">
        <f aca="false">+H28+I21</f>
        <v>87267.7350549833</v>
      </c>
      <c r="J28" s="83" t="n">
        <f aca="false">+I28+J21</f>
        <v>91192.7953485523</v>
      </c>
      <c r="K28" s="83" t="n">
        <f aca="false">+J28+K21</f>
        <v>119553.745642121</v>
      </c>
      <c r="O28" s="94"/>
    </row>
    <row r="31" customFormat="false" ht="15.75" hidden="false" customHeight="false" outlineLevel="0" collapsed="false">
      <c r="B31" s="86" t="s">
        <v>144</v>
      </c>
    </row>
    <row r="32" customFormat="false" ht="15" hidden="false" customHeight="false" outlineLevel="0" collapsed="false">
      <c r="A32" s="82"/>
      <c r="B32" s="96" t="s">
        <v>145</v>
      </c>
      <c r="C32" s="97" t="n">
        <v>68494.5168244445</v>
      </c>
      <c r="D32" s="97" t="n">
        <v>7293</v>
      </c>
      <c r="E32" s="97" t="n">
        <v>272</v>
      </c>
      <c r="F32" s="97" t="n">
        <v>-8303</v>
      </c>
      <c r="G32" s="97" t="n">
        <v>25274.077</v>
      </c>
      <c r="H32" s="97" t="n">
        <v>15052.6444444444</v>
      </c>
      <c r="I32" s="97" t="n">
        <v>71331.6060030381</v>
      </c>
      <c r="J32" s="97" t="n">
        <v>68085.0019405382</v>
      </c>
      <c r="K32" s="98" t="n">
        <v>67761.3210088976</v>
      </c>
      <c r="L32" s="82"/>
      <c r="M32" s="82"/>
      <c r="N32" s="82"/>
      <c r="O32" s="82"/>
    </row>
    <row r="33" customFormat="false" ht="15.75" hidden="false" customHeight="false" outlineLevel="0" collapsed="false">
      <c r="A33" s="82"/>
      <c r="B33" s="99" t="s">
        <v>146</v>
      </c>
      <c r="C33" s="100" t="n">
        <f aca="false">+C32</f>
        <v>68494.5168244445</v>
      </c>
      <c r="D33" s="100" t="n">
        <f aca="false">+C33+D32</f>
        <v>75787.5168244445</v>
      </c>
      <c r="E33" s="100" t="n">
        <f aca="false">+D33+E32</f>
        <v>76059.5168244445</v>
      </c>
      <c r="F33" s="100" t="n">
        <f aca="false">+E33+F32</f>
        <v>67756.5168244445</v>
      </c>
      <c r="G33" s="100" t="n">
        <f aca="false">+F33+G32</f>
        <v>93030.5938244445</v>
      </c>
      <c r="H33" s="100" t="n">
        <f aca="false">+G33+H32</f>
        <v>108083.238268889</v>
      </c>
      <c r="I33" s="100" t="n">
        <f aca="false">+H33+I32</f>
        <v>179414.844271927</v>
      </c>
      <c r="J33" s="100" t="n">
        <f aca="false">+I33+J32</f>
        <v>247499.846212465</v>
      </c>
      <c r="K33" s="101" t="n">
        <f aca="false">+J33+K32</f>
        <v>315261.167221363</v>
      </c>
      <c r="L33" s="82"/>
      <c r="M33" s="82"/>
      <c r="N33" s="82"/>
      <c r="O33" s="82"/>
    </row>
    <row r="34" customFormat="false" ht="15.75" hidden="false" customHeight="false" outlineLevel="0" collapsed="false">
      <c r="A34" s="82"/>
      <c r="B34" s="99" t="s">
        <v>147</v>
      </c>
      <c r="C34" s="91" t="n">
        <f aca="false">IF(C33&gt;C24,(C33-C24)*0.9+(C24-C25)*0.5,IF(C33&gt;C25,(C33-C25)*0.5,IF(C33&lt;C27,(C27-C33)*0.5,IF(C33&lt;C28,(C28-C33)*0.9+(C28-C27)*0.5,0))))</f>
        <v>6022.27687778787</v>
      </c>
      <c r="D34" s="91" t="n">
        <f aca="false">IF(D33&gt;D24,(D33-D24)*0.9+(D24-D25)*0.5,IF(D33&gt;D25,(D33-D25)*0.5,IF(D33&lt;D27,(D27-D33)*0.5,IF(D33&lt;D28,(D28-D33)*0.9+(D28-D27)*0.5,0))))</f>
        <v>610.359785319852</v>
      </c>
      <c r="E34" s="91" t="n">
        <f aca="false">IF(E33&gt;E24,(E33-E24)*0.9+(E24-E25)*0.5,IF(E33&gt;E25,(E33-E25)*0.5,IF(E33&lt;E27,(E27-E33)*0.5,IF(E33&lt;E28,(E28-E33)*0.9+(E28-E27)*0.5,0))))</f>
        <v>3231.83097186867</v>
      </c>
      <c r="F34" s="91" t="n">
        <f aca="false">IF(F33&gt;F24,(F33-F24)*0.9+(F24-F25)*0.5,IF(F33&gt;F25,(F33-F25)*0.5,IF(F33&lt;F27,(F27-F33)*0.5,IF(F33&lt;F28,(F28-F33)*0.9+(F28-F27)*0.5,0))))</f>
        <v>3673.44417491585</v>
      </c>
      <c r="G34" s="91" t="n">
        <f aca="false">IF(G33&gt;G24,(G33-G24)*0.9+(G24-G25)*0.5,IF(G33&gt;G25,(G33-G25)*0.5,IF(G33&lt;G27,(G27-G33)*0.5,IF(G33&lt;G28,(G28-G33)*0.9+(G28-G27)*0.5,0))))</f>
        <v>118.21082170037</v>
      </c>
      <c r="H34" s="91" t="n">
        <f aca="false">IF(H33&gt;H24,(H33-H24)*0.9+(H24-H25)*0.5,IF(H33&gt;H25,(H33-H25)*0.5,IF(H33&lt;H27,(H27-H33)*0.5,IF(H33&lt;H28,(H28-H33)*0.9+(H28-H27)*0.5,0))))</f>
        <v>0</v>
      </c>
      <c r="I34" s="91" t="n">
        <f aca="false">IF(I33&gt;I24,(I33-I24)*0.9+(I24-I25)*0.5,IF(I33&gt;I25,(I33-I25)*0.5,IF(I33&lt;I27,(I27-I33)*0.5,IF(I33&lt;I28,(I28-I33)*0.9+(I28-I27)*0.5,0))))</f>
        <v>12197.3982952494</v>
      </c>
      <c r="J34" s="91" t="n">
        <f aca="false">IF(J33&gt;J24,(J33-J24)*0.9+(J24-J25)*0.5,IF(J33&gt;J25,(J33-J25)*0.5,IF(J33&lt;J27,(J27-J33)*0.5,IF(J33&lt;J28,(J28-J33)*0.9+(J28-J27)*0.5,0))))</f>
        <v>59836.3457775216</v>
      </c>
      <c r="K34" s="102" t="n">
        <f aca="false">IF(K33&gt;K24,(K33-K24)*0.9+(K24-K25)*0.5,IF(K33&gt;K25,(K33-K25)*0.5,IF(K33&lt;K27,(K27-K33)*0.5,IF(K33&lt;K28,(K28-K33)*0.9+(K28-K27)*0.5,0))))</f>
        <v>85191.6794213173</v>
      </c>
      <c r="L34" s="82"/>
      <c r="M34" s="82"/>
      <c r="N34" s="82"/>
      <c r="O34" s="82"/>
    </row>
    <row r="35" customFormat="false" ht="15.75" hidden="false" customHeight="false" outlineLevel="0" collapsed="false">
      <c r="A35" s="82"/>
      <c r="B35" s="103" t="s">
        <v>148</v>
      </c>
      <c r="C35" s="104"/>
      <c r="D35" s="104" t="n">
        <f aca="false">+D34-C34</f>
        <v>-5411.91709246802</v>
      </c>
      <c r="E35" s="104" t="n">
        <f aca="false">+E34-D34</f>
        <v>2621.47118654881</v>
      </c>
      <c r="F35" s="104" t="n">
        <f aca="false">+F34-E34</f>
        <v>441.613203047185</v>
      </c>
      <c r="G35" s="104" t="n">
        <f aca="false">+G34-F34</f>
        <v>-3555.23335321548</v>
      </c>
      <c r="H35" s="104" t="n">
        <f aca="false">+H34-G34</f>
        <v>-118.21082170037</v>
      </c>
      <c r="I35" s="104" t="n">
        <f aca="false">+I34-H34</f>
        <v>12197.3982952494</v>
      </c>
      <c r="J35" s="104" t="n">
        <f aca="false">+J34-I34</f>
        <v>47638.9474822722</v>
      </c>
      <c r="K35" s="105" t="n">
        <f aca="false">+K34-J34</f>
        <v>25355.3336437958</v>
      </c>
      <c r="L35" s="82"/>
      <c r="M35" s="82"/>
      <c r="N35" s="82"/>
      <c r="O35" s="82"/>
    </row>
    <row r="36" customFormat="false" ht="15" hidden="false" customHeight="false" outlineLevel="0" collapsed="false">
      <c r="A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customFormat="false" ht="15" hidden="false" customHeight="false" outlineLevel="0" collapsed="false">
      <c r="A37" s="82"/>
      <c r="B37" s="106" t="str">
        <f aca="true">CELL("filename")</f>
        <v>'file:///mnt/12tb/@roms/datasets/enron/EDRM Enron Email Data Set v2 XML/filtered-attachments/xls/PCA_Mechanism_June_19.xls'#$June 19 deferral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customFormat="false" ht="15" hidden="false" customHeight="false" outlineLevel="0" collapsed="false">
      <c r="A38" s="82"/>
      <c r="C38" s="91"/>
      <c r="D38" s="91"/>
      <c r="E38" s="91"/>
      <c r="F38" s="91"/>
      <c r="G38" s="91"/>
      <c r="H38" s="91"/>
      <c r="I38" s="91"/>
      <c r="J38" s="91"/>
      <c r="K38" s="91"/>
      <c r="L38" s="82"/>
      <c r="M38" s="82"/>
      <c r="N38" s="82"/>
      <c r="O38" s="82"/>
    </row>
    <row r="39" customFormat="false" ht="15" hidden="false" customHeight="false" outlineLevel="0" collapsed="false">
      <c r="A39" s="82"/>
      <c r="C39" s="91"/>
      <c r="D39" s="91"/>
      <c r="E39" s="91"/>
      <c r="F39" s="91"/>
      <c r="G39" s="91"/>
      <c r="H39" s="91"/>
      <c r="I39" s="91"/>
      <c r="J39" s="91"/>
      <c r="K39" s="91"/>
      <c r="L39" s="82"/>
      <c r="M39" s="82"/>
      <c r="N39" s="82"/>
      <c r="O39" s="82"/>
    </row>
    <row r="40" customFormat="false" ht="15" hidden="false" customHeight="false" outlineLevel="0" collapsed="false">
      <c r="A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customFormat="false" ht="15" hidden="false" customHeight="false" outlineLevel="0" collapsed="false">
      <c r="A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customFormat="false" ht="15" hidden="false" customHeight="false" outlineLevel="0" collapsed="false">
      <c r="A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customFormat="false" ht="15" hidden="false" customHeight="false" outlineLevel="0" collapsed="false">
      <c r="A43" s="82"/>
      <c r="B43" s="93" t="s">
        <v>149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customFormat="false" ht="15" hidden="false" customHeight="false" outlineLevel="0" collapsed="false">
      <c r="A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customFormat="false" ht="15" hidden="false" customHeight="false" outlineLevel="0" collapsed="false">
      <c r="A45" s="91"/>
      <c r="B45" s="91" t="str">
        <f aca="false">+B24</f>
        <v>Upper Limit of 50/50 Sharing</v>
      </c>
      <c r="C45" s="91" t="n">
        <f aca="false">+C24</f>
        <v>63108.6536269024</v>
      </c>
      <c r="D45" s="91" t="n">
        <f aca="false">+D24</f>
        <v>79266.7972538048</v>
      </c>
      <c r="E45" s="91" t="n">
        <f aca="false">+E24</f>
        <v>76645.8548807071</v>
      </c>
      <c r="F45" s="91" t="n">
        <f aca="false">+F24</f>
        <v>115836.73850761</v>
      </c>
      <c r="G45" s="91" t="n">
        <f aca="false">+G24</f>
        <v>144183.682134512</v>
      </c>
      <c r="H45" s="91" t="n">
        <f aca="false">+H24</f>
        <v>139945.414761414</v>
      </c>
      <c r="I45" s="91" t="n">
        <f aca="false">+I24</f>
        <v>175001.068388317</v>
      </c>
      <c r="J45" s="91" t="n">
        <f aca="false">+J24</f>
        <v>191459.462015219</v>
      </c>
      <c r="K45" s="91" t="n">
        <f aca="false">+K24</f>
        <v>232353.745642121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  <c r="IW45" s="91"/>
    </row>
    <row r="46" customFormat="false" ht="15" hidden="false" customHeight="false" outlineLevel="0" collapsed="false">
      <c r="A46" s="91"/>
      <c r="B46" s="91" t="str">
        <f aca="false">+B25</f>
        <v>Upper Band</v>
      </c>
      <c r="C46" s="91" t="n">
        <f aca="false">+C25</f>
        <v>60758.6536269024</v>
      </c>
      <c r="D46" s="91" t="n">
        <f aca="false">+D25</f>
        <v>74566.7972538048</v>
      </c>
      <c r="E46" s="91" t="n">
        <f aca="false">+E25</f>
        <v>69595.8548807071</v>
      </c>
      <c r="F46" s="91" t="n">
        <f aca="false">+F25</f>
        <v>106436.73850761</v>
      </c>
      <c r="G46" s="91" t="n">
        <f aca="false">+G25</f>
        <v>132433.682134512</v>
      </c>
      <c r="H46" s="91" t="n">
        <f aca="false">+H25</f>
        <v>125845.414761414</v>
      </c>
      <c r="I46" s="91" t="n">
        <f aca="false">+I25</f>
        <v>158551.068388317</v>
      </c>
      <c r="J46" s="91" t="n">
        <f aca="false">+J25</f>
        <v>172659.462015219</v>
      </c>
      <c r="K46" s="91" t="n">
        <f aca="false">+K25</f>
        <v>211203.745642121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  <c r="IW46" s="91"/>
    </row>
    <row r="47" customFormat="false" ht="15" hidden="false" customHeight="false" outlineLevel="0" collapsed="false">
      <c r="A47" s="91"/>
      <c r="B47" s="91" t="str">
        <f aca="false">+B27</f>
        <v>Lower Band</v>
      </c>
      <c r="C47" s="91" t="n">
        <f aca="false">+C27</f>
        <v>52925.320293569</v>
      </c>
      <c r="D47" s="91" t="n">
        <f aca="false">+D27</f>
        <v>58900.1305871381</v>
      </c>
      <c r="E47" s="91" t="n">
        <f aca="false">+E27</f>
        <v>46095.8548807071</v>
      </c>
      <c r="F47" s="91" t="n">
        <f aca="false">+F27</f>
        <v>75103.4051742762</v>
      </c>
      <c r="G47" s="91" t="n">
        <f aca="false">+G27</f>
        <v>93267.0154678452</v>
      </c>
      <c r="H47" s="91" t="n">
        <f aca="false">+H27</f>
        <v>78845.4147614142</v>
      </c>
      <c r="I47" s="91" t="n">
        <f aca="false">+I27</f>
        <v>103717.735054983</v>
      </c>
      <c r="J47" s="91" t="n">
        <f aca="false">+J27</f>
        <v>109992.795348552</v>
      </c>
      <c r="K47" s="91" t="n">
        <f aca="false">+K27</f>
        <v>140703.745642121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  <c r="IW47" s="91"/>
    </row>
    <row r="48" customFormat="false" ht="15" hidden="false" customHeight="false" outlineLevel="0" collapsed="false">
      <c r="A48" s="91"/>
      <c r="B48" s="91" t="str">
        <f aca="false">+B28</f>
        <v>Lower Limit of 50/50 Sharing</v>
      </c>
      <c r="C48" s="91" t="n">
        <f aca="false">+C28</f>
        <v>50575.320293569</v>
      </c>
      <c r="D48" s="91" t="n">
        <f aca="false">+D28</f>
        <v>54200.1305871381</v>
      </c>
      <c r="E48" s="91" t="n">
        <f aca="false">+E28</f>
        <v>39045.8548807071</v>
      </c>
      <c r="F48" s="91" t="n">
        <f aca="false">+F28</f>
        <v>65703.4051742762</v>
      </c>
      <c r="G48" s="91" t="n">
        <f aca="false">+G28</f>
        <v>81517.0154678452</v>
      </c>
      <c r="H48" s="91" t="n">
        <f aca="false">+H28</f>
        <v>64745.4147614142</v>
      </c>
      <c r="I48" s="91" t="n">
        <f aca="false">+I28</f>
        <v>87267.7350549833</v>
      </c>
      <c r="J48" s="91" t="n">
        <f aca="false">+J28</f>
        <v>91192.7953485523</v>
      </c>
      <c r="K48" s="91" t="n">
        <f aca="false">+K28</f>
        <v>119553.745642121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  <c r="IW48" s="91"/>
    </row>
    <row r="49" customFormat="false" ht="15" hidden="false" customHeight="false" outlineLevel="0" collapsed="false">
      <c r="A49" s="107"/>
      <c r="B49" s="91" t="s">
        <v>150</v>
      </c>
      <c r="C49" s="91" t="n">
        <f aca="false">+C33</f>
        <v>68494.5168244445</v>
      </c>
      <c r="D49" s="91" t="n">
        <f aca="false">+D33</f>
        <v>75787.5168244445</v>
      </c>
      <c r="E49" s="91" t="n">
        <f aca="false">+E33</f>
        <v>76059.5168244445</v>
      </c>
      <c r="F49" s="91" t="n">
        <f aca="false">+F33</f>
        <v>67756.5168244445</v>
      </c>
      <c r="G49" s="91" t="n">
        <f aca="false">+G33</f>
        <v>93030.5938244445</v>
      </c>
      <c r="H49" s="91" t="n">
        <f aca="false">+H33</f>
        <v>108083.238268889</v>
      </c>
      <c r="I49" s="91" t="n">
        <f aca="false">+I33</f>
        <v>179414.844271927</v>
      </c>
      <c r="J49" s="91" t="n">
        <f aca="false">+J33</f>
        <v>247499.846212465</v>
      </c>
      <c r="K49" s="91" t="n">
        <f aca="false">+K33</f>
        <v>315261.167221363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  <c r="IW49" s="91"/>
    </row>
    <row r="50" customFormat="false" ht="15" hidden="false" customHeight="false" outlineLevel="0" collapsed="false">
      <c r="A50" s="82"/>
      <c r="B50" s="93" t="s">
        <v>151</v>
      </c>
      <c r="C50" s="108" t="n">
        <f aca="false">+C34</f>
        <v>6022.27687778787</v>
      </c>
      <c r="D50" s="108" t="n">
        <f aca="false">+D34</f>
        <v>610.359785319852</v>
      </c>
      <c r="E50" s="108" t="n">
        <f aca="false">+E34</f>
        <v>3231.83097186867</v>
      </c>
      <c r="F50" s="108" t="n">
        <f aca="false">+F34</f>
        <v>3673.44417491585</v>
      </c>
      <c r="G50" s="108" t="n">
        <f aca="false">+G34</f>
        <v>118.21082170037</v>
      </c>
      <c r="H50" s="108" t="n">
        <f aca="false">+H34</f>
        <v>0</v>
      </c>
      <c r="I50" s="108" t="n">
        <f aca="false">+I34</f>
        <v>12197.3982952494</v>
      </c>
      <c r="J50" s="108" t="n">
        <f aca="false">+J34</f>
        <v>59836.3457775216</v>
      </c>
      <c r="K50" s="108" t="n">
        <f aca="false">+K34</f>
        <v>85191.6794213173</v>
      </c>
      <c r="L50" s="82"/>
      <c r="M50" s="82"/>
      <c r="N50" s="82"/>
      <c r="O50" s="82"/>
    </row>
    <row r="51" customFormat="false" ht="15" hidden="false" customHeight="false" outlineLevel="0" collapsed="false">
      <c r="A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customFormat="false" ht="15" hidden="false" customHeight="false" outlineLevel="0" collapsed="false">
      <c r="A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customFormat="false" ht="15" hidden="false" customHeight="false" outlineLevel="0" collapsed="false">
      <c r="A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customFormat="false" ht="15" hidden="false" customHeight="false" outlineLevel="0" collapsed="false">
      <c r="A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customFormat="false" ht="15" hidden="false" customHeight="false" outlineLevel="0" collapsed="false">
      <c r="A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customFormat="false" ht="15" hidden="false" customHeight="false" outlineLevel="0" collapsed="false">
      <c r="A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  <rowBreaks count="1" manualBreakCount="1">
    <brk id="3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F21" colorId="64" zoomScale="100" zoomScaleNormal="100" zoomScalePageLayoutView="100" workbookViewId="0">
      <selection pane="topLeft" activeCell="B29" activeCellId="0" sqref="B2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5.85"/>
    <col collapsed="false" customWidth="true" hidden="false" outlineLevel="0" max="2" min="2" style="82" width="33.85"/>
    <col collapsed="false" customWidth="true" hidden="false" outlineLevel="0" max="3" min="3" style="83" width="11.56"/>
    <col collapsed="false" customWidth="true" hidden="false" outlineLevel="0" max="4" min="4" style="83" width="10.71"/>
    <col collapsed="false" customWidth="true" hidden="false" outlineLevel="0" max="5" min="5" style="83" width="10.41"/>
    <col collapsed="false" customWidth="true" hidden="false" outlineLevel="0" max="7" min="6" style="83" width="10.71"/>
    <col collapsed="false" customWidth="true" hidden="false" outlineLevel="0" max="8" min="8" style="83" width="10.56"/>
    <col collapsed="false" customWidth="true" hidden="false" outlineLevel="0" max="11" min="9" style="83" width="10.71"/>
    <col collapsed="false" customWidth="true" hidden="false" outlineLevel="0" max="14" min="12" style="83" width="10.41"/>
    <col collapsed="false" customWidth="true" hidden="false" outlineLevel="0" max="15" min="15" style="83" width="11.42"/>
    <col collapsed="false" customWidth="true" hidden="false" outlineLevel="0" max="16" min="16" style="82" width="1.7"/>
    <col collapsed="false" customWidth="false" hidden="false" outlineLevel="0" max="257" min="17" style="82" width="9.14"/>
  </cols>
  <sheetData>
    <row r="1" customFormat="false" ht="15" hidden="false" customHeight="false" outlineLevel="0" collapsed="false">
      <c r="A1" s="84" t="n">
        <v>1</v>
      </c>
      <c r="B1" s="85" t="s">
        <v>118</v>
      </c>
    </row>
    <row r="2" customFormat="false" ht="15" hidden="false" customHeight="false" outlineLevel="0" collapsed="false">
      <c r="A2" s="81" t="n">
        <f aca="false">A1+1</f>
        <v>2</v>
      </c>
      <c r="B2" s="86" t="s">
        <v>119</v>
      </c>
      <c r="G2" s="83" t="s">
        <v>120</v>
      </c>
    </row>
    <row r="3" customFormat="false" ht="15" hidden="false" customHeight="false" outlineLevel="0" collapsed="false">
      <c r="A3" s="81" t="n">
        <f aca="false">A2+1</f>
        <v>3</v>
      </c>
      <c r="B3" s="82" t="s">
        <v>121</v>
      </c>
      <c r="C3" s="83" t="n">
        <v>319417</v>
      </c>
      <c r="G3" s="83" t="s">
        <v>122</v>
      </c>
      <c r="I3" s="87" t="n">
        <v>0.5</v>
      </c>
    </row>
    <row r="4" customFormat="false" ht="15" hidden="false" customHeight="false" outlineLevel="0" collapsed="false">
      <c r="A4" s="81" t="n">
        <f aca="false">A3+1</f>
        <v>4</v>
      </c>
      <c r="B4" s="82" t="s">
        <v>123</v>
      </c>
      <c r="C4" s="83" t="n">
        <v>2450</v>
      </c>
      <c r="G4" s="83" t="s">
        <v>124</v>
      </c>
      <c r="I4" s="87" t="n">
        <f aca="false">1-I3</f>
        <v>0.5</v>
      </c>
    </row>
    <row r="5" customFormat="false" ht="15" hidden="false" customHeight="false" outlineLevel="0" collapsed="false">
      <c r="A5" s="81" t="n">
        <f aca="false">A4+1</f>
        <v>5</v>
      </c>
      <c r="B5" s="82" t="s">
        <v>125</v>
      </c>
      <c r="C5" s="83" t="n">
        <f aca="false">20762220/8760</f>
        <v>2370.11643835616</v>
      </c>
      <c r="D5" s="88"/>
      <c r="N5" s="89"/>
      <c r="O5" s="90"/>
    </row>
    <row r="6" customFormat="false" ht="15" hidden="false" customHeight="false" outlineLevel="0" collapsed="false">
      <c r="A6" s="81" t="n">
        <f aca="false">A5+1</f>
        <v>6</v>
      </c>
      <c r="B6" s="82" t="s">
        <v>126</v>
      </c>
      <c r="C6" s="83" t="n">
        <f aca="false">C3*(C4/C5)</f>
        <v>330182.786522828</v>
      </c>
      <c r="G6" s="83" t="s">
        <v>127</v>
      </c>
      <c r="N6" s="89"/>
    </row>
    <row r="7" customFormat="false" ht="15" hidden="false" customHeight="false" outlineLevel="0" collapsed="false">
      <c r="A7" s="81" t="n">
        <f aca="false">A6+1</f>
        <v>7</v>
      </c>
      <c r="B7" s="82" t="s">
        <v>128</v>
      </c>
      <c r="C7" s="83" t="n">
        <f aca="false">O13</f>
        <v>339528.423</v>
      </c>
      <c r="G7" s="83" t="s">
        <v>122</v>
      </c>
      <c r="I7" s="87" t="n">
        <v>0.1</v>
      </c>
      <c r="N7" s="89"/>
    </row>
    <row r="8" customFormat="false" ht="15" hidden="false" customHeight="false" outlineLevel="0" collapsed="false">
      <c r="A8" s="81" t="n">
        <f aca="false">A7+1</f>
        <v>8</v>
      </c>
      <c r="B8" s="82" t="s">
        <v>129</v>
      </c>
      <c r="C8" s="83" t="n">
        <f aca="false">(C6-C7)/12</f>
        <v>-778.803039764297</v>
      </c>
      <c r="G8" s="83" t="s">
        <v>124</v>
      </c>
      <c r="I8" s="87" t="n">
        <f aca="false">1-I7</f>
        <v>0.9</v>
      </c>
      <c r="O8" s="87"/>
    </row>
    <row r="9" customFormat="false" ht="15" hidden="false" customHeight="false" outlineLevel="0" collapsed="false">
      <c r="A9" s="81" t="n">
        <f aca="false">A8+1</f>
        <v>9</v>
      </c>
      <c r="B9" s="82" t="s">
        <v>130</v>
      </c>
      <c r="C9" s="83" t="n">
        <f aca="false">(47000*2)/12*1</f>
        <v>7833.33333333333</v>
      </c>
      <c r="D9" s="83" t="s">
        <v>131</v>
      </c>
    </row>
    <row r="10" customFormat="false" ht="15" hidden="false" customHeight="false" outlineLevel="0" collapsed="false">
      <c r="A10" s="81" t="n">
        <f aca="false">A9+1</f>
        <v>10</v>
      </c>
      <c r="B10" s="82" t="s">
        <v>132</v>
      </c>
      <c r="C10" s="91" t="n">
        <f aca="false">+C9*0.6</f>
        <v>4700</v>
      </c>
      <c r="D10" s="83" t="s">
        <v>133</v>
      </c>
    </row>
    <row r="11" customFormat="false" ht="15" hidden="false" customHeight="false" outlineLevel="0" collapsed="false">
      <c r="A11" s="81" t="n">
        <f aca="false">A10+1</f>
        <v>11</v>
      </c>
    </row>
    <row r="12" customFormat="false" ht="15" hidden="false" customHeight="false" outlineLevel="0" collapsed="false">
      <c r="A12" s="81" t="n">
        <f aca="false">A11+1</f>
        <v>12</v>
      </c>
      <c r="C12" s="92" t="s">
        <v>54</v>
      </c>
      <c r="D12" s="92" t="s">
        <v>55</v>
      </c>
      <c r="E12" s="92" t="s">
        <v>134</v>
      </c>
      <c r="F12" s="92" t="s">
        <v>57</v>
      </c>
      <c r="G12" s="92" t="s">
        <v>135</v>
      </c>
      <c r="H12" s="92" t="s">
        <v>59</v>
      </c>
      <c r="I12" s="92" t="s">
        <v>60</v>
      </c>
      <c r="J12" s="92" t="s">
        <v>61</v>
      </c>
      <c r="K12" s="92" t="s">
        <v>62</v>
      </c>
      <c r="L12" s="92" t="s">
        <v>63</v>
      </c>
      <c r="M12" s="92" t="s">
        <v>64</v>
      </c>
      <c r="N12" s="92" t="s">
        <v>65</v>
      </c>
      <c r="O12" s="92" t="s">
        <v>136</v>
      </c>
    </row>
    <row r="13" customFormat="false" ht="15" hidden="false" customHeight="false" outlineLevel="0" collapsed="false">
      <c r="A13" s="81" t="n">
        <f aca="false">A12+1</f>
        <v>13</v>
      </c>
      <c r="B13" s="82" t="s">
        <v>137</v>
      </c>
      <c r="C13" s="91" t="n">
        <v>57620.79</v>
      </c>
      <c r="D13" s="91" t="n">
        <v>10670.28</v>
      </c>
      <c r="E13" s="91" t="n">
        <v>-8108.806</v>
      </c>
      <c r="F13" s="91" t="n">
        <v>33703.02</v>
      </c>
      <c r="G13" s="91" t="n">
        <v>22859.08</v>
      </c>
      <c r="H13" s="91" t="n">
        <v>-9726.131</v>
      </c>
      <c r="I13" s="91" t="n">
        <v>29567.79</v>
      </c>
      <c r="J13" s="91" t="n">
        <v>10970.53</v>
      </c>
      <c r="K13" s="91" t="n">
        <v>35406.42</v>
      </c>
      <c r="L13" s="91" t="n">
        <v>24257.87</v>
      </c>
      <c r="M13" s="91" t="n">
        <v>56019.41</v>
      </c>
      <c r="N13" s="91" t="n">
        <v>76288.17</v>
      </c>
      <c r="O13" s="83" t="n">
        <f aca="false">SUM(C13:N13)</f>
        <v>339528.423</v>
      </c>
    </row>
    <row r="14" customFormat="false" ht="15" hidden="false" customHeight="false" outlineLevel="0" collapsed="false">
      <c r="A14" s="81" t="n">
        <f aca="false">A13+1</f>
        <v>14</v>
      </c>
      <c r="B14" s="86" t="s">
        <v>138</v>
      </c>
      <c r="C14" s="92" t="n">
        <f aca="false">C13+$C$8</f>
        <v>56841.9869602357</v>
      </c>
      <c r="D14" s="92" t="n">
        <f aca="false">D13+$C$8</f>
        <v>9891.47696023571</v>
      </c>
      <c r="E14" s="92" t="n">
        <f aca="false">E13+$C$8</f>
        <v>-8887.6090397643</v>
      </c>
      <c r="F14" s="92" t="n">
        <f aca="false">F13+$C$8</f>
        <v>32924.2169602357</v>
      </c>
      <c r="G14" s="92" t="n">
        <f aca="false">G13+$C$8</f>
        <v>22080.2769602357</v>
      </c>
      <c r="H14" s="92" t="n">
        <f aca="false">H13+$C$8</f>
        <v>-10504.9340397643</v>
      </c>
      <c r="I14" s="92" t="n">
        <f aca="false">I13+$C$8</f>
        <v>28788.9869602357</v>
      </c>
      <c r="J14" s="92" t="n">
        <f aca="false">J13+$C$8</f>
        <v>10191.7269602357</v>
      </c>
      <c r="K14" s="92" t="n">
        <f aca="false">K13+$C$8</f>
        <v>34627.6169602357</v>
      </c>
      <c r="L14" s="92" t="n">
        <f aca="false">L13+$C$8</f>
        <v>23479.0669602357</v>
      </c>
      <c r="M14" s="92" t="n">
        <f aca="false">M13+$C$8</f>
        <v>55240.6069602357</v>
      </c>
      <c r="N14" s="92" t="n">
        <f aca="false">N13+$C$8</f>
        <v>75509.3669602357</v>
      </c>
      <c r="O14" s="92" t="n">
        <f aca="false">SUM(C14:N14)</f>
        <v>330182.786522828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customFormat="false" ht="15" hidden="false" customHeight="false" outlineLevel="0" collapsed="false">
      <c r="A15" s="81" t="n">
        <f aca="false">A14+1</f>
        <v>15</v>
      </c>
    </row>
    <row r="16" customFormat="false" ht="15" hidden="false" customHeight="false" outlineLevel="0" collapsed="false">
      <c r="A16" s="81" t="n">
        <f aca="false">+A15+1</f>
        <v>16</v>
      </c>
    </row>
    <row r="17" customFormat="false" ht="15" hidden="false" customHeight="false" outlineLevel="0" collapsed="false">
      <c r="A17" s="81" t="n">
        <f aca="false">+A16+1</f>
        <v>17</v>
      </c>
      <c r="B17" s="82" t="s">
        <v>139</v>
      </c>
      <c r="C17" s="83" t="n">
        <f aca="false">C18+($C$10/2)</f>
        <v>63108.6536269024</v>
      </c>
      <c r="D17" s="83" t="n">
        <f aca="false">D18+($C$10/2)</f>
        <v>16158.1436269024</v>
      </c>
      <c r="E17" s="83" t="n">
        <f aca="false">E18+($C$10/2)</f>
        <v>-2620.94237309763</v>
      </c>
      <c r="F17" s="83" t="n">
        <f aca="false">F18+($C$10/2)</f>
        <v>39190.8836269024</v>
      </c>
      <c r="G17" s="83" t="n">
        <f aca="false">G18+($C$10/2)</f>
        <v>28346.9436269024</v>
      </c>
      <c r="H17" s="83" t="n">
        <f aca="false">H18+($C$10/2)</f>
        <v>-4238.26737309763</v>
      </c>
      <c r="I17" s="83" t="n">
        <f aca="false">I18+($C$10/2)</f>
        <v>35055.6536269024</v>
      </c>
      <c r="J17" s="83" t="n">
        <f aca="false">J18+($C$10/2)</f>
        <v>16458.3936269024</v>
      </c>
      <c r="K17" s="83" t="n">
        <f aca="false">K18+($C$10/2)</f>
        <v>40894.2836269024</v>
      </c>
      <c r="O17" s="83" t="n">
        <f aca="false">SUM(C17:K17)</f>
        <v>232353.745642121</v>
      </c>
    </row>
    <row r="18" customFormat="false" ht="15" hidden="false" customHeight="false" outlineLevel="0" collapsed="false">
      <c r="A18" s="81" t="n">
        <f aca="false">A17+1</f>
        <v>18</v>
      </c>
      <c r="B18" s="82" t="s">
        <v>140</v>
      </c>
      <c r="C18" s="83" t="n">
        <f aca="false">C19+($C$9/2)</f>
        <v>60758.6536269024</v>
      </c>
      <c r="D18" s="83" t="n">
        <f aca="false">D19+($C$9/2)</f>
        <v>13808.1436269024</v>
      </c>
      <c r="E18" s="83" t="n">
        <f aca="false">E19+($C$9/2)</f>
        <v>-4970.94237309763</v>
      </c>
      <c r="F18" s="83" t="n">
        <f aca="false">F19+($C$9/2)</f>
        <v>36840.8836269024</v>
      </c>
      <c r="G18" s="83" t="n">
        <f aca="false">G19+($C$9/2)</f>
        <v>25996.9436269024</v>
      </c>
      <c r="H18" s="83" t="n">
        <f aca="false">H19+($C$9/2)</f>
        <v>-6588.26737309763</v>
      </c>
      <c r="I18" s="83" t="n">
        <f aca="false">I19+($C$9/2)</f>
        <v>32705.6536269024</v>
      </c>
      <c r="J18" s="83" t="n">
        <f aca="false">J19+($C$9/2)</f>
        <v>14108.3936269024</v>
      </c>
      <c r="K18" s="83" t="n">
        <f aca="false">K19+($C$9/2)</f>
        <v>38544.2836269024</v>
      </c>
      <c r="O18" s="83" t="n">
        <f aca="false">O19+($C$9*(9/2))</f>
        <v>211203.745642121</v>
      </c>
      <c r="Q18" s="83"/>
    </row>
    <row r="19" customFormat="false" ht="15" hidden="false" customHeight="false" outlineLevel="0" collapsed="false">
      <c r="A19" s="81" t="n">
        <f aca="false">A18+1</f>
        <v>19</v>
      </c>
      <c r="B19" s="86" t="s">
        <v>138</v>
      </c>
      <c r="C19" s="92" t="n">
        <f aca="false">C14</f>
        <v>56841.9869602357</v>
      </c>
      <c r="D19" s="92" t="n">
        <f aca="false">D14</f>
        <v>9891.47696023571</v>
      </c>
      <c r="E19" s="92" t="n">
        <f aca="false">E14</f>
        <v>-8887.6090397643</v>
      </c>
      <c r="F19" s="92" t="n">
        <f aca="false">F14</f>
        <v>32924.2169602357</v>
      </c>
      <c r="G19" s="92" t="n">
        <f aca="false">G14</f>
        <v>22080.2769602357</v>
      </c>
      <c r="H19" s="92" t="n">
        <f aca="false">H14</f>
        <v>-10504.9340397643</v>
      </c>
      <c r="I19" s="92" t="n">
        <f aca="false">I14</f>
        <v>28788.9869602357</v>
      </c>
      <c r="J19" s="92" t="n">
        <f aca="false">J14</f>
        <v>10191.7269602357</v>
      </c>
      <c r="K19" s="92" t="n">
        <f aca="false">K14</f>
        <v>34627.6169602357</v>
      </c>
      <c r="L19" s="92"/>
      <c r="M19" s="92"/>
      <c r="N19" s="92"/>
      <c r="O19" s="92" t="n">
        <f aca="false">SUM(C19:N19)</f>
        <v>175953.745642121</v>
      </c>
      <c r="P19" s="86"/>
      <c r="Q19" s="92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customFormat="false" ht="15" hidden="false" customHeight="false" outlineLevel="0" collapsed="false">
      <c r="A20" s="81" t="n">
        <f aca="false">A19+1</f>
        <v>20</v>
      </c>
      <c r="B20" s="82" t="s">
        <v>141</v>
      </c>
      <c r="C20" s="83" t="n">
        <f aca="false">C19-($C$9/2)</f>
        <v>52925.320293569</v>
      </c>
      <c r="D20" s="83" t="n">
        <f aca="false">D19-($C$9/2)</f>
        <v>5974.81029356904</v>
      </c>
      <c r="E20" s="83" t="n">
        <f aca="false">E19-($C$9/2)</f>
        <v>-12804.275706431</v>
      </c>
      <c r="F20" s="83" t="n">
        <f aca="false">F19-($C$9/2)</f>
        <v>29007.550293569</v>
      </c>
      <c r="G20" s="83" t="n">
        <f aca="false">G19-($C$9/2)</f>
        <v>18163.610293569</v>
      </c>
      <c r="H20" s="83" t="n">
        <f aca="false">H19-($C$9/2)</f>
        <v>-14421.600706431</v>
      </c>
      <c r="I20" s="83" t="n">
        <f aca="false">I19-($C$9/2)</f>
        <v>24872.320293569</v>
      </c>
      <c r="J20" s="83" t="n">
        <f aca="false">J19-($C$9/2)</f>
        <v>6275.06029356904</v>
      </c>
      <c r="K20" s="83" t="n">
        <f aca="false">K19-($C$9/2)</f>
        <v>30710.950293569</v>
      </c>
      <c r="O20" s="83" t="n">
        <f aca="false">O19-($C$9*(9/2))</f>
        <v>140703.745642121</v>
      </c>
    </row>
    <row r="21" customFormat="false" ht="15" hidden="false" customHeight="false" outlineLevel="0" collapsed="false">
      <c r="A21" s="81" t="n">
        <f aca="false">A20+1</f>
        <v>21</v>
      </c>
      <c r="B21" s="82" t="s">
        <v>152</v>
      </c>
      <c r="C21" s="83" t="n">
        <f aca="false">C20-($C$10/2)</f>
        <v>50575.320293569</v>
      </c>
      <c r="D21" s="83" t="n">
        <f aca="false">D20-($C$10/2)</f>
        <v>3624.81029356904</v>
      </c>
      <c r="E21" s="83" t="n">
        <f aca="false">E20-($C$10/2)</f>
        <v>-15154.275706431</v>
      </c>
      <c r="F21" s="83" t="n">
        <f aca="false">F20-($C$10/2)</f>
        <v>26657.550293569</v>
      </c>
      <c r="G21" s="83" t="n">
        <f aca="false">G20-($C$10/2)</f>
        <v>15813.610293569</v>
      </c>
      <c r="H21" s="83" t="n">
        <f aca="false">H20-($C$10/2)</f>
        <v>-16771.600706431</v>
      </c>
      <c r="I21" s="83" t="n">
        <f aca="false">I20-($C$10/2)</f>
        <v>22522.320293569</v>
      </c>
      <c r="J21" s="83" t="n">
        <f aca="false">J20-($C$10/2)</f>
        <v>3925.06029356904</v>
      </c>
      <c r="K21" s="83" t="n">
        <f aca="false">K20-($C$10/2)</f>
        <v>28360.950293569</v>
      </c>
      <c r="O21" s="94" t="n">
        <f aca="false">SUM(C21:N21)</f>
        <v>119553.745642121</v>
      </c>
    </row>
    <row r="22" customFormat="false" ht="15" hidden="false" customHeight="false" outlineLevel="0" collapsed="false">
      <c r="O22" s="94"/>
    </row>
    <row r="23" customFormat="false" ht="15" hidden="false" customHeight="false" outlineLevel="0" collapsed="false">
      <c r="B23" s="95" t="s">
        <v>143</v>
      </c>
      <c r="O23" s="94"/>
    </row>
    <row r="24" customFormat="false" ht="15" hidden="false" customHeight="false" outlineLevel="0" collapsed="false">
      <c r="A24" s="81" t="n">
        <f aca="false">+A21+1</f>
        <v>22</v>
      </c>
      <c r="B24" s="82" t="s">
        <v>139</v>
      </c>
      <c r="C24" s="83" t="n">
        <f aca="false">+C17</f>
        <v>63108.6536269024</v>
      </c>
      <c r="D24" s="83" t="n">
        <f aca="false">+C24+D17</f>
        <v>79266.7972538048</v>
      </c>
      <c r="E24" s="83" t="n">
        <f aca="false">+D24+E17</f>
        <v>76645.8548807071</v>
      </c>
      <c r="F24" s="83" t="n">
        <f aca="false">+E24+F17</f>
        <v>115836.73850761</v>
      </c>
      <c r="G24" s="83" t="n">
        <f aca="false">+F24+G17</f>
        <v>144183.682134512</v>
      </c>
      <c r="H24" s="83" t="n">
        <f aca="false">+G24+H17</f>
        <v>139945.414761414</v>
      </c>
      <c r="I24" s="83" t="n">
        <f aca="false">+H24+I17</f>
        <v>175001.068388317</v>
      </c>
      <c r="J24" s="83" t="n">
        <f aca="false">+I24+J17</f>
        <v>191459.462015219</v>
      </c>
      <c r="K24" s="83" t="n">
        <f aca="false">+J24+K17</f>
        <v>232353.745642121</v>
      </c>
      <c r="O24" s="94"/>
    </row>
    <row r="25" customFormat="false" ht="15" hidden="false" customHeight="false" outlineLevel="0" collapsed="false">
      <c r="A25" s="81" t="n">
        <f aca="false">+A24+1</f>
        <v>23</v>
      </c>
      <c r="B25" s="82" t="s">
        <v>140</v>
      </c>
      <c r="C25" s="83" t="n">
        <f aca="false">+C18</f>
        <v>60758.6536269024</v>
      </c>
      <c r="D25" s="83" t="n">
        <f aca="false">+C25+D18</f>
        <v>74566.7972538048</v>
      </c>
      <c r="E25" s="83" t="n">
        <f aca="false">+D25+E18</f>
        <v>69595.8548807071</v>
      </c>
      <c r="F25" s="83" t="n">
        <f aca="false">+E25+F18</f>
        <v>106436.73850761</v>
      </c>
      <c r="G25" s="83" t="n">
        <f aca="false">+F25+G18</f>
        <v>132433.682134512</v>
      </c>
      <c r="H25" s="83" t="n">
        <f aca="false">+G25+H18</f>
        <v>125845.414761414</v>
      </c>
      <c r="I25" s="83" t="n">
        <f aca="false">+H25+I18</f>
        <v>158551.068388317</v>
      </c>
      <c r="J25" s="83" t="n">
        <f aca="false">+I25+J18</f>
        <v>172659.462015219</v>
      </c>
      <c r="K25" s="83" t="n">
        <f aca="false">+J25+K18</f>
        <v>211203.745642121</v>
      </c>
      <c r="O25" s="94"/>
      <c r="Q25" s="83"/>
    </row>
    <row r="26" customFormat="false" ht="15" hidden="false" customHeight="false" outlineLevel="0" collapsed="false">
      <c r="A26" s="81" t="n">
        <f aca="false">+A25+1</f>
        <v>24</v>
      </c>
      <c r="B26" s="86" t="s">
        <v>138</v>
      </c>
      <c r="C26" s="92" t="n">
        <f aca="false">+C19</f>
        <v>56841.9869602357</v>
      </c>
      <c r="D26" s="92" t="n">
        <f aca="false">+C26+D19</f>
        <v>66733.4639204714</v>
      </c>
      <c r="E26" s="92" t="n">
        <f aca="false">+D26+E19</f>
        <v>57845.8548807071</v>
      </c>
      <c r="F26" s="92" t="n">
        <f aca="false">+E26+F19</f>
        <v>90770.0718409428</v>
      </c>
      <c r="G26" s="92" t="n">
        <f aca="false">+F26+G19</f>
        <v>112850.348801179</v>
      </c>
      <c r="H26" s="92" t="n">
        <f aca="false">+G26+H19</f>
        <v>102345.414761414</v>
      </c>
      <c r="I26" s="92" t="n">
        <f aca="false">+H26+I19</f>
        <v>131134.40172165</v>
      </c>
      <c r="J26" s="92" t="n">
        <f aca="false">+I26+J19</f>
        <v>141326.128681886</v>
      </c>
      <c r="K26" s="92" t="n">
        <f aca="false">+J26+K19</f>
        <v>175953.745642121</v>
      </c>
      <c r="L26" s="92"/>
      <c r="M26" s="92"/>
      <c r="N26" s="92"/>
      <c r="O26" s="92"/>
      <c r="Q26" s="83"/>
    </row>
    <row r="27" customFormat="false" ht="15" hidden="false" customHeight="false" outlineLevel="0" collapsed="false">
      <c r="A27" s="81" t="n">
        <f aca="false">+A26+1</f>
        <v>25</v>
      </c>
      <c r="B27" s="82" t="s">
        <v>141</v>
      </c>
      <c r="C27" s="83" t="n">
        <f aca="false">+C20</f>
        <v>52925.320293569</v>
      </c>
      <c r="D27" s="83" t="n">
        <f aca="false">+C27+D20</f>
        <v>58900.1305871381</v>
      </c>
      <c r="E27" s="83" t="n">
        <f aca="false">+D27+E20</f>
        <v>46095.8548807071</v>
      </c>
      <c r="F27" s="83" t="n">
        <f aca="false">+E27+F20</f>
        <v>75103.4051742762</v>
      </c>
      <c r="G27" s="83" t="n">
        <f aca="false">+F27+G20</f>
        <v>93267.0154678452</v>
      </c>
      <c r="H27" s="83" t="n">
        <f aca="false">+G27+H20</f>
        <v>78845.4147614142</v>
      </c>
      <c r="I27" s="83" t="n">
        <f aca="false">+H27+I20</f>
        <v>103717.735054983</v>
      </c>
      <c r="J27" s="83" t="n">
        <f aca="false">+I27+J20</f>
        <v>109992.795348552</v>
      </c>
      <c r="K27" s="83" t="n">
        <f aca="false">+J27+K20</f>
        <v>140703.745642121</v>
      </c>
      <c r="O27" s="94"/>
    </row>
    <row r="28" customFormat="false" ht="15" hidden="false" customHeight="false" outlineLevel="0" collapsed="false">
      <c r="A28" s="81" t="n">
        <f aca="false">+A27+1</f>
        <v>26</v>
      </c>
      <c r="B28" s="82" t="s">
        <v>152</v>
      </c>
      <c r="C28" s="83" t="n">
        <f aca="false">+C21</f>
        <v>50575.320293569</v>
      </c>
      <c r="D28" s="83" t="n">
        <f aca="false">+C28+D21</f>
        <v>54200.1305871381</v>
      </c>
      <c r="E28" s="83" t="n">
        <f aca="false">+D28+E21</f>
        <v>39045.8548807071</v>
      </c>
      <c r="F28" s="83" t="n">
        <f aca="false">+E28+F21</f>
        <v>65703.4051742762</v>
      </c>
      <c r="G28" s="83" t="n">
        <f aca="false">+F28+G21</f>
        <v>81517.0154678452</v>
      </c>
      <c r="H28" s="83" t="n">
        <f aca="false">+G28+H21</f>
        <v>64745.4147614142</v>
      </c>
      <c r="I28" s="83" t="n">
        <f aca="false">+H28+I21</f>
        <v>87267.7350549833</v>
      </c>
      <c r="J28" s="83" t="n">
        <f aca="false">+I28+J21</f>
        <v>91192.7953485523</v>
      </c>
      <c r="K28" s="83" t="n">
        <f aca="false">+J28+K21</f>
        <v>119553.745642121</v>
      </c>
      <c r="O28" s="94"/>
    </row>
    <row r="31" customFormat="false" ht="15.75" hidden="false" customHeight="false" outlineLevel="0" collapsed="false">
      <c r="B31" s="86" t="s">
        <v>144</v>
      </c>
    </row>
    <row r="32" customFormat="false" ht="15" hidden="false" customHeight="false" outlineLevel="0" collapsed="false">
      <c r="A32" s="82"/>
      <c r="B32" s="96" t="s">
        <v>153</v>
      </c>
      <c r="C32" s="19" t="n">
        <v>99200</v>
      </c>
      <c r="D32" s="19" t="n">
        <v>65949</v>
      </c>
      <c r="E32" s="19" t="n">
        <v>48478</v>
      </c>
      <c r="F32" s="19" t="n">
        <v>41502</v>
      </c>
      <c r="G32" s="19" t="n">
        <v>25115</v>
      </c>
      <c r="H32" s="19" t="n">
        <v>-3841</v>
      </c>
      <c r="I32" s="19" t="n">
        <v>65183</v>
      </c>
      <c r="J32" s="19" t="n">
        <v>41519</v>
      </c>
      <c r="K32" s="20" t="n">
        <v>48854</v>
      </c>
      <c r="L32" s="82"/>
      <c r="M32" s="82"/>
      <c r="N32" s="82"/>
      <c r="O32" s="82"/>
    </row>
    <row r="33" customFormat="false" ht="15.75" hidden="false" customHeight="false" outlineLevel="0" collapsed="false">
      <c r="A33" s="82"/>
      <c r="B33" s="99" t="s">
        <v>146</v>
      </c>
      <c r="C33" s="100" t="n">
        <f aca="false">+C32</f>
        <v>99200</v>
      </c>
      <c r="D33" s="100" t="n">
        <f aca="false">+C33+D32</f>
        <v>165149</v>
      </c>
      <c r="E33" s="100" t="n">
        <f aca="false">+D33+E32</f>
        <v>213627</v>
      </c>
      <c r="F33" s="100" t="n">
        <f aca="false">+E33+F32</f>
        <v>255129</v>
      </c>
      <c r="G33" s="100" t="n">
        <f aca="false">+F33+G32</f>
        <v>280244</v>
      </c>
      <c r="H33" s="100" t="n">
        <f aca="false">+G33+H32</f>
        <v>276403</v>
      </c>
      <c r="I33" s="100" t="n">
        <f aca="false">+H33+I32</f>
        <v>341586</v>
      </c>
      <c r="J33" s="100" t="n">
        <f aca="false">+I33+J32</f>
        <v>383105</v>
      </c>
      <c r="K33" s="101" t="n">
        <f aca="false">+J33+K32</f>
        <v>431959</v>
      </c>
      <c r="L33" s="82"/>
      <c r="M33" s="82"/>
      <c r="N33" s="82"/>
      <c r="O33" s="82"/>
    </row>
    <row r="34" customFormat="false" ht="15.75" hidden="false" customHeight="false" outlineLevel="0" collapsed="false">
      <c r="A34" s="82"/>
      <c r="B34" s="99" t="s">
        <v>147</v>
      </c>
      <c r="C34" s="91" t="n">
        <f aca="false">IF(C33&gt;C24,(C33-C24)*0.9+(C24-C25)*0.5,IF(C33&gt;C25,(C33-C25)*0.5,IF(C33&lt;C27,(C27-C33)*0.5,IF(C33&lt;C28,(C28-C33)*0.9+(C28-C27)*0.5,0))))</f>
        <v>33657.2117357879</v>
      </c>
      <c r="D34" s="91" t="n">
        <f aca="false">IF(D33&gt;D24,(D33-D24)*0.9+(D24-D25)*0.5,IF(D33&gt;D25,(D33-D25)*0.5,IF(D33&lt;D27,(D27-D33)*0.5,IF(D33&lt;D28,(D28-D33)*0.9+(D28-D27)*0.5,0))))</f>
        <v>79643.9824715757</v>
      </c>
      <c r="E34" s="91" t="n">
        <f aca="false">IF(E33&gt;E24,(E33-E24)*0.9+(E24-E25)*0.5,IF(E33&gt;E25,(E33-E25)*0.5,IF(E33&lt;E27,(E27-E33)*0.5,IF(E33&lt;E28,(E28-E33)*0.9+(E28-E27)*0.5,0))))</f>
        <v>126808.030607364</v>
      </c>
      <c r="F34" s="91" t="n">
        <f aca="false">IF(F33&gt;F24,(F33-F24)*0.9+(F24-F25)*0.5,IF(F33&gt;F25,(F33-F25)*0.5,IF(F33&lt;F27,(F27-F33)*0.5,IF(F33&lt;F28,(F28-F33)*0.9+(F28-F27)*0.5,0))))</f>
        <v>130063.035343151</v>
      </c>
      <c r="G34" s="91" t="n">
        <f aca="false">IF(G33&gt;G24,(G33-G24)*0.9+(G24-G25)*0.5,IF(G33&gt;G25,(G33-G25)*0.5,IF(G33&lt;G27,(G27-G33)*0.5,IF(G33&lt;G28,(G28-G33)*0.9+(G28-G27)*0.5,0))))</f>
        <v>128329.286078939</v>
      </c>
      <c r="H34" s="91" t="n">
        <f aca="false">IF(H33&gt;H24,(H33-H24)*0.9+(H24-H25)*0.5,IF(H33&gt;H25,(H33-H25)*0.5,IF(H33&lt;H27,(H27-H33)*0.5,IF(H33&lt;H28,(H28-H33)*0.9+(H28-H27)*0.5,0))))</f>
        <v>129861.826714727</v>
      </c>
      <c r="I34" s="91" t="n">
        <f aca="false">IF(I33&gt;I24,(I33-I24)*0.9+(I24-I25)*0.5,IF(I33&gt;I25,(I33-I25)*0.5,IF(I33&lt;I27,(I27-I33)*0.5,IF(I33&lt;I28,(I28-I33)*0.9+(I28-I27)*0.5,0))))</f>
        <v>158151.438450515</v>
      </c>
      <c r="J34" s="91" t="n">
        <f aca="false">IF(J33&gt;J24,(J33-J24)*0.9+(J24-J25)*0.5,IF(J33&gt;J25,(J33-J25)*0.5,IF(J33&lt;J27,(J27-J33)*0.5,IF(J33&lt;J28,(J28-J33)*0.9+(J28-J27)*0.5,0))))</f>
        <v>181880.984186303</v>
      </c>
      <c r="K34" s="102" t="n">
        <f aca="false">IF(K33&gt;K24,(K33-K24)*0.9+(K24-K25)*0.5,IF(K33&gt;K25,(K33-K25)*0.5,IF(K33&lt;K27,(K27-K33)*0.5,IF(K33&lt;K28,(K28-K33)*0.9+(K28-K27)*0.5,0))))</f>
        <v>190219.728922091</v>
      </c>
      <c r="L34" s="82"/>
      <c r="M34" s="82"/>
      <c r="N34" s="82"/>
      <c r="O34" s="82"/>
    </row>
    <row r="35" customFormat="false" ht="15.75" hidden="false" customHeight="false" outlineLevel="0" collapsed="false">
      <c r="A35" s="82"/>
      <c r="B35" s="103" t="s">
        <v>148</v>
      </c>
      <c r="C35" s="104"/>
      <c r="D35" s="104" t="n">
        <f aca="false">+D34-C34</f>
        <v>45986.7707357879</v>
      </c>
      <c r="E35" s="104" t="n">
        <f aca="false">+E34-D34</f>
        <v>47164.0481357879</v>
      </c>
      <c r="F35" s="104" t="n">
        <f aca="false">+F34-E34</f>
        <v>3255.00473578785</v>
      </c>
      <c r="G35" s="104" t="n">
        <f aca="false">+G34-F34</f>
        <v>-1733.74926421214</v>
      </c>
      <c r="H35" s="104" t="n">
        <f aca="false">+H34-G34</f>
        <v>1532.54063578785</v>
      </c>
      <c r="I35" s="104" t="n">
        <f aca="false">+I34-H34</f>
        <v>28289.6117357879</v>
      </c>
      <c r="J35" s="104" t="n">
        <f aca="false">+J34-I34</f>
        <v>23729.5457357879</v>
      </c>
      <c r="K35" s="105" t="n">
        <f aca="false">+K34-J34</f>
        <v>8338.74473578789</v>
      </c>
      <c r="L35" s="82"/>
      <c r="M35" s="82"/>
      <c r="N35" s="82"/>
      <c r="O35" s="82"/>
    </row>
    <row r="36" customFormat="false" ht="15" hidden="false" customHeight="false" outlineLevel="0" collapsed="false">
      <c r="A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customFormat="false" ht="15" hidden="false" customHeight="false" outlineLevel="0" collapsed="false">
      <c r="A37" s="82"/>
      <c r="B37" s="106" t="str">
        <f aca="true">CELL("filename")</f>
        <v>'file:///mnt/12tb/@roms/datasets/enron/EDRM Enron Email Data Set v2 XML/filtered-attachments/xls/PCA_Mechanism_June_19.xls'#$Budget Deferral</v>
      </c>
      <c r="C37" s="93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customFormat="false" ht="15" hidden="false" customHeight="false" outlineLevel="0" collapsed="false">
      <c r="A38" s="82"/>
      <c r="C38" s="91"/>
      <c r="D38" s="91"/>
      <c r="E38" s="91"/>
      <c r="F38" s="91"/>
      <c r="G38" s="91"/>
      <c r="H38" s="91"/>
      <c r="I38" s="91"/>
      <c r="J38" s="91"/>
      <c r="K38" s="91"/>
      <c r="L38" s="82"/>
      <c r="M38" s="82"/>
      <c r="N38" s="82"/>
      <c r="O38" s="82"/>
    </row>
    <row r="39" customFormat="false" ht="15" hidden="false" customHeight="false" outlineLevel="0" collapsed="false">
      <c r="A39" s="82"/>
      <c r="C39" s="91"/>
      <c r="D39" s="91"/>
      <c r="E39" s="91"/>
      <c r="F39" s="91"/>
      <c r="G39" s="91"/>
      <c r="H39" s="91"/>
      <c r="I39" s="91"/>
      <c r="J39" s="91"/>
      <c r="K39" s="91"/>
      <c r="L39" s="82"/>
      <c r="M39" s="82"/>
      <c r="N39" s="82"/>
      <c r="O39" s="82"/>
    </row>
    <row r="40" customFormat="false" ht="15" hidden="false" customHeight="false" outlineLevel="0" collapsed="false">
      <c r="A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customFormat="false" ht="15" hidden="false" customHeight="false" outlineLevel="0" collapsed="false">
      <c r="A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customFormat="false" ht="15" hidden="false" customHeight="false" outlineLevel="0" collapsed="false">
      <c r="A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customFormat="false" ht="15" hidden="false" customHeight="false" outlineLevel="0" collapsed="false">
      <c r="A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customFormat="false" ht="15" hidden="false" customHeight="false" outlineLevel="0" collapsed="false">
      <c r="A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customFormat="false" ht="15" hidden="false" customHeight="false" outlineLevel="0" collapsed="false">
      <c r="A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customFormat="false" ht="15" hidden="false" customHeight="false" outlineLevel="0" collapsed="false">
      <c r="A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customFormat="false" ht="15" hidden="false" customHeight="false" outlineLevel="0" collapsed="false">
      <c r="A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customFormat="false" ht="15" hidden="false" customHeight="false" outlineLevel="0" collapsed="false">
      <c r="A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customFormat="false" ht="15" hidden="false" customHeight="false" outlineLevel="0" collapsed="false">
      <c r="A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customFormat="false" ht="15" hidden="false" customHeight="false" outlineLevel="0" collapsed="false">
      <c r="A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customFormat="false" ht="15" hidden="false" customHeight="false" outlineLevel="0" collapsed="false">
      <c r="A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customFormat="false" ht="15" hidden="false" customHeight="false" outlineLevel="0" collapsed="false">
      <c r="A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customFormat="false" ht="15" hidden="false" customHeight="false" outlineLevel="0" collapsed="false">
      <c r="A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customFormat="false" ht="15" hidden="false" customHeight="false" outlineLevel="0" collapsed="false">
      <c r="A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customFormat="false" ht="15" hidden="false" customHeight="false" outlineLevel="0" collapsed="false">
      <c r="A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customFormat="false" ht="15" hidden="false" customHeight="false" outlineLevel="0" collapsed="false">
      <c r="A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  <rowBreaks count="1" manualBreakCount="1">
    <brk id="3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5" ySplit="5" topLeftCell="L44" activePane="bottomRight" state="frozen"/>
      <selection pane="topLeft" activeCell="A1" activeCellId="0" sqref="A1"/>
      <selection pane="topRight" activeCell="L1" activeCellId="0" sqref="L1"/>
      <selection pane="bottomLeft" activeCell="A44" activeCellId="0" sqref="A44"/>
      <selection pane="bottomRight" activeCell="T61" activeCellId="0" sqref="T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6" width="4.99"/>
    <col collapsed="false" customWidth="false" hidden="false" outlineLevel="0" max="5" min="3" style="16" width="9.14"/>
    <col collapsed="false" customWidth="true" hidden="false" outlineLevel="0" max="6" min="6" style="16" width="12.42"/>
    <col collapsed="false" customWidth="true" hidden="false" outlineLevel="0" max="7" min="7" style="16" width="13.41"/>
    <col collapsed="false" customWidth="true" hidden="false" outlineLevel="0" max="8" min="8" style="16" width="10.85"/>
    <col collapsed="false" customWidth="true" hidden="false" outlineLevel="0" max="9" min="9" style="16" width="10.28"/>
    <col collapsed="false" customWidth="true" hidden="false" outlineLevel="0" max="10" min="10" style="16" width="11.42"/>
    <col collapsed="false" customWidth="true" hidden="false" outlineLevel="0" max="11" min="11" style="16" width="10.28"/>
    <col collapsed="false" customWidth="true" hidden="false" outlineLevel="0" max="12" min="12" style="16" width="10.71"/>
    <col collapsed="false" customWidth="true" hidden="false" outlineLevel="0" max="14" min="13" style="16" width="10.13"/>
    <col collapsed="false" customWidth="true" hidden="false" outlineLevel="0" max="15" min="15" style="16" width="10.28"/>
    <col collapsed="false" customWidth="true" hidden="false" outlineLevel="0" max="17" min="16" style="16" width="9.7"/>
    <col collapsed="false" customWidth="true" hidden="false" outlineLevel="0" max="18" min="18" style="16" width="13.7"/>
    <col collapsed="false" customWidth="false" hidden="false" outlineLevel="0" max="19" min="19" style="16" width="9.14"/>
    <col collapsed="false" customWidth="true" hidden="false" outlineLevel="0" max="20" min="20" style="16" width="11.99"/>
    <col collapsed="false" customWidth="false" hidden="false" outlineLevel="0" max="257" min="21" style="16" width="9.14"/>
  </cols>
  <sheetData>
    <row r="1" customFormat="false" ht="26.25" hidden="false" customHeight="false" outlineLevel="0" collapsed="false">
      <c r="A1" s="17" t="s">
        <v>47</v>
      </c>
      <c r="B1" s="17"/>
      <c r="C1" s="17"/>
      <c r="F1" s="18" t="s">
        <v>48</v>
      </c>
      <c r="G1" s="19"/>
      <c r="H1" s="19"/>
      <c r="I1" s="20"/>
      <c r="J1" s="21" t="s">
        <v>49</v>
      </c>
      <c r="K1" s="22"/>
      <c r="L1" s="23" t="s">
        <v>154</v>
      </c>
    </row>
    <row r="2" customFormat="false" ht="12.75" hidden="false" customHeight="false" outlineLevel="0" collapsed="false">
      <c r="A2" s="17" t="s">
        <v>51</v>
      </c>
      <c r="B2" s="17"/>
      <c r="C2" s="17"/>
      <c r="F2" s="24" t="s">
        <v>52</v>
      </c>
      <c r="G2" s="22"/>
      <c r="H2" s="22"/>
      <c r="I2" s="25"/>
      <c r="J2" s="21"/>
      <c r="K2" s="22"/>
      <c r="N2" s="26"/>
    </row>
    <row r="3" customFormat="false" ht="13.5" hidden="false" customHeight="false" outlineLevel="0" collapsed="false">
      <c r="F3" s="27" t="s">
        <v>53</v>
      </c>
      <c r="G3" s="28"/>
      <c r="H3" s="29"/>
      <c r="I3" s="30"/>
      <c r="J3" s="22"/>
      <c r="K3" s="22"/>
      <c r="L3" s="31"/>
      <c r="M3" s="31"/>
      <c r="N3" s="21"/>
      <c r="O3" s="32"/>
      <c r="P3" s="31"/>
    </row>
    <row r="4" customFormat="false" ht="12.75" hidden="false" customHeight="false" outlineLevel="0" collapsed="false">
      <c r="N4" s="33"/>
    </row>
    <row r="5" customFormat="false" ht="12.75" hidden="false" customHeight="false" outlineLevel="0" collapsed="false">
      <c r="F5" s="34" t="s">
        <v>54</v>
      </c>
      <c r="G5" s="34" t="s">
        <v>55</v>
      </c>
      <c r="H5" s="34" t="s">
        <v>56</v>
      </c>
      <c r="I5" s="34" t="s">
        <v>57</v>
      </c>
      <c r="J5" s="34" t="s">
        <v>58</v>
      </c>
      <c r="K5" s="34" t="s">
        <v>59</v>
      </c>
      <c r="L5" s="34" t="s">
        <v>60</v>
      </c>
      <c r="M5" s="34" t="s">
        <v>61</v>
      </c>
      <c r="N5" s="35" t="s">
        <v>62</v>
      </c>
      <c r="O5" s="34" t="s">
        <v>63</v>
      </c>
      <c r="P5" s="34" t="s">
        <v>64</v>
      </c>
      <c r="Q5" s="34" t="s">
        <v>65</v>
      </c>
      <c r="R5" s="34" t="s">
        <v>66</v>
      </c>
      <c r="T5" s="36" t="s">
        <v>67</v>
      </c>
    </row>
    <row r="6" customFormat="false" ht="12.75" hidden="false" customHeight="false" outlineLevel="0" collapsed="false">
      <c r="N6" s="33"/>
    </row>
    <row r="7" customFormat="false" ht="12.75" hidden="false" customHeight="false" outlineLevel="0" collapsed="false">
      <c r="A7" s="16" t="s">
        <v>68</v>
      </c>
      <c r="N7" s="33"/>
    </row>
    <row r="8" customFormat="false" ht="12.75" hidden="false" customHeight="false" outlineLevel="0" collapsed="false">
      <c r="B8" s="16" t="s">
        <v>69</v>
      </c>
      <c r="F8" s="16" t="n">
        <v>150083</v>
      </c>
      <c r="G8" s="16" t="n">
        <v>127850</v>
      </c>
      <c r="H8" s="16" t="n">
        <v>115264</v>
      </c>
      <c r="I8" s="16" t="n">
        <v>157783</v>
      </c>
      <c r="J8" s="16" t="n">
        <v>158516</v>
      </c>
      <c r="K8" s="16" t="n">
        <v>167744</v>
      </c>
      <c r="L8" s="16" t="n">
        <f aca="false">[3]PwrCsOut!H39+[3]PwrCsOut!H46+[3]PwrCsOut!H267-[3]PwrCsOut!H50-[3]PwrCsOut!H51-[3]PwrCsOut!H58-[3]PwrCsOut!H59-[3]PwrCsOut!H60-[3]PwrCsOut!H61-[3]PwrCsOut!H62</f>
        <v>228882.693662109</v>
      </c>
      <c r="M8" s="16" t="n">
        <f aca="false">[3]PwrCsOut!I39+[3]PwrCsOut!I46+[3]PwrCsOut!I267-[3]PwrCsOut!I50-[3]PwrCsOut!I51-[3]PwrCsOut!I58-[3]PwrCsOut!I59-[3]PwrCsOut!I60-[3]PwrCsOut!I61-[3]PwrCsOut!I62</f>
        <v>209927.654255859</v>
      </c>
      <c r="N8" s="33" t="n">
        <f aca="false">[3]PwrCsOut!J39+[3]PwrCsOut!J46+[3]PwrCsOut!J267-[3]PwrCsOut!J50-[3]PwrCsOut!J51-[3]PwrCsOut!J58-[3]PwrCsOut!J59-[3]PwrCsOut!J60-[3]PwrCsOut!J61-[3]PwrCsOut!J62</f>
        <v>196115.904675781</v>
      </c>
      <c r="O8" s="16" t="n">
        <f aca="false">[3]PwrCsOut!K39+[3]PwrCsOut!K46+[3]PwrCsOut!K267-[3]PwrCsOut!K50-[3]PwrCsOut!K51-[3]PwrCsOut!K58-[3]PwrCsOut!K59-[3]PwrCsOut!K60-[3]PwrCsOut!K61-[3]PwrCsOut!K62</f>
        <v>128422.620943359</v>
      </c>
      <c r="P8" s="16" t="n">
        <f aca="false">[3]PwrCsOut!L39+[3]PwrCsOut!L46+[3]PwrCsOut!L267-[3]PwrCsOut!L50-[3]PwrCsOut!L51-[3]PwrCsOut!L58-[3]PwrCsOut!L59-[3]PwrCsOut!L60-[3]PwrCsOut!L61-[3]PwrCsOut!L62</f>
        <v>121670.092234375</v>
      </c>
      <c r="Q8" s="16" t="n">
        <f aca="false">[3]PwrCsOut!M39+[3]PwrCsOut!M46+[3]PwrCsOut!M267-[3]PwrCsOut!M50-[3]PwrCsOut!M51-[3]PwrCsOut!M58-[3]PwrCsOut!M59-[3]PwrCsOut!M60-[3]PwrCsOut!M61-[3]PwrCsOut!M62</f>
        <v>137807.211615234</v>
      </c>
      <c r="R8" s="16" t="n">
        <f aca="false">SUM(F8:Q8)</f>
        <v>1900066.17738672</v>
      </c>
      <c r="T8" s="16" t="n">
        <f aca="false">SUM(F8:N8)</f>
        <v>1512166.25259375</v>
      </c>
    </row>
    <row r="9" customFormat="false" ht="12.75" hidden="false" customHeight="false" outlineLevel="0" collapsed="false">
      <c r="B9" s="16" t="s">
        <v>70</v>
      </c>
      <c r="F9" s="16" t="n">
        <v>2778</v>
      </c>
      <c r="G9" s="16" t="n">
        <v>-6816</v>
      </c>
      <c r="H9" s="16" t="n">
        <v>2750</v>
      </c>
      <c r="I9" s="16" t="n">
        <v>-1255</v>
      </c>
      <c r="J9" s="16" t="n">
        <v>2720</v>
      </c>
      <c r="N9" s="33"/>
      <c r="R9" s="16" t="n">
        <f aca="false">SUM(F9:Q9)</f>
        <v>177</v>
      </c>
      <c r="T9" s="16" t="n">
        <f aca="false">SUM(F9:N9)</f>
        <v>177</v>
      </c>
    </row>
    <row r="10" customFormat="false" ht="12.75" hidden="false" customHeight="false" outlineLevel="0" collapsed="false">
      <c r="A10" s="22"/>
      <c r="B10" s="22" t="s">
        <v>71</v>
      </c>
      <c r="C10" s="22"/>
      <c r="D10" s="22"/>
      <c r="E10" s="22"/>
      <c r="F10" s="22" t="n">
        <v>1851</v>
      </c>
      <c r="G10" s="22" t="n">
        <v>699</v>
      </c>
      <c r="H10" s="22" t="n">
        <v>1054</v>
      </c>
      <c r="I10" s="22" t="n">
        <v>4081</v>
      </c>
      <c r="J10" s="22" t="n">
        <v>6268</v>
      </c>
      <c r="K10" s="22" t="n">
        <v>5800</v>
      </c>
      <c r="L10" s="22"/>
      <c r="M10" s="22"/>
      <c r="N10" s="33"/>
      <c r="O10" s="22"/>
      <c r="P10" s="22"/>
      <c r="Q10" s="22"/>
      <c r="R10" s="22" t="n">
        <f aca="false">SUM(F10:Q10)</f>
        <v>19753</v>
      </c>
      <c r="S10" s="22"/>
      <c r="T10" s="16" t="n">
        <f aca="false">SUM(F10:N10)</f>
        <v>19753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.75" hidden="false" customHeight="false" outlineLevel="0" collapsed="false">
      <c r="A11" s="22"/>
      <c r="B11" s="109" t="s">
        <v>72</v>
      </c>
      <c r="C11" s="60"/>
      <c r="D11" s="60"/>
      <c r="E11" s="60"/>
      <c r="F11" s="60" t="n">
        <v>8135</v>
      </c>
      <c r="G11" s="60" t="n">
        <v>-5059</v>
      </c>
      <c r="H11" s="60" t="n">
        <v>-12505</v>
      </c>
      <c r="I11" s="60" t="n">
        <v>-2611</v>
      </c>
      <c r="J11" s="60" t="n">
        <v>-2008</v>
      </c>
      <c r="K11" s="60" t="n">
        <v>-10724</v>
      </c>
      <c r="L11" s="60" t="n">
        <v>15163</v>
      </c>
      <c r="M11" s="60" t="n">
        <v>17630</v>
      </c>
      <c r="N11" s="65" t="n">
        <v>15985</v>
      </c>
      <c r="O11" s="60" t="n">
        <v>-2840</v>
      </c>
      <c r="P11" s="60" t="n">
        <v>-3594</v>
      </c>
      <c r="Q11" s="60" t="n">
        <f aca="false">-3673+1</f>
        <v>-3672</v>
      </c>
      <c r="R11" s="60" t="n">
        <f aca="false">SUM(F11:Q11)</f>
        <v>13900</v>
      </c>
      <c r="S11" s="60"/>
      <c r="T11" s="110" t="n">
        <f aca="false">SUM(F11:N11)</f>
        <v>24006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4.25" hidden="false" customHeight="true" outlineLevel="0" collapsed="false">
      <c r="B12" s="16" t="s">
        <v>73</v>
      </c>
      <c r="F12" s="37" t="n">
        <v>43404</v>
      </c>
      <c r="G12" s="37" t="n">
        <v>20602</v>
      </c>
      <c r="H12" s="37" t="n">
        <v>45124</v>
      </c>
      <c r="I12" s="37" t="n">
        <v>38634</v>
      </c>
      <c r="J12" s="37" t="n">
        <v>36516</v>
      </c>
      <c r="K12" s="37" t="n">
        <v>7094</v>
      </c>
      <c r="L12" s="37" t="n">
        <f aca="false">[3]PwrCsOut!H446</f>
        <v>6074.51</v>
      </c>
      <c r="M12" s="37" t="n">
        <f aca="false">[3]PwrCsOut!I446</f>
        <v>6220.497</v>
      </c>
      <c r="N12" s="38" t="n">
        <f aca="false">[3]PwrCsOut!J446</f>
        <v>2896.229</v>
      </c>
      <c r="O12" s="37" t="n">
        <f aca="false">[3]PwrCsOut!K446</f>
        <v>36.8524921875</v>
      </c>
      <c r="P12" s="37" t="n">
        <f aca="false">[3]PwrCsOut!L446</f>
        <v>313.65978125</v>
      </c>
      <c r="Q12" s="37" t="n">
        <f aca="false">[3]PwrCsOut!M446</f>
        <v>1070.262375</v>
      </c>
      <c r="R12" s="37" t="n">
        <f aca="false">SUM(F12:Q12)</f>
        <v>207986.010648437</v>
      </c>
      <c r="T12" s="37" t="n">
        <f aca="false">SUM(F12:N12)</f>
        <v>206565.236</v>
      </c>
    </row>
    <row r="13" customFormat="false" ht="12.75" hidden="false" customHeight="false" outlineLevel="0" collapsed="false">
      <c r="N13" s="33"/>
    </row>
    <row r="14" customFormat="false" ht="12.75" hidden="false" customHeight="false" outlineLevel="0" collapsed="false">
      <c r="C14" s="16" t="s">
        <v>74</v>
      </c>
      <c r="F14" s="37" t="n">
        <f aca="false">SUM(F8:F12)</f>
        <v>206251</v>
      </c>
      <c r="G14" s="37" t="n">
        <f aca="false">SUM(G8:G12)</f>
        <v>137276</v>
      </c>
      <c r="H14" s="37" t="n">
        <f aca="false">SUM(H8:H12)</f>
        <v>151687</v>
      </c>
      <c r="I14" s="37" t="n">
        <f aca="false">SUM(I8:I12)</f>
        <v>196632</v>
      </c>
      <c r="J14" s="37" t="n">
        <f aca="false">SUM(J8:J12)</f>
        <v>202012</v>
      </c>
      <c r="K14" s="37" t="n">
        <f aca="false">SUM(K8:K12)</f>
        <v>169914</v>
      </c>
      <c r="L14" s="37" t="n">
        <f aca="false">SUM(L8:L12)</f>
        <v>250120.203662109</v>
      </c>
      <c r="M14" s="37" t="n">
        <f aca="false">SUM(M8:M12)</f>
        <v>233778.151255859</v>
      </c>
      <c r="N14" s="38" t="n">
        <f aca="false">SUM(N8:N12)</f>
        <v>214997.133675781</v>
      </c>
      <c r="O14" s="37" t="n">
        <f aca="false">SUM(O8:O12)</f>
        <v>125619.473435547</v>
      </c>
      <c r="P14" s="37" t="n">
        <f aca="false">SUM(P8:P12)</f>
        <v>118389.752015625</v>
      </c>
      <c r="Q14" s="37" t="n">
        <f aca="false">SUM(Q8:Q12)</f>
        <v>135205.473990234</v>
      </c>
      <c r="R14" s="37" t="n">
        <f aca="false">SUM(R8:R12)</f>
        <v>2141882.18803516</v>
      </c>
      <c r="T14" s="37" t="n">
        <f aca="false">SUM(T8:T12)</f>
        <v>1762667.48859375</v>
      </c>
    </row>
    <row r="15" customFormat="false" ht="12.75" hidden="false" customHeight="false" outlineLevel="0" collapsed="false">
      <c r="N15" s="33"/>
    </row>
    <row r="16" customFormat="false" ht="12.75" hidden="false" customHeight="false" outlineLevel="0" collapsed="false">
      <c r="B16" s="16" t="s">
        <v>75</v>
      </c>
      <c r="F16" s="16" t="n">
        <v>2365</v>
      </c>
      <c r="G16" s="16" t="n">
        <v>2757</v>
      </c>
      <c r="H16" s="16" t="n">
        <v>3165</v>
      </c>
      <c r="I16" s="16" t="n">
        <v>3101</v>
      </c>
      <c r="J16" s="16" t="n">
        <v>3008</v>
      </c>
      <c r="K16" s="16" t="n">
        <v>3079</v>
      </c>
      <c r="L16" s="16" t="n">
        <f aca="false">[3]PwrCsOut!H443</f>
        <v>3197.84925</v>
      </c>
      <c r="M16" s="16" t="n">
        <f aca="false">[3]PwrCsOut!I443</f>
        <v>3197.84925</v>
      </c>
      <c r="N16" s="33" t="n">
        <f aca="false">[3]PwrCsOut!J443</f>
        <v>3195.7645</v>
      </c>
      <c r="O16" s="16" t="n">
        <f aca="false">[3]PwrCsOut!K443</f>
        <v>4830.832</v>
      </c>
      <c r="P16" s="16" t="n">
        <f aca="false">[3]PwrCsOut!L443</f>
        <v>4828.8065</v>
      </c>
      <c r="Q16" s="16" t="n">
        <f aca="false">[3]PwrCsOut!M443</f>
        <v>4614.871</v>
      </c>
      <c r="R16" s="16" t="n">
        <f aca="false">SUM(F16:Q16)</f>
        <v>41340.9725</v>
      </c>
      <c r="T16" s="16" t="n">
        <f aca="false">SUM(F16:N16)</f>
        <v>27066.463</v>
      </c>
    </row>
    <row r="17" customFormat="false" ht="12.75" hidden="false" customHeight="false" outlineLevel="0" collapsed="false">
      <c r="N17" s="33"/>
    </row>
    <row r="18" customFormat="false" ht="12.75" hidden="false" customHeight="false" outlineLevel="0" collapsed="false">
      <c r="A18" s="16" t="s">
        <v>76</v>
      </c>
      <c r="N18" s="33"/>
    </row>
    <row r="19" customFormat="false" ht="12.75" hidden="false" customHeight="false" outlineLevel="0" collapsed="false">
      <c r="B19" s="16" t="s">
        <v>77</v>
      </c>
      <c r="N19" s="33"/>
    </row>
    <row r="20" customFormat="false" ht="12.75" hidden="false" customHeight="false" outlineLevel="0" collapsed="false">
      <c r="C20" s="16" t="s">
        <v>78</v>
      </c>
      <c r="N20" s="33"/>
      <c r="R20" s="16" t="n">
        <f aca="false">SUM(F20:Q20)</f>
        <v>0</v>
      </c>
    </row>
    <row r="21" customFormat="false" ht="12.75" hidden="false" customHeight="false" outlineLevel="0" collapsed="false">
      <c r="C21" s="16" t="s">
        <v>79</v>
      </c>
      <c r="F21" s="16" t="n">
        <v>957</v>
      </c>
      <c r="G21" s="16" t="n">
        <v>1470</v>
      </c>
      <c r="H21" s="16" t="n">
        <v>1037</v>
      </c>
      <c r="I21" s="16" t="n">
        <v>722</v>
      </c>
      <c r="J21" s="16" t="n">
        <v>728</v>
      </c>
      <c r="K21" s="16" t="n">
        <v>1056</v>
      </c>
      <c r="L21" s="16" t="n">
        <f aca="false">[3]PwrCsOut!H24+[3]PwrCsOut!H23+[3]PwrCsOut!H430+[3]PwrCsOut!H437</f>
        <v>1188.22662695312</v>
      </c>
      <c r="M21" s="16" t="n">
        <f aca="false">[3]PwrCsOut!I24+[3]PwrCsOut!I23+[3]PwrCsOut!I430+[3]PwrCsOut!I437</f>
        <v>1188.22662695312</v>
      </c>
      <c r="N21" s="33" t="n">
        <f aca="false">[3]PwrCsOut!J24+[3]PwrCsOut!J23+[3]PwrCsOut!J430+[3]PwrCsOut!J437</f>
        <v>1158.85280273437</v>
      </c>
      <c r="O21" s="16" t="n">
        <f aca="false">[3]PwrCsOut!K24+[3]PwrCsOut!K23+[3]PwrCsOut!K430+[3]PwrCsOut!K437</f>
        <v>1188.22662695312</v>
      </c>
      <c r="P21" s="16" t="n">
        <f aca="false">[3]PwrCsOut!L24+[3]PwrCsOut!L23+[3]PwrCsOut!L430+[3]PwrCsOut!L437</f>
        <v>1158.85280273437</v>
      </c>
      <c r="Q21" s="16" t="n">
        <f aca="false">[3]PwrCsOut!M24+[3]PwrCsOut!M23+[3]PwrCsOut!M430+[3]PwrCsOut!M437</f>
        <v>1188.22662695312</v>
      </c>
      <c r="R21" s="16" t="n">
        <f aca="false">SUM(F21:Q21)</f>
        <v>13040.6121132813</v>
      </c>
      <c r="T21" s="16" t="n">
        <f aca="false">SUM(F21:N21)</f>
        <v>9505.30605664062</v>
      </c>
    </row>
    <row r="22" customFormat="false" ht="12.75" hidden="false" customHeight="false" outlineLevel="0" collapsed="false">
      <c r="C22" s="16" t="s">
        <v>80</v>
      </c>
      <c r="F22" s="37" t="n">
        <v>2555</v>
      </c>
      <c r="G22" s="37" t="n">
        <v>2746</v>
      </c>
      <c r="H22" s="37" t="n">
        <v>3155</v>
      </c>
      <c r="I22" s="37" t="n">
        <v>2750</v>
      </c>
      <c r="J22" s="37" t="n">
        <v>1578</v>
      </c>
      <c r="K22" s="37" t="n">
        <v>1719</v>
      </c>
      <c r="L22" s="37" t="n">
        <f aca="false">[3]PwrCsOut!H20+[3]PwrCsOut!H431+[3]PwrCsOut!H432+[3]PwrCsOut!H433+[3]PwrCsOut!H436</f>
        <v>3114.99779101563</v>
      </c>
      <c r="M22" s="37" t="n">
        <f aca="false">[3]PwrCsOut!I20+[3]PwrCsOut!I431+[3]PwrCsOut!I432+[3]PwrCsOut!I433+[3]PwrCsOut!I436</f>
        <v>3114.99779101563</v>
      </c>
      <c r="N22" s="38" t="n">
        <f aca="false">[3]PwrCsOut!J20+[3]PwrCsOut!J431+[3]PwrCsOut!J432+[3]PwrCsOut!J433+[3]PwrCsOut!J436</f>
        <v>3021.42130859375</v>
      </c>
      <c r="O22" s="37" t="n">
        <f aca="false">[3]PwrCsOut!K20+[3]PwrCsOut!K431+[3]PwrCsOut!K432+[3]PwrCsOut!K433+[3]PwrCsOut!K436</f>
        <v>3114.99779101563</v>
      </c>
      <c r="P22" s="37" t="n">
        <f aca="false">[3]PwrCsOut!L20+[3]PwrCsOut!L431+[3]PwrCsOut!L432+[3]PwrCsOut!L433+[3]PwrCsOut!L436</f>
        <v>3021.42130859375</v>
      </c>
      <c r="Q22" s="37" t="n">
        <f aca="false">[3]PwrCsOut!M20+[3]PwrCsOut!M431+[3]PwrCsOut!M432+[3]PwrCsOut!M433+[3]PwrCsOut!M436</f>
        <v>3114.99779101563</v>
      </c>
      <c r="R22" s="37" t="n">
        <f aca="false">SUM(F22:Q22)</f>
        <v>33005.83378125</v>
      </c>
      <c r="T22" s="37" t="n">
        <f aca="false">SUM(F22:N22)</f>
        <v>23754.416890625</v>
      </c>
    </row>
    <row r="23" customFormat="false" ht="12.75" hidden="false" customHeight="false" outlineLevel="0" collapsed="false">
      <c r="N23" s="33"/>
    </row>
    <row r="24" customFormat="false" ht="12.75" hidden="false" customHeight="false" outlineLevel="0" collapsed="false">
      <c r="C24" s="16" t="s">
        <v>81</v>
      </c>
      <c r="F24" s="16" t="n">
        <f aca="false">SUM(F20:F23)</f>
        <v>3512</v>
      </c>
      <c r="G24" s="16" t="n">
        <f aca="false">SUM(G20:G23)</f>
        <v>4216</v>
      </c>
      <c r="H24" s="16" t="n">
        <f aca="false">SUM(H20:H23)</f>
        <v>4192</v>
      </c>
      <c r="I24" s="16" t="n">
        <f aca="false">SUM(I20:I23)</f>
        <v>3472</v>
      </c>
      <c r="J24" s="16" t="n">
        <f aca="false">SUM(J20:J23)</f>
        <v>2306</v>
      </c>
      <c r="K24" s="16" t="n">
        <f aca="false">SUM(K20:K23)</f>
        <v>2775</v>
      </c>
      <c r="L24" s="16" t="n">
        <f aca="false">SUM(L20:L23)</f>
        <v>4303.22441796875</v>
      </c>
      <c r="M24" s="16" t="n">
        <f aca="false">SUM(M20:M23)</f>
        <v>4303.22441796875</v>
      </c>
      <c r="N24" s="33" t="n">
        <f aca="false">SUM(N20:N23)</f>
        <v>4180.27411132812</v>
      </c>
      <c r="O24" s="16" t="n">
        <f aca="false">SUM(O20:O23)</f>
        <v>4303.22441796875</v>
      </c>
      <c r="P24" s="16" t="n">
        <f aca="false">SUM(P20:P23)</f>
        <v>4180.27411132812</v>
      </c>
      <c r="Q24" s="16" t="n">
        <f aca="false">SUM(Q20:Q23)</f>
        <v>4303.22441796875</v>
      </c>
      <c r="R24" s="16" t="n">
        <f aca="false">SUM(F24:Q24)</f>
        <v>46046.4458945313</v>
      </c>
      <c r="T24" s="16" t="n">
        <f aca="false">SUM(T20:T23)</f>
        <v>33259.7229472656</v>
      </c>
    </row>
    <row r="25" customFormat="false" ht="12.75" hidden="false" customHeight="false" outlineLevel="0" collapsed="false">
      <c r="N25" s="33"/>
    </row>
    <row r="26" customFormat="false" ht="12.75" hidden="false" customHeight="false" outlineLevel="0" collapsed="false">
      <c r="B26" s="16" t="s">
        <v>82</v>
      </c>
      <c r="N26" s="33"/>
    </row>
    <row r="27" customFormat="false" ht="12.75" hidden="false" customHeight="false" outlineLevel="0" collapsed="false">
      <c r="N27" s="33"/>
    </row>
    <row r="28" customFormat="false" ht="12.75" hidden="false" customHeight="false" outlineLevel="0" collapsed="false">
      <c r="B28" s="16" t="s">
        <v>83</v>
      </c>
      <c r="N28" s="33"/>
    </row>
    <row r="29" customFormat="false" ht="12.75" hidden="false" customHeight="false" outlineLevel="0" collapsed="false">
      <c r="C29" s="16" t="s">
        <v>84</v>
      </c>
      <c r="F29" s="16" t="n">
        <v>23277</v>
      </c>
      <c r="G29" s="16" t="n">
        <v>14193</v>
      </c>
      <c r="H29" s="16" t="n">
        <v>16472</v>
      </c>
      <c r="I29" s="16" t="n">
        <v>11705</v>
      </c>
      <c r="J29" s="16" t="n">
        <v>9693</v>
      </c>
      <c r="K29" s="16" t="n">
        <v>10196</v>
      </c>
      <c r="L29" s="16" t="n">
        <f aca="false">[3]PwrCsOut!H27+[3]PwrCsOut!H28+[3]PwrCsOut!H438+[3]PwrCsOut!H60</f>
        <v>10525.525296875</v>
      </c>
      <c r="M29" s="16" t="n">
        <f aca="false">[3]PwrCsOut!I27+[3]PwrCsOut!I28+[3]PwrCsOut!I438+[3]PwrCsOut!I60</f>
        <v>11264.678953125</v>
      </c>
      <c r="N29" s="33" t="n">
        <f aca="false">[3]PwrCsOut!J27+[3]PwrCsOut!J28+[3]PwrCsOut!J438+[3]PwrCsOut!J60</f>
        <v>10674.680796875</v>
      </c>
      <c r="O29" s="16" t="n">
        <f aca="false">[3]PwrCsOut!K27+[3]PwrCsOut!K28+[3]PwrCsOut!K438+[3]PwrCsOut!K60</f>
        <v>11822.996578125</v>
      </c>
      <c r="P29" s="16" t="n">
        <f aca="false">[3]PwrCsOut!L27+[3]PwrCsOut!L28+[3]PwrCsOut!L438+[3]PwrCsOut!L60</f>
        <v>17874.802421875</v>
      </c>
      <c r="Q29" s="16" t="n">
        <f aca="false">[3]PwrCsOut!M27+[3]PwrCsOut!M28+[3]PwrCsOut!M438+[3]PwrCsOut!M60</f>
        <v>19741.317265625</v>
      </c>
      <c r="R29" s="16" t="n">
        <f aca="false">SUM(F29:Q29)</f>
        <v>167440.0013125</v>
      </c>
      <c r="T29" s="16" t="n">
        <f aca="false">SUM(F29:N29)</f>
        <v>118000.885046875</v>
      </c>
    </row>
    <row r="30" customFormat="false" ht="12.75" hidden="false" customHeight="false" outlineLevel="0" collapsed="false">
      <c r="C30" s="16" t="s">
        <v>85</v>
      </c>
      <c r="F30" s="16" t="n">
        <v>5167</v>
      </c>
      <c r="G30" s="16" t="n">
        <v>4626</v>
      </c>
      <c r="H30" s="16" t="n">
        <v>4783</v>
      </c>
      <c r="I30" s="16" t="n">
        <v>3562</v>
      </c>
      <c r="J30" s="16" t="n">
        <v>4649</v>
      </c>
      <c r="K30" s="16" t="n">
        <v>3607</v>
      </c>
      <c r="L30" s="16" t="n">
        <f aca="false">[3]PwrCsOut!H29+[3]PwrCsOut!H61</f>
        <v>2709.236875</v>
      </c>
      <c r="M30" s="16" t="n">
        <f aca="false">[3]PwrCsOut!I29+[3]PwrCsOut!I61</f>
        <v>2722.23975</v>
      </c>
      <c r="N30" s="33" t="n">
        <f aca="false">[3]PwrCsOut!J29+[3]PwrCsOut!J61</f>
        <v>2671.262875</v>
      </c>
      <c r="O30" s="16" t="n">
        <f aca="false">[3]PwrCsOut!K29+[3]PwrCsOut!K61</f>
        <v>2799.31275</v>
      </c>
      <c r="P30" s="16" t="n">
        <f aca="false">[3]PwrCsOut!L29+[3]PwrCsOut!L61</f>
        <v>4564.75775390625</v>
      </c>
      <c r="Q30" s="16" t="n">
        <f aca="false">[3]PwrCsOut!M29+[3]PwrCsOut!M61</f>
        <v>4885.404578125</v>
      </c>
      <c r="R30" s="16" t="n">
        <f aca="false">SUM(F30:Q30)</f>
        <v>46746.2145820313</v>
      </c>
      <c r="T30" s="16" t="n">
        <f aca="false">SUM(F30:N30)</f>
        <v>34496.7395</v>
      </c>
    </row>
    <row r="31" customFormat="false" ht="12.75" hidden="false" customHeight="false" outlineLevel="0" collapsed="false">
      <c r="C31" s="16" t="s">
        <v>86</v>
      </c>
      <c r="F31" s="16" t="n">
        <v>1386</v>
      </c>
      <c r="G31" s="16" t="n">
        <v>1241</v>
      </c>
      <c r="H31" s="16" t="n">
        <v>1527</v>
      </c>
      <c r="I31" s="16" t="n">
        <v>1403</v>
      </c>
      <c r="J31" s="16" t="n">
        <v>1325</v>
      </c>
      <c r="K31" s="16" t="n">
        <f aca="false">[3]PwrCsOut!G58+[3]PwrCsOut!G59+[3]PwrCsOut!G50+[3]PwrCsOut!G51</f>
        <v>1306.84776171875</v>
      </c>
      <c r="L31" s="16" t="n">
        <f aca="false">[3]PwrCsOut!H58+[3]PwrCsOut!H59+[3]PwrCsOut!H50+[3]PwrCsOut!H51</f>
        <v>1306.84930664063</v>
      </c>
      <c r="M31" s="16" t="n">
        <f aca="false">[3]PwrCsOut!I58+[3]PwrCsOut!I59+[3]PwrCsOut!I50+[3]PwrCsOut!I51</f>
        <v>1306.84930664063</v>
      </c>
      <c r="N31" s="33" t="n">
        <f aca="false">[3]PwrCsOut!J58+[3]PwrCsOut!J59+[3]PwrCsOut!J50+[3]PwrCsOut!J51</f>
        <v>1306.84776171875</v>
      </c>
      <c r="O31" s="16" t="n">
        <f aca="false">[3]PwrCsOut!K58+[3]PwrCsOut!K59+[3]PwrCsOut!K50+[3]PwrCsOut!K51</f>
        <v>1306.84930664063</v>
      </c>
      <c r="P31" s="16" t="n">
        <f aca="false">[3]PwrCsOut!L58+[3]PwrCsOut!L59+[3]PwrCsOut!L50+[3]PwrCsOut!L51</f>
        <v>1306.84776171875</v>
      </c>
      <c r="Q31" s="16" t="n">
        <f aca="false">[3]PwrCsOut!M58+[3]PwrCsOut!M59+[3]PwrCsOut!M50+[3]PwrCsOut!M51</f>
        <v>1306.84930664063</v>
      </c>
      <c r="R31" s="16" t="n">
        <f aca="false">SUM(F31:Q31)</f>
        <v>16029.9405117188</v>
      </c>
      <c r="T31" s="16" t="n">
        <f aca="false">SUM(F31:N31)</f>
        <v>12109.3941367188</v>
      </c>
    </row>
    <row r="32" customFormat="false" ht="12.75" hidden="false" customHeight="false" outlineLevel="0" collapsed="false">
      <c r="C32" s="16" t="s">
        <v>87</v>
      </c>
      <c r="F32" s="16" t="n">
        <v>-5879</v>
      </c>
      <c r="G32" s="16" t="n">
        <v>-149</v>
      </c>
      <c r="H32" s="16" t="n">
        <v>1837</v>
      </c>
      <c r="I32" s="16" t="n">
        <v>-1265</v>
      </c>
      <c r="J32" s="16" t="n">
        <v>-978</v>
      </c>
      <c r="K32" s="16" t="n">
        <v>-1134</v>
      </c>
      <c r="L32" s="16" t="n">
        <f aca="false">[3]PwrCsOut!H62</f>
        <v>-3492.525</v>
      </c>
      <c r="M32" s="16" t="n">
        <f aca="false">[3]PwrCsOut!I62</f>
        <v>-3611.616</v>
      </c>
      <c r="N32" s="33" t="n">
        <f aca="false">[3]PwrCsOut!J62</f>
        <v>-3738.6475</v>
      </c>
      <c r="O32" s="16" t="n">
        <f aca="false">[3]PwrCsOut!K62</f>
        <v>-4458.19</v>
      </c>
      <c r="P32" s="16" t="n">
        <f aca="false">[3]PwrCsOut!L62</f>
        <v>-2910.07525</v>
      </c>
      <c r="Q32" s="16" t="n">
        <f aca="false">[3]PwrCsOut!M62</f>
        <v>-3309.442</v>
      </c>
      <c r="R32" s="16" t="n">
        <f aca="false">SUM(F32:Q32)</f>
        <v>-29088.49575</v>
      </c>
      <c r="T32" s="16" t="n">
        <f aca="false">SUM(F32:N32)</f>
        <v>-18410.7885</v>
      </c>
    </row>
    <row r="33" customFormat="false" ht="12.75" hidden="false" customHeight="false" outlineLevel="0" collapsed="false">
      <c r="C33" s="111" t="s">
        <v>88</v>
      </c>
      <c r="D33" s="110"/>
      <c r="E33" s="110"/>
      <c r="F33" s="110" t="n">
        <v>-711</v>
      </c>
      <c r="G33" s="110" t="n">
        <v>-2289</v>
      </c>
      <c r="H33" s="110" t="n">
        <v>-289</v>
      </c>
      <c r="I33" s="110" t="n">
        <v>1243</v>
      </c>
      <c r="J33" s="110" t="n">
        <v>-707</v>
      </c>
      <c r="K33" s="110" t="n">
        <v>74</v>
      </c>
      <c r="L33" s="110" t="n">
        <v>113</v>
      </c>
      <c r="M33" s="110" t="n">
        <v>100</v>
      </c>
      <c r="N33" s="65" t="n">
        <v>93</v>
      </c>
      <c r="O33" s="110" t="n">
        <v>7</v>
      </c>
      <c r="P33" s="110" t="n">
        <v>-51</v>
      </c>
      <c r="Q33" s="110" t="n">
        <v>-52</v>
      </c>
      <c r="R33" s="110" t="n">
        <f aca="false">SUM(F33:Q33)</f>
        <v>-2469</v>
      </c>
      <c r="S33" s="110"/>
      <c r="T33" s="110" t="n">
        <f aca="false">SUM(F33:N33)</f>
        <v>-2373</v>
      </c>
    </row>
    <row r="34" customFormat="false" ht="12.75" hidden="false" customHeight="false" outlineLevel="0" collapsed="false">
      <c r="C34" s="111" t="s">
        <v>89</v>
      </c>
      <c r="D34" s="110"/>
      <c r="E34" s="110"/>
      <c r="F34" s="110" t="n">
        <v>2249</v>
      </c>
      <c r="G34" s="110" t="n">
        <v>1515</v>
      </c>
      <c r="H34" s="110" t="n">
        <v>-2736</v>
      </c>
      <c r="I34" s="110" t="n">
        <v>-1906</v>
      </c>
      <c r="J34" s="110" t="n">
        <v>-4350</v>
      </c>
      <c r="K34" s="110" t="n">
        <v>793</v>
      </c>
      <c r="L34" s="110" t="n">
        <v>3590</v>
      </c>
      <c r="M34" s="110" t="n">
        <v>3537</v>
      </c>
      <c r="N34" s="65" t="n">
        <v>3389</v>
      </c>
      <c r="O34" s="110" t="n">
        <v>3186</v>
      </c>
      <c r="P34" s="110" t="n">
        <v>1640</v>
      </c>
      <c r="Q34" s="110" t="n">
        <v>1542</v>
      </c>
      <c r="R34" s="110" t="n">
        <f aca="false">SUM(F34:Q34)</f>
        <v>12449</v>
      </c>
      <c r="S34" s="110"/>
      <c r="T34" s="61" t="n">
        <f aca="false">SUM(F34:N34)</f>
        <v>6081</v>
      </c>
    </row>
    <row r="35" customFormat="false" ht="12.75" hidden="false" customHeight="false" outlineLevel="0" collapsed="false">
      <c r="C35" s="16" t="s">
        <v>90</v>
      </c>
      <c r="F35" s="37" t="n">
        <f aca="false">SUM(F29:F34)</f>
        <v>25489</v>
      </c>
      <c r="G35" s="37" t="n">
        <f aca="false">SUM(G29:G34)</f>
        <v>19137</v>
      </c>
      <c r="H35" s="37" t="n">
        <f aca="false">SUM(H29:H34)</f>
        <v>21594</v>
      </c>
      <c r="I35" s="37" t="n">
        <f aca="false">SUM(I29:I34)</f>
        <v>14742</v>
      </c>
      <c r="J35" s="37" t="n">
        <f aca="false">SUM(J29:J34)</f>
        <v>9632</v>
      </c>
      <c r="K35" s="37" t="n">
        <f aca="false">SUM(K29:K34)</f>
        <v>14842.8477617188</v>
      </c>
      <c r="L35" s="37" t="n">
        <f aca="false">SUM(L29:L34)</f>
        <v>14752.0864785156</v>
      </c>
      <c r="M35" s="37" t="n">
        <f aca="false">SUM(M29:M34)</f>
        <v>15319.1520097656</v>
      </c>
      <c r="N35" s="38" t="n">
        <f aca="false">SUM(N29:N34)</f>
        <v>14396.1439335937</v>
      </c>
      <c r="O35" s="37" t="n">
        <f aca="false">SUM(O29:O34)</f>
        <v>14663.9686347656</v>
      </c>
      <c r="P35" s="37" t="n">
        <f aca="false">SUM(P29:P34)</f>
        <v>22425.3326875</v>
      </c>
      <c r="Q35" s="37" t="n">
        <f aca="false">SUM(Q29:Q34)</f>
        <v>24114.1291503906</v>
      </c>
      <c r="R35" s="37" t="n">
        <f aca="false">SUM(F35:Q35)</f>
        <v>211107.66065625</v>
      </c>
      <c r="T35" s="40" t="n">
        <f aca="false">SUM(F35:N35)</f>
        <v>149904.230183594</v>
      </c>
    </row>
    <row r="36" customFormat="false" ht="12.75" hidden="false" customHeight="false" outlineLevel="0" collapsed="false">
      <c r="N36" s="33"/>
    </row>
    <row r="37" customFormat="false" ht="12.75" hidden="false" customHeight="false" outlineLevel="0" collapsed="false">
      <c r="C37" s="16" t="s">
        <v>91</v>
      </c>
      <c r="F37" s="37" t="n">
        <f aca="false">F24+F26+F35</f>
        <v>29001</v>
      </c>
      <c r="G37" s="37" t="n">
        <f aca="false">G24+G26+G35</f>
        <v>23353</v>
      </c>
      <c r="H37" s="37" t="n">
        <f aca="false">H24+H26+H35</f>
        <v>25786</v>
      </c>
      <c r="I37" s="37" t="n">
        <f aca="false">I24+I26+I35</f>
        <v>18214</v>
      </c>
      <c r="J37" s="37" t="n">
        <f aca="false">J24+J26+J35</f>
        <v>11938</v>
      </c>
      <c r="K37" s="37" t="n">
        <f aca="false">K24+K26+K35</f>
        <v>17617.8477617188</v>
      </c>
      <c r="L37" s="37" t="n">
        <f aca="false">L24+L26+L35</f>
        <v>19055.3108964844</v>
      </c>
      <c r="M37" s="37" t="n">
        <f aca="false">M24+M26+M35</f>
        <v>19622.3764277344</v>
      </c>
      <c r="N37" s="38" t="n">
        <f aca="false">N24+N26+N35</f>
        <v>18576.4180449219</v>
      </c>
      <c r="O37" s="37" t="n">
        <f aca="false">O24+O26+O35</f>
        <v>18967.1930527344</v>
      </c>
      <c r="P37" s="37" t="n">
        <f aca="false">P24+P26+P35</f>
        <v>26605.6067988281</v>
      </c>
      <c r="Q37" s="37" t="n">
        <f aca="false">Q24+Q26+Q35</f>
        <v>28417.3535683594</v>
      </c>
      <c r="R37" s="37" t="n">
        <f aca="false">SUM(F37:Q37)</f>
        <v>257154.106550781</v>
      </c>
      <c r="T37" s="37" t="n">
        <f aca="false">+T24+T35</f>
        <v>183163.953130859</v>
      </c>
    </row>
    <row r="38" customFormat="false" ht="12.75" hidden="false" customHeight="false" outlineLevel="0" collapsed="false">
      <c r="N38" s="33"/>
    </row>
    <row r="39" customFormat="false" ht="12.75" hidden="false" customHeight="false" outlineLevel="0" collapsed="false">
      <c r="A39" s="16" t="s">
        <v>92</v>
      </c>
      <c r="F39" s="16" t="n">
        <f aca="false">F14+F16+F37</f>
        <v>237617</v>
      </c>
      <c r="G39" s="16" t="n">
        <f aca="false">G14+G16+G37</f>
        <v>163386</v>
      </c>
      <c r="H39" s="16" t="n">
        <f aca="false">H14+H16+H37</f>
        <v>180638</v>
      </c>
      <c r="I39" s="16" t="n">
        <f aca="false">I14+I16+I37</f>
        <v>217947</v>
      </c>
      <c r="J39" s="16" t="n">
        <f aca="false">J14+J16+J37</f>
        <v>216958</v>
      </c>
      <c r="K39" s="16" t="n">
        <f aca="false">K14+K16+K37</f>
        <v>190610.847761719</v>
      </c>
      <c r="L39" s="16" t="n">
        <f aca="false">L14+L16+L37</f>
        <v>272373.363808594</v>
      </c>
      <c r="M39" s="16" t="n">
        <f aca="false">M14+M16+M37</f>
        <v>256598.376933594</v>
      </c>
      <c r="N39" s="33" t="n">
        <f aca="false">N14+N16+N37</f>
        <v>236769.316220703</v>
      </c>
      <c r="O39" s="16" t="n">
        <f aca="false">O14+O16+O37</f>
        <v>149417.498488281</v>
      </c>
      <c r="P39" s="16" t="n">
        <f aca="false">P14+P16+P37</f>
        <v>149824.165314453</v>
      </c>
      <c r="Q39" s="16" t="n">
        <f aca="false">Q14+Q16+Q37</f>
        <v>168237.698558594</v>
      </c>
      <c r="R39" s="16" t="n">
        <f aca="false">SUM(F39:Q39)</f>
        <v>2440377.26708594</v>
      </c>
      <c r="T39" s="16" t="n">
        <f aca="false">+T14+T16+T37</f>
        <v>1972897.90472461</v>
      </c>
    </row>
    <row r="40" customFormat="false" ht="12.75" hidden="false" customHeight="false" outlineLevel="0" collapsed="false">
      <c r="N40" s="33"/>
    </row>
    <row r="41" customFormat="false" ht="12.75" hidden="false" customHeight="false" outlineLevel="0" collapsed="false">
      <c r="B41" s="16" t="s">
        <v>93</v>
      </c>
      <c r="F41" s="16" t="n">
        <v>-147729</v>
      </c>
      <c r="G41" s="16" t="n">
        <v>-155832</v>
      </c>
      <c r="H41" s="16" t="n">
        <v>-176370</v>
      </c>
      <c r="I41" s="16" t="n">
        <v>-218190</v>
      </c>
      <c r="J41" s="16" t="n">
        <v>-189150</v>
      </c>
      <c r="K41" s="16" t="n">
        <v>-174897</v>
      </c>
      <c r="L41" s="16" t="n">
        <f aca="false">[3]PwrCsOut!H428+[3]PwrCsOut!H447</f>
        <v>-200826.658</v>
      </c>
      <c r="M41" s="16" t="n">
        <f aca="false">[3]PwrCsOut!I428+[3]PwrCsOut!I447</f>
        <v>-191444.04</v>
      </c>
      <c r="N41" s="33" t="n">
        <f aca="false">[3]PwrCsOut!J428+[3]PwrCsOut!J447</f>
        <v>-173682.736</v>
      </c>
      <c r="O41" s="16" t="n">
        <f aca="false">[3]PwrCsOut!K428+[3]PwrCsOut!K447</f>
        <v>-105177.986</v>
      </c>
      <c r="P41" s="16" t="n">
        <f aca="false">[3]PwrCsOut!L428+[3]PwrCsOut!L447</f>
        <v>-89044.948</v>
      </c>
      <c r="Q41" s="16" t="n">
        <f aca="false">[3]PwrCsOut!M428+[3]PwrCsOut!M447</f>
        <v>-87443.09</v>
      </c>
      <c r="R41" s="16" t="n">
        <f aca="false">SUM(F41:Q41)</f>
        <v>-1909787.458</v>
      </c>
      <c r="T41" s="16" t="n">
        <f aca="false">SUM(F41:N41)</f>
        <v>-1628121.434</v>
      </c>
    </row>
    <row r="42" customFormat="false" ht="12.75" hidden="false" customHeight="false" outlineLevel="0" collapsed="false">
      <c r="B42" s="16" t="s">
        <v>94</v>
      </c>
      <c r="F42" s="37" t="n">
        <v>-2901</v>
      </c>
      <c r="G42" s="37" t="n">
        <v>-1482</v>
      </c>
      <c r="H42" s="37" t="n">
        <v>-844</v>
      </c>
      <c r="I42" s="37" t="n">
        <v>-1561</v>
      </c>
      <c r="J42" s="37" t="n">
        <v>-350</v>
      </c>
      <c r="K42" s="37" t="n">
        <v>-425</v>
      </c>
      <c r="L42" s="37"/>
      <c r="M42" s="37"/>
      <c r="N42" s="38"/>
      <c r="O42" s="37"/>
      <c r="P42" s="37"/>
      <c r="Q42" s="37"/>
      <c r="R42" s="37" t="n">
        <f aca="false">SUM(F42:Q42)</f>
        <v>-7563</v>
      </c>
      <c r="T42" s="37" t="n">
        <f aca="false">SUM(F42:N42)</f>
        <v>-7563</v>
      </c>
    </row>
    <row r="43" customFormat="false" ht="13.5" hidden="false" customHeight="false" outlineLevel="0" collapsed="false">
      <c r="N43" s="33"/>
    </row>
    <row r="44" customFormat="false" ht="13.5" hidden="false" customHeight="false" outlineLevel="0" collapsed="false">
      <c r="A44" s="17" t="s">
        <v>95</v>
      </c>
      <c r="F44" s="16" t="n">
        <f aca="false">F39+F41+F42</f>
        <v>86987</v>
      </c>
      <c r="G44" s="16" t="n">
        <f aca="false">G39+G41+G42</f>
        <v>6072</v>
      </c>
      <c r="H44" s="16" t="n">
        <f aca="false">H39+H41+H42</f>
        <v>3424</v>
      </c>
      <c r="I44" s="16" t="n">
        <f aca="false">I39+I41+I42</f>
        <v>-1804</v>
      </c>
      <c r="J44" s="16" t="n">
        <f aca="false">J39+J41+J42</f>
        <v>27458</v>
      </c>
      <c r="K44" s="16" t="n">
        <f aca="false">K39+K41+K42</f>
        <v>15288.8477617188</v>
      </c>
      <c r="L44" s="16" t="n">
        <f aca="false">L39+L41+L42</f>
        <v>71546.7058085937</v>
      </c>
      <c r="M44" s="16" t="n">
        <f aca="false">M39+M41+M42</f>
        <v>65154.3369335938</v>
      </c>
      <c r="N44" s="33" t="n">
        <f aca="false">N39+N41+N42</f>
        <v>63086.5802207031</v>
      </c>
      <c r="O44" s="16" t="n">
        <f aca="false">O39+O41+O42</f>
        <v>44239.5124882812</v>
      </c>
      <c r="P44" s="16" t="n">
        <f aca="false">P39+P41+P42</f>
        <v>60779.2173144531</v>
      </c>
      <c r="Q44" s="16" t="n">
        <f aca="false">Q39+Q41+Q42</f>
        <v>80794.6085585937</v>
      </c>
      <c r="R44" s="41" t="n">
        <f aca="false">SUM(F44:Q44)</f>
        <v>523026.809085937</v>
      </c>
      <c r="T44" s="17" t="n">
        <f aca="false">T39+T41+T42</f>
        <v>337213.470724609</v>
      </c>
    </row>
    <row r="45" customFormat="false" ht="16.5" hidden="false" customHeight="false" outlineLevel="0" collapsed="false">
      <c r="A45" s="22"/>
      <c r="B45" s="42"/>
      <c r="C45" s="22"/>
      <c r="D45" s="43"/>
      <c r="E45" s="22"/>
      <c r="F45" s="44"/>
      <c r="G45" s="45"/>
      <c r="H45" s="45"/>
      <c r="I45" s="45"/>
      <c r="J45" s="45"/>
      <c r="K45" s="45"/>
      <c r="L45" s="45"/>
      <c r="M45" s="45"/>
      <c r="N45" s="46"/>
      <c r="O45" s="47"/>
      <c r="P45" s="45"/>
      <c r="Q45" s="45"/>
      <c r="R45" s="45"/>
      <c r="S45" s="22"/>
      <c r="T45" s="45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15.75" hidden="false" customHeight="false" outlineLevel="0" collapsed="false">
      <c r="A46" s="48" t="s">
        <v>96</v>
      </c>
      <c r="B46" s="49"/>
      <c r="C46" s="19"/>
      <c r="D46" s="50"/>
      <c r="E46" s="19"/>
      <c r="F46" s="51"/>
      <c r="G46" s="52"/>
      <c r="H46" s="52"/>
      <c r="I46" s="52"/>
      <c r="J46" s="52"/>
      <c r="K46" s="52"/>
      <c r="L46" s="52"/>
      <c r="M46" s="52"/>
      <c r="N46" s="53"/>
      <c r="O46" s="52"/>
      <c r="P46" s="52"/>
      <c r="Q46" s="52"/>
      <c r="R46" s="52"/>
      <c r="S46" s="19"/>
      <c r="T46" s="54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5" hidden="false" customHeight="false" outlineLevel="0" collapsed="false">
      <c r="A47" s="55" t="s">
        <v>97</v>
      </c>
      <c r="B47" s="56"/>
      <c r="C47" s="56"/>
      <c r="D47" s="56"/>
      <c r="E47" s="56"/>
      <c r="F47" s="22" t="n">
        <v>4279</v>
      </c>
      <c r="G47" s="22" t="n">
        <v>0</v>
      </c>
      <c r="H47" s="22" t="n">
        <v>0</v>
      </c>
      <c r="I47" s="22" t="n">
        <v>0</v>
      </c>
      <c r="J47" s="22" t="n">
        <v>0</v>
      </c>
      <c r="K47" s="22" t="n">
        <v>0</v>
      </c>
      <c r="L47" s="22" t="n">
        <v>0</v>
      </c>
      <c r="M47" s="22" t="n">
        <v>0</v>
      </c>
      <c r="N47" s="33" t="n">
        <v>0</v>
      </c>
      <c r="O47" s="22" t="n">
        <v>0</v>
      </c>
      <c r="P47" s="22" t="n">
        <v>0</v>
      </c>
      <c r="Q47" s="22" t="n">
        <v>0</v>
      </c>
      <c r="R47" s="22" t="n">
        <f aca="false">SUM(F47:Q47)</f>
        <v>4279</v>
      </c>
      <c r="S47" s="22"/>
      <c r="T47" s="25" t="n">
        <f aca="false">SUM(F47:N47)</f>
        <v>4279</v>
      </c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5" hidden="false" customHeight="false" outlineLevel="0" collapsed="false">
      <c r="A48" s="55" t="s">
        <v>98</v>
      </c>
      <c r="B48" s="56"/>
      <c r="C48" s="56"/>
      <c r="D48" s="56"/>
      <c r="E48" s="56"/>
      <c r="F48" s="22" t="n">
        <v>424</v>
      </c>
      <c r="G48" s="22" t="n">
        <v>0</v>
      </c>
      <c r="H48" s="22" t="n">
        <f aca="false">2400+6000</f>
        <v>8400</v>
      </c>
      <c r="I48" s="22" t="n">
        <v>0</v>
      </c>
      <c r="J48" s="22" t="n">
        <v>-679</v>
      </c>
      <c r="K48" s="22" t="n">
        <v>0</v>
      </c>
      <c r="L48" s="22" t="n">
        <v>0</v>
      </c>
      <c r="M48" s="22" t="n">
        <v>0</v>
      </c>
      <c r="N48" s="33" t="n">
        <v>0</v>
      </c>
      <c r="O48" s="22" t="n">
        <v>0</v>
      </c>
      <c r="P48" s="22" t="n">
        <v>0</v>
      </c>
      <c r="Q48" s="22" t="n">
        <v>0</v>
      </c>
      <c r="R48" s="22" t="n">
        <f aca="false">SUM(F48:Q48)</f>
        <v>8145</v>
      </c>
      <c r="S48" s="22"/>
      <c r="T48" s="25" t="n">
        <f aca="false">SUM(F48:N48)</f>
        <v>8145</v>
      </c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12.75" hidden="false" customHeight="false" outlineLevel="0" collapsed="false">
      <c r="A49" s="55" t="s">
        <v>99</v>
      </c>
      <c r="B49" s="22"/>
      <c r="C49" s="22"/>
      <c r="D49" s="22"/>
      <c r="E49" s="22"/>
      <c r="F49" s="57" t="n">
        <v>0</v>
      </c>
      <c r="G49" s="57" t="n">
        <v>0</v>
      </c>
      <c r="H49" s="57" t="n">
        <v>0</v>
      </c>
      <c r="I49" s="57" t="n">
        <v>0</v>
      </c>
      <c r="J49" s="57" t="n">
        <v>0</v>
      </c>
      <c r="K49" s="57" t="n">
        <v>0</v>
      </c>
      <c r="L49" s="57" t="n">
        <v>0</v>
      </c>
      <c r="M49" s="57" t="n">
        <v>0</v>
      </c>
      <c r="N49" s="58" t="n">
        <v>-6187</v>
      </c>
      <c r="O49" s="22" t="n">
        <v>0</v>
      </c>
      <c r="P49" s="22" t="n">
        <v>0</v>
      </c>
      <c r="Q49" s="22" t="n">
        <v>0</v>
      </c>
      <c r="R49" s="22" t="n">
        <f aca="false">SUM(F49:Q49)</f>
        <v>-6187</v>
      </c>
      <c r="S49" s="22"/>
      <c r="T49" s="25" t="n">
        <f aca="false">SUM(F49:N49)</f>
        <v>-6187</v>
      </c>
      <c r="U49" s="16" t="s">
        <v>155</v>
      </c>
    </row>
    <row r="50" customFormat="false" ht="12.75" hidden="false" customHeight="false" outlineLevel="0" collapsed="false">
      <c r="A50" s="55" t="s">
        <v>100</v>
      </c>
      <c r="B50" s="22"/>
      <c r="C50" s="22"/>
      <c r="D50" s="22"/>
      <c r="E50" s="22"/>
      <c r="F50" s="57" t="n">
        <v>2109.27917555556</v>
      </c>
      <c r="G50" s="57" t="n">
        <v>1962</v>
      </c>
      <c r="H50" s="57" t="n">
        <v>2134</v>
      </c>
      <c r="I50" s="57" t="n">
        <v>2085</v>
      </c>
      <c r="J50" s="57" t="n">
        <v>2178</v>
      </c>
      <c r="K50" s="57" t="n">
        <v>2274.35555555556</v>
      </c>
      <c r="L50" s="57" t="n">
        <v>2249.15555555556</v>
      </c>
      <c r="M50" s="57" t="n">
        <v>2301.23555555556</v>
      </c>
      <c r="N50" s="58" t="n">
        <v>2274.35555555556</v>
      </c>
      <c r="O50" s="22" t="n">
        <v>0</v>
      </c>
      <c r="P50" s="22" t="n">
        <v>0</v>
      </c>
      <c r="Q50" s="22" t="n">
        <v>0</v>
      </c>
      <c r="R50" s="22" t="n">
        <f aca="false">SUM(F50:Q50)</f>
        <v>19567.3813977778</v>
      </c>
      <c r="S50" s="22"/>
      <c r="T50" s="25" t="n">
        <f aca="false">SUM(F50:N50)</f>
        <v>19567.3813977778</v>
      </c>
    </row>
    <row r="51" customFormat="false" ht="12.75" hidden="false" customHeight="false" outlineLevel="0" collapsed="false">
      <c r="A51" s="59" t="s">
        <v>101</v>
      </c>
      <c r="B51" s="60"/>
      <c r="C51" s="60"/>
      <c r="D51" s="60"/>
      <c r="E51" s="60" t="s">
        <v>102</v>
      </c>
      <c r="F51" s="61" t="n">
        <f aca="false">+F34</f>
        <v>2249</v>
      </c>
      <c r="G51" s="61" t="n">
        <f aca="false">+G34</f>
        <v>1515</v>
      </c>
      <c r="H51" s="61" t="n">
        <f aca="false">+H34</f>
        <v>-2736</v>
      </c>
      <c r="I51" s="61" t="n">
        <f aca="false">+I34</f>
        <v>-1906</v>
      </c>
      <c r="J51" s="61" t="n">
        <f aca="false">+J34</f>
        <v>-4350</v>
      </c>
      <c r="K51" s="61" t="n">
        <f aca="false">+K34</f>
        <v>793</v>
      </c>
      <c r="L51" s="61" t="n">
        <f aca="false">+L34</f>
        <v>3590</v>
      </c>
      <c r="M51" s="61" t="n">
        <f aca="false">+M34</f>
        <v>3537</v>
      </c>
      <c r="N51" s="62" t="n">
        <f aca="false">+N34</f>
        <v>3389</v>
      </c>
      <c r="O51" s="61" t="n">
        <f aca="false">+O34</f>
        <v>3186</v>
      </c>
      <c r="P51" s="61" t="n">
        <f aca="false">+P34</f>
        <v>1640</v>
      </c>
      <c r="Q51" s="61" t="n">
        <f aca="false">+Q34</f>
        <v>1542</v>
      </c>
      <c r="R51" s="61" t="n">
        <f aca="false">SUM(F51:Q51)</f>
        <v>12449</v>
      </c>
      <c r="S51" s="60"/>
      <c r="T51" s="63" t="n">
        <f aca="false">SUM(F51:N51)</f>
        <v>6081</v>
      </c>
    </row>
    <row r="52" customFormat="false" ht="12.75" hidden="false" customHeight="false" outlineLevel="0" collapsed="false">
      <c r="A52" s="55"/>
      <c r="B52" s="22" t="s">
        <v>103</v>
      </c>
      <c r="C52" s="22"/>
      <c r="D52" s="22"/>
      <c r="E52" s="22"/>
      <c r="F52" s="22" t="n">
        <f aca="false">SUM(F47:F51)</f>
        <v>9061.27917555556</v>
      </c>
      <c r="G52" s="22" t="n">
        <f aca="false">SUM(G47:G51)</f>
        <v>3477</v>
      </c>
      <c r="H52" s="22" t="n">
        <f aca="false">SUM(H47:H51)</f>
        <v>7798</v>
      </c>
      <c r="I52" s="22" t="n">
        <f aca="false">SUM(I47:I51)</f>
        <v>179</v>
      </c>
      <c r="J52" s="22" t="n">
        <f aca="false">SUM(J47:J51)</f>
        <v>-2851</v>
      </c>
      <c r="K52" s="22" t="n">
        <f aca="false">SUM(K47:K51)</f>
        <v>3067.35555555556</v>
      </c>
      <c r="L52" s="22" t="n">
        <f aca="false">SUM(L47:L51)</f>
        <v>5839.15555555556</v>
      </c>
      <c r="M52" s="22" t="n">
        <f aca="false">SUM(M47:M51)</f>
        <v>5838.23555555556</v>
      </c>
      <c r="N52" s="33" t="n">
        <f aca="false">SUM(N47:N51)</f>
        <v>-523.644444444445</v>
      </c>
      <c r="O52" s="22" t="n">
        <f aca="false">SUM(O47:O51)</f>
        <v>3186</v>
      </c>
      <c r="P52" s="22" t="n">
        <f aca="false">SUM(P47:P51)</f>
        <v>1640</v>
      </c>
      <c r="Q52" s="22" t="n">
        <f aca="false">SUM(Q47:Q51)</f>
        <v>1542</v>
      </c>
      <c r="R52" s="22" t="n">
        <f aca="false">SUM(F52:Q52)</f>
        <v>38253.3813977778</v>
      </c>
      <c r="S52" s="22"/>
      <c r="T52" s="25" t="n">
        <f aca="false">SUM(T47:T51)</f>
        <v>31885.3813977778</v>
      </c>
    </row>
    <row r="53" customFormat="false" ht="12.75" hidden="false" customHeight="false" outlineLevel="0" collapsed="false">
      <c r="A53" s="5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33"/>
      <c r="O53" s="22"/>
      <c r="P53" s="22"/>
      <c r="Q53" s="22"/>
      <c r="R53" s="22"/>
      <c r="S53" s="22"/>
      <c r="T53" s="25"/>
    </row>
    <row r="54" customFormat="false" ht="12.75" hidden="false" customHeight="false" outlineLevel="0" collapsed="false">
      <c r="A54" s="64" t="s">
        <v>104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33"/>
      <c r="O54" s="22"/>
      <c r="P54" s="22"/>
      <c r="Q54" s="22"/>
      <c r="R54" s="22"/>
      <c r="S54" s="22"/>
      <c r="T54" s="25"/>
    </row>
    <row r="55" customFormat="false" ht="12.75" hidden="false" customHeight="false" outlineLevel="0" collapsed="false">
      <c r="A55" s="59" t="s">
        <v>105</v>
      </c>
      <c r="B55" s="60"/>
      <c r="C55" s="60"/>
      <c r="D55" s="60"/>
      <c r="E55" s="60" t="s">
        <v>106</v>
      </c>
      <c r="F55" s="60" t="n">
        <f aca="false">+F11</f>
        <v>8135</v>
      </c>
      <c r="G55" s="60" t="n">
        <f aca="false">+G11</f>
        <v>-5059</v>
      </c>
      <c r="H55" s="60" t="n">
        <f aca="false">+H11</f>
        <v>-12505</v>
      </c>
      <c r="I55" s="60" t="n">
        <f aca="false">+I11</f>
        <v>-2611</v>
      </c>
      <c r="J55" s="60" t="n">
        <f aca="false">+J11</f>
        <v>-2008</v>
      </c>
      <c r="K55" s="60" t="n">
        <f aca="false">+K11</f>
        <v>-10724</v>
      </c>
      <c r="L55" s="60" t="n">
        <f aca="false">+L11</f>
        <v>15163</v>
      </c>
      <c r="M55" s="60" t="n">
        <f aca="false">+M11</f>
        <v>17630</v>
      </c>
      <c r="N55" s="65" t="n">
        <f aca="false">+N11</f>
        <v>15985</v>
      </c>
      <c r="O55" s="60" t="n">
        <f aca="false">+O11</f>
        <v>-2840</v>
      </c>
      <c r="P55" s="60" t="n">
        <f aca="false">+P11</f>
        <v>-3594</v>
      </c>
      <c r="Q55" s="60" t="n">
        <f aca="false">+Q11</f>
        <v>-3672</v>
      </c>
      <c r="R55" s="60" t="n">
        <f aca="false">SUM(F55:Q55)</f>
        <v>13900</v>
      </c>
      <c r="S55" s="60"/>
      <c r="T55" s="66" t="n">
        <f aca="false">SUM(F55:N55)</f>
        <v>24006</v>
      </c>
    </row>
    <row r="56" customFormat="false" ht="12.75" hidden="false" customHeight="false" outlineLevel="0" collapsed="false">
      <c r="A56" s="59" t="s">
        <v>107</v>
      </c>
      <c r="B56" s="60"/>
      <c r="C56" s="60"/>
      <c r="D56" s="60"/>
      <c r="E56" s="60" t="s">
        <v>102</v>
      </c>
      <c r="F56" s="60" t="n">
        <f aca="false">+F33</f>
        <v>-711</v>
      </c>
      <c r="G56" s="60" t="n">
        <f aca="false">+G33</f>
        <v>-2289</v>
      </c>
      <c r="H56" s="60" t="n">
        <f aca="false">+H33</f>
        <v>-289</v>
      </c>
      <c r="I56" s="60" t="n">
        <f aca="false">+I33</f>
        <v>1243</v>
      </c>
      <c r="J56" s="60" t="n">
        <f aca="false">+J33</f>
        <v>-707</v>
      </c>
      <c r="K56" s="60" t="n">
        <f aca="false">+K33</f>
        <v>74</v>
      </c>
      <c r="L56" s="60" t="n">
        <f aca="false">+L33</f>
        <v>113</v>
      </c>
      <c r="M56" s="60" t="n">
        <f aca="false">+M33</f>
        <v>100</v>
      </c>
      <c r="N56" s="65" t="n">
        <f aca="false">+N33</f>
        <v>93</v>
      </c>
      <c r="O56" s="60" t="n">
        <f aca="false">+O33</f>
        <v>7</v>
      </c>
      <c r="P56" s="60" t="n">
        <f aca="false">+P33</f>
        <v>-51</v>
      </c>
      <c r="Q56" s="60" t="n">
        <f aca="false">+Q33</f>
        <v>-52</v>
      </c>
      <c r="R56" s="60" t="n">
        <f aca="false">SUM(F56:Q56)</f>
        <v>-2469</v>
      </c>
      <c r="S56" s="60"/>
      <c r="T56" s="66" t="n">
        <f aca="false">SUM(F56:N56)</f>
        <v>-2373</v>
      </c>
    </row>
    <row r="57" customFormat="false" ht="12.75" hidden="false" customHeight="false" outlineLevel="0" collapsed="false">
      <c r="A57" s="55" t="s">
        <v>108</v>
      </c>
      <c r="B57" s="22"/>
      <c r="C57" s="22"/>
      <c r="D57" s="22"/>
      <c r="E57" s="22" t="s">
        <v>109</v>
      </c>
      <c r="F57" s="67" t="n">
        <v>2007.204</v>
      </c>
      <c r="G57" s="67" t="n">
        <v>2650</v>
      </c>
      <c r="H57" s="67" t="n">
        <v>8148</v>
      </c>
      <c r="I57" s="67" t="n">
        <v>7688</v>
      </c>
      <c r="J57" s="67" t="n">
        <v>7750</v>
      </c>
      <c r="K57" s="67" t="n">
        <v>10649</v>
      </c>
      <c r="L57" s="67" t="n">
        <v>-15276</v>
      </c>
      <c r="M57" s="67" t="n">
        <v>-17730</v>
      </c>
      <c r="N57" s="68" t="n">
        <v>-16078</v>
      </c>
      <c r="O57" s="67" t="n">
        <v>2833</v>
      </c>
      <c r="P57" s="67" t="n">
        <v>3644</v>
      </c>
      <c r="Q57" s="67" t="n">
        <f aca="false">3725-1</f>
        <v>3724</v>
      </c>
      <c r="R57" s="37" t="n">
        <f aca="false">SUM(F57:Q57)</f>
        <v>9.20399999999972</v>
      </c>
      <c r="S57" s="22"/>
      <c r="T57" s="69" t="n">
        <f aca="false">SUM(F57:N57)</f>
        <v>-10191.796</v>
      </c>
    </row>
    <row r="58" customFormat="false" ht="12.75" hidden="false" customHeight="false" outlineLevel="0" collapsed="false">
      <c r="A58" s="55"/>
      <c r="B58" s="22" t="s">
        <v>110</v>
      </c>
      <c r="C58" s="22"/>
      <c r="D58" s="22"/>
      <c r="E58" s="22"/>
      <c r="F58" s="22" t="n">
        <f aca="false">SUM(F55:F57)</f>
        <v>9431.204</v>
      </c>
      <c r="G58" s="22" t="n">
        <f aca="false">SUM(G55:G57)</f>
        <v>-4698</v>
      </c>
      <c r="H58" s="22" t="n">
        <f aca="false">SUM(H55:H57)</f>
        <v>-4646</v>
      </c>
      <c r="I58" s="22" t="n">
        <f aca="false">SUM(I55:I57)</f>
        <v>6320</v>
      </c>
      <c r="J58" s="22" t="n">
        <f aca="false">SUM(J55:J57)</f>
        <v>5035</v>
      </c>
      <c r="K58" s="22" t="n">
        <f aca="false">SUM(K55:K57)</f>
        <v>-1</v>
      </c>
      <c r="L58" s="22" t="n">
        <f aca="false">SUM(L55:L57)</f>
        <v>0</v>
      </c>
      <c r="M58" s="22" t="n">
        <f aca="false">SUM(M55:M57)</f>
        <v>0</v>
      </c>
      <c r="N58" s="33" t="n">
        <f aca="false">SUM(N55:N57)</f>
        <v>0</v>
      </c>
      <c r="O58" s="22" t="n">
        <f aca="false">SUM(O55:O57)</f>
        <v>0</v>
      </c>
      <c r="P58" s="22" t="n">
        <f aca="false">SUM(P55:P57)</f>
        <v>-1</v>
      </c>
      <c r="Q58" s="22" t="n">
        <f aca="false">SUM(Q55:Q57)</f>
        <v>0</v>
      </c>
      <c r="R58" s="22" t="n">
        <f aca="false">SUM(R55:R57)</f>
        <v>11440.204</v>
      </c>
      <c r="S58" s="22"/>
      <c r="T58" s="25" t="n">
        <f aca="false">SUM(T55:T57)</f>
        <v>11441.204</v>
      </c>
    </row>
    <row r="59" customFormat="false" ht="13.5" hidden="false" customHeight="false" outlineLevel="0" collapsed="false">
      <c r="A59" s="55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70"/>
      <c r="P59" s="22"/>
      <c r="Q59" s="22"/>
      <c r="R59" s="22"/>
      <c r="S59" s="22"/>
      <c r="T59" s="25"/>
    </row>
    <row r="60" customFormat="false" ht="13.5" hidden="false" customHeight="false" outlineLevel="0" collapsed="false">
      <c r="A60" s="71" t="s">
        <v>111</v>
      </c>
      <c r="B60" s="22"/>
      <c r="C60" s="22"/>
      <c r="D60" s="22"/>
      <c r="E60" s="22"/>
      <c r="F60" s="22" t="n">
        <f aca="false">+F44-F52-F58</f>
        <v>68494.5168244445</v>
      </c>
      <c r="G60" s="22" t="n">
        <f aca="false">+G44-G52-G58</f>
        <v>7293</v>
      </c>
      <c r="H60" s="22" t="n">
        <f aca="false">+H44-H52-H58</f>
        <v>272</v>
      </c>
      <c r="I60" s="22" t="n">
        <f aca="false">+I44-I52-I58</f>
        <v>-8303</v>
      </c>
      <c r="J60" s="22" t="n">
        <f aca="false">+J44-J52-J58</f>
        <v>25274</v>
      </c>
      <c r="K60" s="22" t="n">
        <f aca="false">+K44-K52-K58</f>
        <v>12222.4922061632</v>
      </c>
      <c r="L60" s="22" t="n">
        <f aca="false">+L44-L52-L58</f>
        <v>65707.5502530382</v>
      </c>
      <c r="M60" s="22" t="n">
        <f aca="false">+M44-M52-M58</f>
        <v>59316.1013780382</v>
      </c>
      <c r="N60" s="22" t="n">
        <f aca="false">+N44-N52-N58</f>
        <v>63610.2246651476</v>
      </c>
      <c r="O60" s="70" t="n">
        <f aca="false">+O44-O52-O58</f>
        <v>41053.5124882812</v>
      </c>
      <c r="P60" s="22" t="n">
        <f aca="false">+P44-P52-P58</f>
        <v>59140.2173144531</v>
      </c>
      <c r="Q60" s="22" t="n">
        <f aca="false">+Q44-Q52-Q58</f>
        <v>79252.6085585937</v>
      </c>
      <c r="R60" s="22" t="n">
        <f aca="false">+R44-R52-R58</f>
        <v>473333.22368816</v>
      </c>
      <c r="S60" s="22"/>
      <c r="T60" s="41" t="n">
        <f aca="false">+T44-T52-T58</f>
        <v>293886.885326832</v>
      </c>
    </row>
    <row r="61" customFormat="false" ht="13.5" hidden="false" customHeight="false" outlineLevel="0" collapsed="false">
      <c r="A61" s="72" t="s">
        <v>112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4"/>
      <c r="P61" s="73"/>
      <c r="Q61" s="73"/>
      <c r="R61" s="73"/>
      <c r="S61" s="73"/>
      <c r="T61" s="75" t="n">
        <f aca="false">-'June 7 deferral'!K34</f>
        <v>-65954.8257162392</v>
      </c>
    </row>
    <row r="62" customFormat="false" ht="13.5" hidden="false" customHeight="false" outlineLevel="0" collapsed="false">
      <c r="N62" s="22"/>
      <c r="O62" s="70"/>
      <c r="T62" s="76"/>
    </row>
    <row r="63" customFormat="false" ht="13.5" hidden="false" customHeight="false" outlineLevel="0" collapsed="false">
      <c r="A63" s="17" t="s">
        <v>113</v>
      </c>
      <c r="F63" s="37" t="n">
        <v>107837.019692698</v>
      </c>
      <c r="G63" s="37" t="n">
        <v>71459.8325902834</v>
      </c>
      <c r="H63" s="37" t="n">
        <v>50391.6535373594</v>
      </c>
      <c r="I63" s="37" t="n">
        <v>43889.2442994002</v>
      </c>
      <c r="J63" s="37" t="n">
        <v>26960.7229501149</v>
      </c>
      <c r="K63" s="37" t="n">
        <v>-1570.31839308359</v>
      </c>
      <c r="L63" s="37" t="n">
        <v>69882.0274798572</v>
      </c>
      <c r="M63" s="37" t="n">
        <v>46260.9493820718</v>
      </c>
      <c r="N63" s="38" t="n">
        <v>53488.0343791031</v>
      </c>
      <c r="O63" s="37" t="n">
        <v>36290.8726400388</v>
      </c>
      <c r="P63" s="37" t="n">
        <v>64090.7966234889</v>
      </c>
      <c r="Q63" s="37" t="n">
        <v>92988.4239938911</v>
      </c>
      <c r="R63" s="77" t="n">
        <f aca="false">SUM(F63:Q63)</f>
        <v>661969.259175223</v>
      </c>
      <c r="T63" s="76"/>
    </row>
    <row r="64" customFormat="false" ht="13.5" hidden="false" customHeight="false" outlineLevel="0" collapsed="false">
      <c r="A64" s="17" t="s">
        <v>114</v>
      </c>
      <c r="F64" s="16" t="n">
        <f aca="false">+F44-F63</f>
        <v>-20850.0196926979</v>
      </c>
      <c r="G64" s="16" t="n">
        <f aca="false">+G44-G63</f>
        <v>-65387.8325902834</v>
      </c>
      <c r="H64" s="16" t="n">
        <f aca="false">+H44-H63</f>
        <v>-46967.6535373594</v>
      </c>
      <c r="I64" s="16" t="n">
        <f aca="false">+I44-I63</f>
        <v>-45693.2442994002</v>
      </c>
      <c r="J64" s="16" t="n">
        <f aca="false">+J44-J63</f>
        <v>497.277049885146</v>
      </c>
      <c r="K64" s="16" t="n">
        <f aca="false">+K44-K63</f>
        <v>16859.1661548024</v>
      </c>
      <c r="L64" s="16" t="n">
        <f aca="false">+L44-L63</f>
        <v>1664.67832873654</v>
      </c>
      <c r="M64" s="16" t="n">
        <f aca="false">+M44-M63</f>
        <v>18893.3875515219</v>
      </c>
      <c r="N64" s="33" t="n">
        <f aca="false">+N44-N63</f>
        <v>9598.54584160003</v>
      </c>
      <c r="O64" s="22" t="n">
        <f aca="false">+O44-O63</f>
        <v>7948.63984824249</v>
      </c>
      <c r="P64" s="16" t="n">
        <f aca="false">+P44-P63</f>
        <v>-3311.57930903577</v>
      </c>
      <c r="Q64" s="16" t="n">
        <f aca="false">+Q44-Q63</f>
        <v>-12193.8154352974</v>
      </c>
      <c r="R64" s="77" t="n">
        <f aca="false">+R44-R63</f>
        <v>-138942.450089286</v>
      </c>
    </row>
    <row r="65" customFormat="false" ht="12.75" hidden="false" customHeight="false" outlineLevel="0" collapsed="false">
      <c r="T65" s="17"/>
    </row>
    <row r="66" customFormat="false" ht="12.75" hidden="true" customHeight="false" outlineLevel="0" collapsed="false">
      <c r="A66" s="17" t="s">
        <v>115</v>
      </c>
      <c r="F66" s="16" t="n">
        <v>149171.323397656</v>
      </c>
      <c r="G66" s="16" t="n">
        <v>110740.359393359</v>
      </c>
      <c r="H66" s="16" t="n">
        <v>89098.6881851563</v>
      </c>
      <c r="I66" s="16" t="n">
        <v>65141.0715394531</v>
      </c>
      <c r="J66" s="16" t="n">
        <v>74765.5052070313</v>
      </c>
      <c r="K66" s="16" t="n">
        <v>65596.7581550781</v>
      </c>
      <c r="L66" s="16" t="n">
        <v>92722.6313164062</v>
      </c>
      <c r="M66" s="16" t="n">
        <v>93228.5248164063</v>
      </c>
      <c r="N66" s="16" t="n">
        <v>86227.2365800781</v>
      </c>
      <c r="O66" s="16" t="n">
        <v>80088.3628164063</v>
      </c>
      <c r="P66" s="16" t="n">
        <v>86698.9272957031</v>
      </c>
      <c r="Q66" s="16" t="n">
        <v>102782.695066406</v>
      </c>
      <c r="R66" s="78" t="n">
        <v>1096262.08376914</v>
      </c>
    </row>
    <row r="67" customFormat="false" ht="13.5" hidden="true" customHeight="false" outlineLevel="0" collapsed="false">
      <c r="A67" s="17" t="s">
        <v>116</v>
      </c>
      <c r="F67" s="67" t="n">
        <v>134596.803660156</v>
      </c>
      <c r="G67" s="67" t="n">
        <v>105048.417630859</v>
      </c>
      <c r="H67" s="67" t="n">
        <v>80946.6816601563</v>
      </c>
      <c r="I67" s="67" t="n">
        <v>76387.5507675781</v>
      </c>
      <c r="J67" s="67" t="n">
        <v>77618.9749101563</v>
      </c>
      <c r="K67" s="67" t="n">
        <v>54122.0385175781</v>
      </c>
      <c r="L67" s="67" t="n">
        <v>84128.8179414063</v>
      </c>
      <c r="M67" s="67" t="n">
        <v>93289.7934414062</v>
      </c>
      <c r="N67" s="67" t="n">
        <v>78580.3882050781</v>
      </c>
      <c r="O67" s="67" t="n">
        <v>69963.8703164063</v>
      </c>
      <c r="P67" s="67" t="n">
        <v>75571.1339550781</v>
      </c>
      <c r="Q67" s="67" t="n">
        <v>83922.9079414063</v>
      </c>
      <c r="R67" s="79" t="n">
        <v>1014177.37894727</v>
      </c>
    </row>
    <row r="68" customFormat="false" ht="13.5" hidden="true" customHeight="false" outlineLevel="0" collapsed="false">
      <c r="B68" s="17" t="s">
        <v>117</v>
      </c>
      <c r="F68" s="16" t="n">
        <f aca="false">+F67-F66</f>
        <v>-14574.5197375</v>
      </c>
      <c r="G68" s="16" t="n">
        <f aca="false">+G67-G66</f>
        <v>-5691.94176249999</v>
      </c>
      <c r="H68" s="16" t="n">
        <f aca="false">+H67-H66</f>
        <v>-8152.006525</v>
      </c>
      <c r="I68" s="16" t="n">
        <f aca="false">+I67-I66</f>
        <v>11246.479228125</v>
      </c>
      <c r="J68" s="16" t="n">
        <f aca="false">+J67-J66</f>
        <v>2853.469703125</v>
      </c>
      <c r="K68" s="16" t="n">
        <f aca="false">+K67-K66</f>
        <v>-11474.7196375</v>
      </c>
      <c r="L68" s="16" t="n">
        <f aca="false">+L67-L66</f>
        <v>-8593.813375</v>
      </c>
      <c r="M68" s="16" t="n">
        <f aca="false">+M67-M66</f>
        <v>61.2686249999824</v>
      </c>
      <c r="N68" s="16" t="n">
        <f aca="false">+N67-N66</f>
        <v>-7646.848375</v>
      </c>
      <c r="O68" s="16" t="n">
        <f aca="false">+O67-O66</f>
        <v>-10124.4925</v>
      </c>
      <c r="P68" s="16" t="n">
        <f aca="false">+P67-P66</f>
        <v>-11127.793340625</v>
      </c>
      <c r="Q68" s="16" t="n">
        <f aca="false">+Q67-Q66</f>
        <v>-18859.787125</v>
      </c>
      <c r="R68" s="80" t="n">
        <f aca="false">+R67-R66</f>
        <v>-82084.7048218751</v>
      </c>
    </row>
  </sheetData>
  <printOptions headings="false" gridLines="false" gridLinesSet="true" horizontalCentered="false" verticalCentered="false"/>
  <pageMargins left="0.5" right="0.5" top="0.75" bottom="0.770138888888889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F21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5.85"/>
    <col collapsed="false" customWidth="true" hidden="false" outlineLevel="0" max="2" min="2" style="82" width="33.85"/>
    <col collapsed="false" customWidth="true" hidden="false" outlineLevel="0" max="3" min="3" style="83" width="11.56"/>
    <col collapsed="false" customWidth="true" hidden="false" outlineLevel="0" max="4" min="4" style="83" width="10.71"/>
    <col collapsed="false" customWidth="true" hidden="false" outlineLevel="0" max="5" min="5" style="83" width="10.41"/>
    <col collapsed="false" customWidth="true" hidden="false" outlineLevel="0" max="7" min="6" style="83" width="10.71"/>
    <col collapsed="false" customWidth="true" hidden="false" outlineLevel="0" max="8" min="8" style="83" width="10.56"/>
    <col collapsed="false" customWidth="true" hidden="false" outlineLevel="0" max="11" min="9" style="83" width="10.71"/>
    <col collapsed="false" customWidth="true" hidden="false" outlineLevel="0" max="14" min="12" style="83" width="10.41"/>
    <col collapsed="false" customWidth="true" hidden="false" outlineLevel="0" max="15" min="15" style="83" width="11.42"/>
    <col collapsed="false" customWidth="true" hidden="false" outlineLevel="0" max="16" min="16" style="82" width="1.7"/>
    <col collapsed="false" customWidth="false" hidden="false" outlineLevel="0" max="257" min="17" style="82" width="9.14"/>
  </cols>
  <sheetData>
    <row r="1" customFormat="false" ht="15" hidden="false" customHeight="false" outlineLevel="0" collapsed="false">
      <c r="A1" s="84" t="n">
        <v>1</v>
      </c>
      <c r="B1" s="85" t="s">
        <v>118</v>
      </c>
    </row>
    <row r="2" customFormat="false" ht="15" hidden="false" customHeight="false" outlineLevel="0" collapsed="false">
      <c r="A2" s="81" t="n">
        <f aca="false">A1+1</f>
        <v>2</v>
      </c>
      <c r="B2" s="86" t="s">
        <v>119</v>
      </c>
      <c r="G2" s="83" t="s">
        <v>120</v>
      </c>
    </row>
    <row r="3" customFormat="false" ht="15" hidden="false" customHeight="false" outlineLevel="0" collapsed="false">
      <c r="A3" s="81" t="n">
        <f aca="false">A2+1</f>
        <v>3</v>
      </c>
      <c r="B3" s="82" t="s">
        <v>121</v>
      </c>
      <c r="C3" s="83" t="n">
        <v>319417</v>
      </c>
      <c r="G3" s="83" t="s">
        <v>122</v>
      </c>
      <c r="I3" s="87" t="n">
        <v>0.5</v>
      </c>
    </row>
    <row r="4" customFormat="false" ht="15" hidden="false" customHeight="false" outlineLevel="0" collapsed="false">
      <c r="A4" s="81" t="n">
        <f aca="false">A3+1</f>
        <v>4</v>
      </c>
      <c r="B4" s="82" t="s">
        <v>123</v>
      </c>
      <c r="C4" s="83" t="n">
        <v>2450</v>
      </c>
      <c r="G4" s="83" t="s">
        <v>124</v>
      </c>
      <c r="I4" s="87" t="n">
        <f aca="false">1-I3</f>
        <v>0.5</v>
      </c>
    </row>
    <row r="5" customFormat="false" ht="15" hidden="false" customHeight="false" outlineLevel="0" collapsed="false">
      <c r="A5" s="81" t="n">
        <f aca="false">A4+1</f>
        <v>5</v>
      </c>
      <c r="B5" s="82" t="s">
        <v>125</v>
      </c>
      <c r="C5" s="83" t="n">
        <f aca="false">20762220/8760</f>
        <v>2370.11643835616</v>
      </c>
      <c r="D5" s="88"/>
      <c r="N5" s="89"/>
      <c r="O5" s="90"/>
    </row>
    <row r="6" customFormat="false" ht="15" hidden="false" customHeight="false" outlineLevel="0" collapsed="false">
      <c r="A6" s="81" t="n">
        <f aca="false">A5+1</f>
        <v>6</v>
      </c>
      <c r="B6" s="82" t="s">
        <v>126</v>
      </c>
      <c r="C6" s="83" t="n">
        <f aca="false">C3*(C4/C5)</f>
        <v>330182.786522828</v>
      </c>
      <c r="G6" s="83" t="s">
        <v>127</v>
      </c>
      <c r="N6" s="89"/>
    </row>
    <row r="7" customFormat="false" ht="15" hidden="false" customHeight="false" outlineLevel="0" collapsed="false">
      <c r="A7" s="81" t="n">
        <f aca="false">A6+1</f>
        <v>7</v>
      </c>
      <c r="B7" s="82" t="s">
        <v>128</v>
      </c>
      <c r="C7" s="83" t="n">
        <f aca="false">O13</f>
        <v>339528.423</v>
      </c>
      <c r="G7" s="83" t="s">
        <v>122</v>
      </c>
      <c r="I7" s="87" t="n">
        <v>0.1</v>
      </c>
      <c r="N7" s="89"/>
    </row>
    <row r="8" customFormat="false" ht="15" hidden="false" customHeight="false" outlineLevel="0" collapsed="false">
      <c r="A8" s="81" t="n">
        <f aca="false">A7+1</f>
        <v>8</v>
      </c>
      <c r="B8" s="82" t="s">
        <v>129</v>
      </c>
      <c r="C8" s="83" t="n">
        <f aca="false">(C6-C7)/12</f>
        <v>-778.803039764297</v>
      </c>
      <c r="G8" s="83" t="s">
        <v>124</v>
      </c>
      <c r="I8" s="87" t="n">
        <f aca="false">1-I7</f>
        <v>0.9</v>
      </c>
      <c r="O8" s="87"/>
    </row>
    <row r="9" customFormat="false" ht="15" hidden="false" customHeight="false" outlineLevel="0" collapsed="false">
      <c r="A9" s="81" t="n">
        <f aca="false">A8+1</f>
        <v>9</v>
      </c>
      <c r="B9" s="82" t="s">
        <v>130</v>
      </c>
      <c r="C9" s="83" t="n">
        <f aca="false">(47000*2)/12*1</f>
        <v>7833.33333333333</v>
      </c>
      <c r="D9" s="83" t="s">
        <v>131</v>
      </c>
    </row>
    <row r="10" customFormat="false" ht="15" hidden="false" customHeight="false" outlineLevel="0" collapsed="false">
      <c r="A10" s="81" t="n">
        <f aca="false">A9+1</f>
        <v>10</v>
      </c>
      <c r="B10" s="82" t="s">
        <v>132</v>
      </c>
      <c r="C10" s="91" t="n">
        <f aca="false">+C9*0.6</f>
        <v>4700</v>
      </c>
      <c r="D10" s="83" t="s">
        <v>133</v>
      </c>
    </row>
    <row r="11" customFormat="false" ht="15" hidden="false" customHeight="false" outlineLevel="0" collapsed="false">
      <c r="A11" s="81" t="n">
        <f aca="false">A10+1</f>
        <v>11</v>
      </c>
    </row>
    <row r="12" customFormat="false" ht="15" hidden="false" customHeight="false" outlineLevel="0" collapsed="false">
      <c r="A12" s="81" t="n">
        <f aca="false">A11+1</f>
        <v>12</v>
      </c>
      <c r="C12" s="92" t="s">
        <v>54</v>
      </c>
      <c r="D12" s="92" t="s">
        <v>55</v>
      </c>
      <c r="E12" s="92" t="s">
        <v>134</v>
      </c>
      <c r="F12" s="92" t="s">
        <v>57</v>
      </c>
      <c r="G12" s="92" t="s">
        <v>135</v>
      </c>
      <c r="H12" s="92" t="s">
        <v>59</v>
      </c>
      <c r="I12" s="92" t="s">
        <v>60</v>
      </c>
      <c r="J12" s="92" t="s">
        <v>61</v>
      </c>
      <c r="K12" s="92" t="s">
        <v>62</v>
      </c>
      <c r="L12" s="92" t="s">
        <v>63</v>
      </c>
      <c r="M12" s="92" t="s">
        <v>64</v>
      </c>
      <c r="N12" s="92" t="s">
        <v>65</v>
      </c>
      <c r="O12" s="92" t="s">
        <v>136</v>
      </c>
    </row>
    <row r="13" customFormat="false" ht="15" hidden="false" customHeight="false" outlineLevel="0" collapsed="false">
      <c r="A13" s="81" t="n">
        <f aca="false">A12+1</f>
        <v>13</v>
      </c>
      <c r="B13" s="82" t="s">
        <v>137</v>
      </c>
      <c r="C13" s="91" t="n">
        <v>57620.79</v>
      </c>
      <c r="D13" s="91" t="n">
        <v>10670.28</v>
      </c>
      <c r="E13" s="91" t="n">
        <v>-8108.806</v>
      </c>
      <c r="F13" s="91" t="n">
        <v>33703.02</v>
      </c>
      <c r="G13" s="91" t="n">
        <v>22859.08</v>
      </c>
      <c r="H13" s="91" t="n">
        <v>-9726.131</v>
      </c>
      <c r="I13" s="91" t="n">
        <v>29567.79</v>
      </c>
      <c r="J13" s="91" t="n">
        <v>10970.53</v>
      </c>
      <c r="K13" s="91" t="n">
        <v>35406.42</v>
      </c>
      <c r="L13" s="91" t="n">
        <v>24257.87</v>
      </c>
      <c r="M13" s="91" t="n">
        <v>56019.41</v>
      </c>
      <c r="N13" s="91" t="n">
        <v>76288.17</v>
      </c>
      <c r="O13" s="83" t="n">
        <f aca="false">SUM(C13:N13)</f>
        <v>339528.423</v>
      </c>
    </row>
    <row r="14" customFormat="false" ht="15" hidden="false" customHeight="false" outlineLevel="0" collapsed="false">
      <c r="A14" s="81" t="n">
        <f aca="false">A13+1</f>
        <v>14</v>
      </c>
      <c r="B14" s="86" t="s">
        <v>138</v>
      </c>
      <c r="C14" s="92" t="n">
        <f aca="false">C13+$C$8</f>
        <v>56841.9869602357</v>
      </c>
      <c r="D14" s="92" t="n">
        <f aca="false">D13+$C$8</f>
        <v>9891.47696023571</v>
      </c>
      <c r="E14" s="92" t="n">
        <f aca="false">E13+$C$8</f>
        <v>-8887.6090397643</v>
      </c>
      <c r="F14" s="92" t="n">
        <f aca="false">F13+$C$8</f>
        <v>32924.2169602357</v>
      </c>
      <c r="G14" s="92" t="n">
        <f aca="false">G13+$C$8</f>
        <v>22080.2769602357</v>
      </c>
      <c r="H14" s="92" t="n">
        <f aca="false">H13+$C$8</f>
        <v>-10504.9340397643</v>
      </c>
      <c r="I14" s="92" t="n">
        <f aca="false">I13+$C$8</f>
        <v>28788.9869602357</v>
      </c>
      <c r="J14" s="92" t="n">
        <f aca="false">J13+$C$8</f>
        <v>10191.7269602357</v>
      </c>
      <c r="K14" s="92" t="n">
        <f aca="false">K13+$C$8</f>
        <v>34627.6169602357</v>
      </c>
      <c r="L14" s="92" t="n">
        <f aca="false">L13+$C$8</f>
        <v>23479.0669602357</v>
      </c>
      <c r="M14" s="92" t="n">
        <f aca="false">M13+$C$8</f>
        <v>55240.6069602357</v>
      </c>
      <c r="N14" s="92" t="n">
        <f aca="false">N13+$C$8</f>
        <v>75509.3669602357</v>
      </c>
      <c r="O14" s="92" t="n">
        <f aca="false">SUM(C14:N14)</f>
        <v>330182.786522828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customFormat="false" ht="15" hidden="false" customHeight="false" outlineLevel="0" collapsed="false">
      <c r="A15" s="81" t="n">
        <f aca="false">A14+1</f>
        <v>15</v>
      </c>
    </row>
    <row r="16" customFormat="false" ht="15" hidden="false" customHeight="false" outlineLevel="0" collapsed="false">
      <c r="A16" s="81" t="n">
        <f aca="false">+A15+1</f>
        <v>16</v>
      </c>
    </row>
    <row r="17" customFormat="false" ht="15" hidden="false" customHeight="false" outlineLevel="0" collapsed="false">
      <c r="A17" s="81" t="n">
        <f aca="false">+A16+1</f>
        <v>17</v>
      </c>
      <c r="B17" s="82" t="s">
        <v>139</v>
      </c>
      <c r="C17" s="83" t="n">
        <f aca="false">C18+($C$10/2)</f>
        <v>63108.6536269024</v>
      </c>
      <c r="D17" s="83" t="n">
        <f aca="false">D18+($C$10/2)</f>
        <v>16158.1436269024</v>
      </c>
      <c r="E17" s="83" t="n">
        <f aca="false">E18+($C$10/2)</f>
        <v>-2620.94237309763</v>
      </c>
      <c r="F17" s="83" t="n">
        <f aca="false">F18+($C$10/2)</f>
        <v>39190.8836269024</v>
      </c>
      <c r="G17" s="83" t="n">
        <f aca="false">G18+($C$10/2)</f>
        <v>28346.9436269024</v>
      </c>
      <c r="H17" s="83" t="n">
        <f aca="false">H18+($C$10/2)</f>
        <v>-4238.26737309763</v>
      </c>
      <c r="I17" s="83" t="n">
        <f aca="false">I18+($C$10/2)</f>
        <v>35055.6536269024</v>
      </c>
      <c r="J17" s="83" t="n">
        <f aca="false">J18+($C$10/2)</f>
        <v>16458.3936269024</v>
      </c>
      <c r="K17" s="83" t="n">
        <f aca="false">K18+($C$10/2)</f>
        <v>40894.2836269024</v>
      </c>
      <c r="O17" s="83" t="n">
        <f aca="false">SUM(C17:K17)</f>
        <v>232353.745642121</v>
      </c>
    </row>
    <row r="18" customFormat="false" ht="15" hidden="false" customHeight="false" outlineLevel="0" collapsed="false">
      <c r="A18" s="81" t="n">
        <f aca="false">A17+1</f>
        <v>18</v>
      </c>
      <c r="B18" s="82" t="s">
        <v>140</v>
      </c>
      <c r="C18" s="83" t="n">
        <f aca="false">C19+($C$9/2)</f>
        <v>60758.6536269024</v>
      </c>
      <c r="D18" s="83" t="n">
        <f aca="false">D19+($C$9/2)</f>
        <v>13808.1436269024</v>
      </c>
      <c r="E18" s="83" t="n">
        <f aca="false">E19+($C$9/2)</f>
        <v>-4970.94237309763</v>
      </c>
      <c r="F18" s="83" t="n">
        <f aca="false">F19+($C$9/2)</f>
        <v>36840.8836269024</v>
      </c>
      <c r="G18" s="83" t="n">
        <f aca="false">G19+($C$9/2)</f>
        <v>25996.9436269024</v>
      </c>
      <c r="H18" s="83" t="n">
        <f aca="false">H19+($C$9/2)</f>
        <v>-6588.26737309763</v>
      </c>
      <c r="I18" s="83" t="n">
        <f aca="false">I19+($C$9/2)</f>
        <v>32705.6536269024</v>
      </c>
      <c r="J18" s="83" t="n">
        <f aca="false">J19+($C$9/2)</f>
        <v>14108.3936269024</v>
      </c>
      <c r="K18" s="83" t="n">
        <f aca="false">K19+($C$9/2)</f>
        <v>38544.2836269024</v>
      </c>
      <c r="O18" s="83" t="n">
        <f aca="false">O19+($C$9*(9/2))</f>
        <v>211203.745642121</v>
      </c>
      <c r="Q18" s="83"/>
    </row>
    <row r="19" customFormat="false" ht="15" hidden="false" customHeight="false" outlineLevel="0" collapsed="false">
      <c r="A19" s="81" t="n">
        <f aca="false">A18+1</f>
        <v>19</v>
      </c>
      <c r="B19" s="86" t="s">
        <v>138</v>
      </c>
      <c r="C19" s="92" t="n">
        <f aca="false">C14</f>
        <v>56841.9869602357</v>
      </c>
      <c r="D19" s="92" t="n">
        <f aca="false">D14</f>
        <v>9891.47696023571</v>
      </c>
      <c r="E19" s="92" t="n">
        <f aca="false">E14</f>
        <v>-8887.6090397643</v>
      </c>
      <c r="F19" s="92" t="n">
        <f aca="false">F14</f>
        <v>32924.2169602357</v>
      </c>
      <c r="G19" s="92" t="n">
        <f aca="false">G14</f>
        <v>22080.2769602357</v>
      </c>
      <c r="H19" s="92" t="n">
        <f aca="false">H14</f>
        <v>-10504.9340397643</v>
      </c>
      <c r="I19" s="92" t="n">
        <f aca="false">I14</f>
        <v>28788.9869602357</v>
      </c>
      <c r="J19" s="92" t="n">
        <f aca="false">J14</f>
        <v>10191.7269602357</v>
      </c>
      <c r="K19" s="92" t="n">
        <f aca="false">K14</f>
        <v>34627.6169602357</v>
      </c>
      <c r="L19" s="92"/>
      <c r="M19" s="92"/>
      <c r="N19" s="92"/>
      <c r="O19" s="92" t="n">
        <f aca="false">SUM(C19:N19)</f>
        <v>175953.745642121</v>
      </c>
      <c r="P19" s="86"/>
      <c r="Q19" s="92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customFormat="false" ht="15" hidden="false" customHeight="false" outlineLevel="0" collapsed="false">
      <c r="A20" s="81" t="n">
        <f aca="false">A19+1</f>
        <v>20</v>
      </c>
      <c r="B20" s="82" t="s">
        <v>141</v>
      </c>
      <c r="C20" s="83" t="n">
        <f aca="false">C19-($C$9/2)</f>
        <v>52925.320293569</v>
      </c>
      <c r="D20" s="83" t="n">
        <f aca="false">D19-($C$9/2)</f>
        <v>5974.81029356904</v>
      </c>
      <c r="E20" s="83" t="n">
        <f aca="false">E19-($C$9/2)</f>
        <v>-12804.275706431</v>
      </c>
      <c r="F20" s="83" t="n">
        <f aca="false">F19-($C$9/2)</f>
        <v>29007.550293569</v>
      </c>
      <c r="G20" s="83" t="n">
        <f aca="false">G19-($C$9/2)</f>
        <v>18163.610293569</v>
      </c>
      <c r="H20" s="83" t="n">
        <f aca="false">H19-($C$9/2)</f>
        <v>-14421.600706431</v>
      </c>
      <c r="I20" s="83" t="n">
        <f aca="false">I19-($C$9/2)</f>
        <v>24872.320293569</v>
      </c>
      <c r="J20" s="83" t="n">
        <f aca="false">J19-($C$9/2)</f>
        <v>6275.06029356904</v>
      </c>
      <c r="K20" s="83" t="n">
        <f aca="false">K19-($C$9/2)</f>
        <v>30710.950293569</v>
      </c>
      <c r="O20" s="83" t="n">
        <f aca="false">O19-($C$9*(9/2))</f>
        <v>140703.745642121</v>
      </c>
    </row>
    <row r="21" customFormat="false" ht="15" hidden="false" customHeight="false" outlineLevel="0" collapsed="false">
      <c r="A21" s="81" t="n">
        <f aca="false">A20+1</f>
        <v>21</v>
      </c>
      <c r="B21" s="82" t="s">
        <v>152</v>
      </c>
      <c r="C21" s="83" t="n">
        <f aca="false">C20-($C$10/2)</f>
        <v>50575.320293569</v>
      </c>
      <c r="D21" s="83" t="n">
        <f aca="false">D20-($C$10/2)</f>
        <v>3624.81029356904</v>
      </c>
      <c r="E21" s="83" t="n">
        <f aca="false">E20-($C$10/2)</f>
        <v>-15154.275706431</v>
      </c>
      <c r="F21" s="83" t="n">
        <f aca="false">F20-($C$10/2)</f>
        <v>26657.550293569</v>
      </c>
      <c r="G21" s="83" t="n">
        <f aca="false">G20-($C$10/2)</f>
        <v>15813.610293569</v>
      </c>
      <c r="H21" s="83" t="n">
        <f aca="false">H20-($C$10/2)</f>
        <v>-16771.600706431</v>
      </c>
      <c r="I21" s="83" t="n">
        <f aca="false">I20-($C$10/2)</f>
        <v>22522.320293569</v>
      </c>
      <c r="J21" s="83" t="n">
        <f aca="false">J20-($C$10/2)</f>
        <v>3925.06029356904</v>
      </c>
      <c r="K21" s="83" t="n">
        <f aca="false">K20-($C$10/2)</f>
        <v>28360.950293569</v>
      </c>
      <c r="O21" s="94" t="n">
        <f aca="false">SUM(C21:N21)</f>
        <v>119553.745642121</v>
      </c>
    </row>
    <row r="22" customFormat="false" ht="15" hidden="false" customHeight="false" outlineLevel="0" collapsed="false">
      <c r="O22" s="94"/>
    </row>
    <row r="23" customFormat="false" ht="15" hidden="false" customHeight="false" outlineLevel="0" collapsed="false">
      <c r="B23" s="95" t="s">
        <v>143</v>
      </c>
      <c r="O23" s="94"/>
    </row>
    <row r="24" customFormat="false" ht="15" hidden="false" customHeight="false" outlineLevel="0" collapsed="false">
      <c r="A24" s="81" t="n">
        <f aca="false">+A21+1</f>
        <v>22</v>
      </c>
      <c r="B24" s="82" t="s">
        <v>139</v>
      </c>
      <c r="C24" s="83" t="n">
        <f aca="false">+C17</f>
        <v>63108.6536269024</v>
      </c>
      <c r="D24" s="83" t="n">
        <f aca="false">+C24+D17</f>
        <v>79266.7972538048</v>
      </c>
      <c r="E24" s="83" t="n">
        <f aca="false">+D24+E17</f>
        <v>76645.8548807071</v>
      </c>
      <c r="F24" s="83" t="n">
        <f aca="false">+E24+F17</f>
        <v>115836.73850761</v>
      </c>
      <c r="G24" s="83" t="n">
        <f aca="false">+F24+G17</f>
        <v>144183.682134512</v>
      </c>
      <c r="H24" s="83" t="n">
        <f aca="false">+G24+H17</f>
        <v>139945.414761414</v>
      </c>
      <c r="I24" s="83" t="n">
        <f aca="false">+H24+I17</f>
        <v>175001.068388317</v>
      </c>
      <c r="J24" s="83" t="n">
        <f aca="false">+I24+J17</f>
        <v>191459.462015219</v>
      </c>
      <c r="K24" s="83" t="n">
        <f aca="false">+J24+K17</f>
        <v>232353.745642121</v>
      </c>
      <c r="O24" s="94"/>
    </row>
    <row r="25" customFormat="false" ht="15" hidden="false" customHeight="false" outlineLevel="0" collapsed="false">
      <c r="A25" s="81" t="n">
        <f aca="false">+A24+1</f>
        <v>23</v>
      </c>
      <c r="B25" s="82" t="s">
        <v>140</v>
      </c>
      <c r="C25" s="83" t="n">
        <f aca="false">+C18</f>
        <v>60758.6536269024</v>
      </c>
      <c r="D25" s="83" t="n">
        <f aca="false">+C25+D18</f>
        <v>74566.7972538048</v>
      </c>
      <c r="E25" s="83" t="n">
        <f aca="false">+D25+E18</f>
        <v>69595.8548807071</v>
      </c>
      <c r="F25" s="83" t="n">
        <f aca="false">+E25+F18</f>
        <v>106436.73850761</v>
      </c>
      <c r="G25" s="83" t="n">
        <f aca="false">+F25+G18</f>
        <v>132433.682134512</v>
      </c>
      <c r="H25" s="83" t="n">
        <f aca="false">+G25+H18</f>
        <v>125845.414761414</v>
      </c>
      <c r="I25" s="83" t="n">
        <f aca="false">+H25+I18</f>
        <v>158551.068388317</v>
      </c>
      <c r="J25" s="83" t="n">
        <f aca="false">+I25+J18</f>
        <v>172659.462015219</v>
      </c>
      <c r="K25" s="83" t="n">
        <f aca="false">+J25+K18</f>
        <v>211203.745642121</v>
      </c>
      <c r="O25" s="94"/>
      <c r="Q25" s="83"/>
    </row>
    <row r="26" customFormat="false" ht="15" hidden="false" customHeight="false" outlineLevel="0" collapsed="false">
      <c r="A26" s="81" t="n">
        <f aca="false">+A25+1</f>
        <v>24</v>
      </c>
      <c r="B26" s="86" t="s">
        <v>138</v>
      </c>
      <c r="C26" s="92" t="n">
        <f aca="false">+C19</f>
        <v>56841.9869602357</v>
      </c>
      <c r="D26" s="92" t="n">
        <f aca="false">+C26+D19</f>
        <v>66733.4639204714</v>
      </c>
      <c r="E26" s="92" t="n">
        <f aca="false">+D26+E19</f>
        <v>57845.8548807071</v>
      </c>
      <c r="F26" s="92" t="n">
        <f aca="false">+E26+F19</f>
        <v>90770.0718409428</v>
      </c>
      <c r="G26" s="92" t="n">
        <f aca="false">+F26+G19</f>
        <v>112850.348801179</v>
      </c>
      <c r="H26" s="92" t="n">
        <f aca="false">+G26+H19</f>
        <v>102345.414761414</v>
      </c>
      <c r="I26" s="92" t="n">
        <f aca="false">+H26+I19</f>
        <v>131134.40172165</v>
      </c>
      <c r="J26" s="92" t="n">
        <f aca="false">+I26+J19</f>
        <v>141326.128681886</v>
      </c>
      <c r="K26" s="92" t="n">
        <f aca="false">+J26+K19</f>
        <v>175953.745642121</v>
      </c>
      <c r="L26" s="92"/>
      <c r="M26" s="92"/>
      <c r="N26" s="92"/>
      <c r="O26" s="92"/>
      <c r="Q26" s="83"/>
    </row>
    <row r="27" customFormat="false" ht="15" hidden="false" customHeight="false" outlineLevel="0" collapsed="false">
      <c r="A27" s="81" t="n">
        <f aca="false">+A26+1</f>
        <v>25</v>
      </c>
      <c r="B27" s="82" t="s">
        <v>141</v>
      </c>
      <c r="C27" s="83" t="n">
        <f aca="false">+C20</f>
        <v>52925.320293569</v>
      </c>
      <c r="D27" s="83" t="n">
        <f aca="false">+C27+D20</f>
        <v>58900.1305871381</v>
      </c>
      <c r="E27" s="83" t="n">
        <f aca="false">+D27+E20</f>
        <v>46095.8548807071</v>
      </c>
      <c r="F27" s="83" t="n">
        <f aca="false">+E27+F20</f>
        <v>75103.4051742762</v>
      </c>
      <c r="G27" s="83" t="n">
        <f aca="false">+F27+G20</f>
        <v>93267.0154678452</v>
      </c>
      <c r="H27" s="83" t="n">
        <f aca="false">+G27+H20</f>
        <v>78845.4147614142</v>
      </c>
      <c r="I27" s="83" t="n">
        <f aca="false">+H27+I20</f>
        <v>103717.735054983</v>
      </c>
      <c r="J27" s="83" t="n">
        <f aca="false">+I27+J20</f>
        <v>109992.795348552</v>
      </c>
      <c r="K27" s="83" t="n">
        <f aca="false">+J27+K20</f>
        <v>140703.745642121</v>
      </c>
      <c r="O27" s="94"/>
    </row>
    <row r="28" customFormat="false" ht="15" hidden="false" customHeight="false" outlineLevel="0" collapsed="false">
      <c r="A28" s="81" t="n">
        <f aca="false">+A27+1</f>
        <v>26</v>
      </c>
      <c r="B28" s="82" t="s">
        <v>152</v>
      </c>
      <c r="C28" s="83" t="n">
        <f aca="false">+C21</f>
        <v>50575.320293569</v>
      </c>
      <c r="D28" s="83" t="n">
        <f aca="false">+C28+D21</f>
        <v>54200.1305871381</v>
      </c>
      <c r="E28" s="83" t="n">
        <f aca="false">+D28+E21</f>
        <v>39045.8548807071</v>
      </c>
      <c r="F28" s="83" t="n">
        <f aca="false">+E28+F21</f>
        <v>65703.4051742762</v>
      </c>
      <c r="G28" s="83" t="n">
        <f aca="false">+F28+G21</f>
        <v>81517.0154678452</v>
      </c>
      <c r="H28" s="83" t="n">
        <f aca="false">+G28+H21</f>
        <v>64745.4147614142</v>
      </c>
      <c r="I28" s="83" t="n">
        <f aca="false">+H28+I21</f>
        <v>87267.7350549833</v>
      </c>
      <c r="J28" s="83" t="n">
        <f aca="false">+I28+J21</f>
        <v>91192.7953485523</v>
      </c>
      <c r="K28" s="83" t="n">
        <f aca="false">+J28+K21</f>
        <v>119553.745642121</v>
      </c>
      <c r="O28" s="94"/>
    </row>
    <row r="31" customFormat="false" ht="15.75" hidden="false" customHeight="false" outlineLevel="0" collapsed="false">
      <c r="B31" s="86" t="s">
        <v>144</v>
      </c>
    </row>
    <row r="32" customFormat="false" ht="15" hidden="false" customHeight="false" outlineLevel="0" collapsed="false">
      <c r="A32" s="82"/>
      <c r="B32" s="96" t="s">
        <v>156</v>
      </c>
      <c r="C32" s="97" t="n">
        <f aca="false">+'June 7 Power Cost Forecast'!F60</f>
        <v>68494.5168244445</v>
      </c>
      <c r="D32" s="97" t="n">
        <f aca="false">+'June 7 Power Cost Forecast'!G60</f>
        <v>7293</v>
      </c>
      <c r="E32" s="97" t="n">
        <f aca="false">+'June 7 Power Cost Forecast'!H60</f>
        <v>272</v>
      </c>
      <c r="F32" s="97" t="n">
        <f aca="false">+'June 7 Power Cost Forecast'!I60</f>
        <v>-8303</v>
      </c>
      <c r="G32" s="97" t="n">
        <f aca="false">+'June 7 Power Cost Forecast'!J60</f>
        <v>25274</v>
      </c>
      <c r="H32" s="97" t="n">
        <f aca="false">+'June 7 Power Cost Forecast'!K60</f>
        <v>12222.4922061632</v>
      </c>
      <c r="I32" s="97" t="n">
        <f aca="false">+'June 7 Power Cost Forecast'!L60</f>
        <v>65707.5502530382</v>
      </c>
      <c r="J32" s="97" t="n">
        <f aca="false">+'June 7 Power Cost Forecast'!M60</f>
        <v>59316.1013780382</v>
      </c>
      <c r="K32" s="97" t="n">
        <f aca="false">+'June 7 Power Cost Forecast'!N60</f>
        <v>63610.2246651476</v>
      </c>
      <c r="L32" s="82"/>
      <c r="M32" s="82"/>
      <c r="N32" s="82"/>
      <c r="O32" s="82"/>
    </row>
    <row r="33" customFormat="false" ht="15.75" hidden="false" customHeight="false" outlineLevel="0" collapsed="false">
      <c r="A33" s="82"/>
      <c r="B33" s="99" t="s">
        <v>146</v>
      </c>
      <c r="C33" s="100" t="n">
        <f aca="false">+C32</f>
        <v>68494.5168244445</v>
      </c>
      <c r="D33" s="100" t="n">
        <f aca="false">+C33+D32</f>
        <v>75787.5168244445</v>
      </c>
      <c r="E33" s="100" t="n">
        <f aca="false">+D33+E32</f>
        <v>76059.5168244445</v>
      </c>
      <c r="F33" s="100" t="n">
        <f aca="false">+E33+F32</f>
        <v>67756.5168244445</v>
      </c>
      <c r="G33" s="100" t="n">
        <f aca="false">+F33+G32</f>
        <v>93030.5168244445</v>
      </c>
      <c r="H33" s="100" t="n">
        <f aca="false">+G33+H32</f>
        <v>105253.009030608</v>
      </c>
      <c r="I33" s="100" t="n">
        <f aca="false">+H33+I32</f>
        <v>170960.559283646</v>
      </c>
      <c r="J33" s="100" t="n">
        <f aca="false">+I33+J32</f>
        <v>230276.660661684</v>
      </c>
      <c r="K33" s="101" t="n">
        <f aca="false">+J33+K32</f>
        <v>293886.885326832</v>
      </c>
      <c r="L33" s="82"/>
      <c r="M33" s="82"/>
      <c r="N33" s="82"/>
      <c r="O33" s="82"/>
    </row>
    <row r="34" customFormat="false" ht="15.75" hidden="false" customHeight="false" outlineLevel="0" collapsed="false">
      <c r="A34" s="82"/>
      <c r="B34" s="99" t="s">
        <v>147</v>
      </c>
      <c r="C34" s="91" t="n">
        <f aca="false">IF(C33&gt;C24,(C33-C24)*0.9+(C24-C25)*0.5,IF(C33&gt;C25,(C33-C25)*0.5,IF(C33&lt;C27,(C27-C33)*0.5,IF(C33&lt;C28,(C28-C33)*0.9+(C28-C27)*0.5,0))))</f>
        <v>6022.27687778787</v>
      </c>
      <c r="D34" s="91" t="n">
        <f aca="false">IF(D33&gt;D24,(D33-D24)*0.9+(D24-D25)*0.5,IF(D33&gt;D25,(D33-D25)*0.5,IF(D33&lt;D27,(D27-D33)*0.5,IF(D33&lt;D28,(D28-D33)*0.9+(D28-D27)*0.5,0))))</f>
        <v>610.359785319852</v>
      </c>
      <c r="E34" s="91" t="n">
        <f aca="false">IF(E33&gt;E24,(E33-E24)*0.9+(E24-E25)*0.5,IF(E33&gt;E25,(E33-E25)*0.5,IF(E33&lt;E27,(E27-E33)*0.5,IF(E33&lt;E28,(E28-E33)*0.9+(E28-E27)*0.5,0))))</f>
        <v>3231.83097186867</v>
      </c>
      <c r="F34" s="91" t="n">
        <f aca="false">IF(F33&gt;F24,(F33-F24)*0.9+(F24-F25)*0.5,IF(F33&gt;F25,(F33-F25)*0.5,IF(F33&lt;F27,(F27-F33)*0.5,IF(F33&lt;F28,(F28-F33)*0.9+(F28-F27)*0.5,0))))</f>
        <v>3673.44417491585</v>
      </c>
      <c r="G34" s="91" t="n">
        <f aca="false">IF(G33&gt;G24,(G33-G24)*0.9+(G24-G25)*0.5,IF(G33&gt;G25,(G33-G25)*0.5,IF(G33&lt;G27,(G27-G33)*0.5,IF(G33&lt;G28,(G28-G33)*0.9+(G28-G27)*0.5,0))))</f>
        <v>118.249321700372</v>
      </c>
      <c r="H34" s="91" t="n">
        <f aca="false">IF(H33&gt;H24,(H33-H24)*0.9+(H24-H25)*0.5,IF(H33&gt;H25,(H33-H25)*0.5,IF(H33&lt;H27,(H27-H33)*0.5,IF(H33&lt;H28,(H28-H33)*0.9+(H28-H27)*0.5,0))))</f>
        <v>0</v>
      </c>
      <c r="I34" s="91" t="n">
        <f aca="false">IF(I33&gt;I24,(I33-I24)*0.9+(I24-I25)*0.5,IF(I33&gt;I25,(I33-I25)*0.5,IF(I33&lt;I27,(I27-I33)*0.5,IF(I33&lt;I28,(I28-I33)*0.9+(I28-I27)*0.5,0))))</f>
        <v>6204.74544766459</v>
      </c>
      <c r="J34" s="91" t="n">
        <f aca="false">IF(J33&gt;J24,(J33-J24)*0.9+(J24-J25)*0.5,IF(J33&gt;J25,(J33-J25)*0.5,IF(J33&lt;J27,(J27-J33)*0.5,IF(J33&lt;J28,(J28-J33)*0.9+(J28-J27)*0.5,0))))</f>
        <v>44335.4787818185</v>
      </c>
      <c r="K34" s="102" t="n">
        <f aca="false">IF(K33&gt;K24,(K33-K24)*0.9+(K24-K25)*0.5,IF(K33&gt;K25,(K33-K25)*0.5,IF(K33&lt;K27,(K27-K33)*0.5,IF(K33&lt;K28,(K28-K33)*0.9+(K28-K27)*0.5,0))))</f>
        <v>65954.8257162392</v>
      </c>
      <c r="L34" s="82"/>
      <c r="M34" s="82"/>
      <c r="N34" s="82"/>
      <c r="O34" s="82"/>
    </row>
    <row r="35" customFormat="false" ht="15.75" hidden="false" customHeight="false" outlineLevel="0" collapsed="false">
      <c r="A35" s="82"/>
      <c r="B35" s="103" t="s">
        <v>148</v>
      </c>
      <c r="C35" s="104"/>
      <c r="D35" s="104" t="n">
        <f aca="false">+D34-C34</f>
        <v>-5411.91709246802</v>
      </c>
      <c r="E35" s="104" t="n">
        <f aca="false">+E34-D34</f>
        <v>2621.47118654881</v>
      </c>
      <c r="F35" s="104" t="n">
        <f aca="false">+F34-E34</f>
        <v>441.613203047185</v>
      </c>
      <c r="G35" s="104" t="n">
        <f aca="false">+G34-F34</f>
        <v>-3555.19485321548</v>
      </c>
      <c r="H35" s="104" t="n">
        <f aca="false">+H34-G34</f>
        <v>-118.249321700372</v>
      </c>
      <c r="I35" s="104" t="n">
        <f aca="false">+I34-H34</f>
        <v>6204.74544766459</v>
      </c>
      <c r="J35" s="104" t="n">
        <f aca="false">+J34-I34</f>
        <v>38130.7333341539</v>
      </c>
      <c r="K35" s="105" t="n">
        <f aca="false">+K34-J34</f>
        <v>21619.3469344207</v>
      </c>
      <c r="L35" s="82"/>
      <c r="M35" s="82"/>
      <c r="N35" s="82"/>
      <c r="O35" s="82"/>
    </row>
    <row r="36" customFormat="false" ht="15" hidden="false" customHeight="false" outlineLevel="0" collapsed="false">
      <c r="A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customFormat="false" ht="15" hidden="false" customHeight="false" outlineLevel="0" collapsed="false">
      <c r="A37" s="82"/>
      <c r="B37" s="106" t="str">
        <f aca="true">CELL("filename")</f>
        <v>'file:///mnt/12tb/@roms/datasets/enron/EDRM Enron Email Data Set v2 XML/filtered-attachments/xls/PCA_Mechanism_June_19.xls'#$June 7 deferral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customFormat="false" ht="15" hidden="false" customHeight="false" outlineLevel="0" collapsed="false">
      <c r="A38" s="82"/>
      <c r="C38" s="91"/>
      <c r="D38" s="91"/>
      <c r="E38" s="91"/>
      <c r="F38" s="91"/>
      <c r="G38" s="91"/>
      <c r="H38" s="91"/>
      <c r="I38" s="91"/>
      <c r="J38" s="91"/>
      <c r="K38" s="91"/>
      <c r="L38" s="82"/>
      <c r="M38" s="82"/>
      <c r="N38" s="82"/>
      <c r="O38" s="82"/>
    </row>
    <row r="39" customFormat="false" ht="15" hidden="false" customHeight="false" outlineLevel="0" collapsed="false">
      <c r="A39" s="82"/>
      <c r="C39" s="91"/>
      <c r="D39" s="91"/>
      <c r="E39" s="91"/>
      <c r="F39" s="91"/>
      <c r="G39" s="91"/>
      <c r="H39" s="91"/>
      <c r="I39" s="91"/>
      <c r="J39" s="91"/>
      <c r="K39" s="91"/>
      <c r="L39" s="82"/>
      <c r="M39" s="82"/>
      <c r="N39" s="82"/>
      <c r="O39" s="82"/>
    </row>
    <row r="40" customFormat="false" ht="15" hidden="false" customHeight="false" outlineLevel="0" collapsed="false">
      <c r="A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customFormat="false" ht="15" hidden="false" customHeight="false" outlineLevel="0" collapsed="false">
      <c r="A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customFormat="false" ht="15" hidden="false" customHeight="false" outlineLevel="0" collapsed="false">
      <c r="A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customFormat="false" ht="15" hidden="false" customHeight="false" outlineLevel="0" collapsed="false">
      <c r="A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customFormat="false" ht="15" hidden="false" customHeight="false" outlineLevel="0" collapsed="false">
      <c r="A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customFormat="false" ht="15" hidden="false" customHeight="false" outlineLevel="0" collapsed="false">
      <c r="A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customFormat="false" ht="15" hidden="false" customHeight="false" outlineLevel="0" collapsed="false">
      <c r="A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customFormat="false" ht="15" hidden="false" customHeight="false" outlineLevel="0" collapsed="false">
      <c r="A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customFormat="false" ht="15" hidden="false" customHeight="false" outlineLevel="0" collapsed="false">
      <c r="A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customFormat="false" ht="15" hidden="false" customHeight="false" outlineLevel="0" collapsed="false">
      <c r="A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customFormat="false" ht="15" hidden="false" customHeight="false" outlineLevel="0" collapsed="false">
      <c r="A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customFormat="false" ht="15" hidden="false" customHeight="false" outlineLevel="0" collapsed="false">
      <c r="A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customFormat="false" ht="15" hidden="false" customHeight="false" outlineLevel="0" collapsed="false">
      <c r="A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customFormat="false" ht="15" hidden="false" customHeight="false" outlineLevel="0" collapsed="false">
      <c r="A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customFormat="false" ht="15" hidden="false" customHeight="false" outlineLevel="0" collapsed="false">
      <c r="A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customFormat="false" ht="15" hidden="false" customHeight="false" outlineLevel="0" collapsed="false">
      <c r="A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customFormat="false" ht="15" hidden="false" customHeight="false" outlineLevel="0" collapsed="false">
      <c r="A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  <rowBreaks count="1" manualBreakCount="1">
    <brk id="3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5" ySplit="5" topLeftCell="P43" activePane="bottomRight" state="frozen"/>
      <selection pane="topLeft" activeCell="A1" activeCellId="0" sqref="A1"/>
      <selection pane="topRight" activeCell="P1" activeCellId="0" sqref="P1"/>
      <selection pane="bottomLeft" activeCell="A43" activeCellId="0" sqref="A43"/>
      <selection pane="bottomRight" activeCell="T61" activeCellId="0" sqref="T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6" width="4.99"/>
    <col collapsed="false" customWidth="false" hidden="false" outlineLevel="0" max="5" min="3" style="16" width="9.14"/>
    <col collapsed="false" customWidth="true" hidden="false" outlineLevel="0" max="6" min="6" style="16" width="9.7"/>
    <col collapsed="false" customWidth="true" hidden="false" outlineLevel="0" max="7" min="7" style="16" width="13.41"/>
    <col collapsed="false" customWidth="true" hidden="false" outlineLevel="0" max="8" min="8" style="16" width="10.85"/>
    <col collapsed="false" customWidth="true" hidden="false" outlineLevel="0" max="17" min="9" style="16" width="9.7"/>
    <col collapsed="false" customWidth="true" hidden="false" outlineLevel="0" max="18" min="18" style="16" width="13.7"/>
    <col collapsed="false" customWidth="false" hidden="false" outlineLevel="0" max="19" min="19" style="16" width="9.14"/>
    <col collapsed="false" customWidth="true" hidden="false" outlineLevel="0" max="20" min="20" style="16" width="11.99"/>
    <col collapsed="false" customWidth="false" hidden="false" outlineLevel="0" max="257" min="21" style="16" width="9.14"/>
  </cols>
  <sheetData>
    <row r="1" customFormat="false" ht="26.25" hidden="false" customHeight="false" outlineLevel="0" collapsed="false">
      <c r="A1" s="17" t="s">
        <v>47</v>
      </c>
      <c r="B1" s="17"/>
      <c r="C1" s="17"/>
      <c r="F1" s="18" t="s">
        <v>157</v>
      </c>
      <c r="G1" s="19"/>
      <c r="H1" s="19"/>
      <c r="I1" s="20"/>
      <c r="J1" s="21" t="s">
        <v>49</v>
      </c>
      <c r="K1" s="22"/>
      <c r="L1" s="23" t="s">
        <v>158</v>
      </c>
    </row>
    <row r="2" customFormat="false" ht="12.75" hidden="false" customHeight="false" outlineLevel="0" collapsed="false">
      <c r="A2" s="17" t="s">
        <v>51</v>
      </c>
      <c r="B2" s="17"/>
      <c r="C2" s="17"/>
      <c r="F2" s="24" t="s">
        <v>159</v>
      </c>
      <c r="G2" s="22"/>
      <c r="H2" s="22"/>
      <c r="I2" s="25"/>
      <c r="J2" s="21"/>
      <c r="K2" s="22"/>
      <c r="N2" s="26"/>
    </row>
    <row r="3" customFormat="false" ht="13.5" hidden="false" customHeight="false" outlineLevel="0" collapsed="false">
      <c r="F3" s="27" t="s">
        <v>160</v>
      </c>
      <c r="G3" s="28"/>
      <c r="H3" s="29"/>
      <c r="I3" s="30"/>
      <c r="J3" s="22"/>
      <c r="K3" s="22"/>
      <c r="L3" s="31"/>
      <c r="M3" s="31"/>
      <c r="N3" s="26"/>
      <c r="O3" s="31"/>
      <c r="P3" s="31"/>
    </row>
    <row r="4" customFormat="false" ht="12.75" hidden="false" customHeight="false" outlineLevel="0" collapsed="false">
      <c r="N4" s="33"/>
    </row>
    <row r="5" customFormat="false" ht="12.75" hidden="false" customHeight="false" outlineLevel="0" collapsed="false">
      <c r="F5" s="34" t="s">
        <v>54</v>
      </c>
      <c r="G5" s="34" t="s">
        <v>55</v>
      </c>
      <c r="H5" s="34" t="s">
        <v>56</v>
      </c>
      <c r="I5" s="34" t="s">
        <v>57</v>
      </c>
      <c r="J5" s="34" t="s">
        <v>58</v>
      </c>
      <c r="K5" s="34" t="s">
        <v>59</v>
      </c>
      <c r="L5" s="34" t="s">
        <v>60</v>
      </c>
      <c r="M5" s="34" t="s">
        <v>61</v>
      </c>
      <c r="N5" s="35" t="s">
        <v>62</v>
      </c>
      <c r="O5" s="34" t="s">
        <v>63</v>
      </c>
      <c r="P5" s="34" t="s">
        <v>64</v>
      </c>
      <c r="Q5" s="34" t="s">
        <v>65</v>
      </c>
      <c r="R5" s="34" t="s">
        <v>66</v>
      </c>
      <c r="T5" s="36" t="s">
        <v>67</v>
      </c>
    </row>
    <row r="6" customFormat="false" ht="12.75" hidden="false" customHeight="false" outlineLevel="0" collapsed="false">
      <c r="N6" s="33"/>
    </row>
    <row r="7" customFormat="false" ht="12.75" hidden="false" customHeight="false" outlineLevel="0" collapsed="false">
      <c r="A7" s="16" t="s">
        <v>68</v>
      </c>
      <c r="N7" s="33"/>
    </row>
    <row r="8" customFormat="false" ht="12.75" hidden="false" customHeight="false" outlineLevel="0" collapsed="false">
      <c r="B8" s="16" t="s">
        <v>69</v>
      </c>
      <c r="F8" s="16" t="n">
        <v>150083</v>
      </c>
      <c r="G8" s="16" t="n">
        <v>127850</v>
      </c>
      <c r="H8" s="16" t="n">
        <v>115264</v>
      </c>
      <c r="I8" s="16" t="n">
        <v>157783</v>
      </c>
      <c r="J8" s="16" t="n">
        <v>160256</v>
      </c>
      <c r="K8" s="16" t="n">
        <f aca="false">[4]PwrCsOut!G39+[4]PwrCsOut!G46+[4]PwrCsOut!G261-[4]PwrCsOut!G50-[4]PwrCsOut!G51-[4]PwrCsOut!G58-[4]PwrCsOut!G59-[4]PwrCsOut!G60-[4]PwrCsOut!G61-[4]PwrCsOut!G62</f>
        <v>152518.580738281</v>
      </c>
      <c r="L8" s="16" t="n">
        <f aca="false">[4]PwrCsOut!H39+[4]PwrCsOut!H46+[4]PwrCsOut!H261-[4]PwrCsOut!H50-[4]PwrCsOut!H51-[4]PwrCsOut!H58-[4]PwrCsOut!H59-[4]PwrCsOut!H60-[4]PwrCsOut!H61-[4]PwrCsOut!H62</f>
        <v>211445.603943359</v>
      </c>
      <c r="M8" s="16" t="n">
        <f aca="false">[4]PwrCsOut!I39+[4]PwrCsOut!I46+[4]PwrCsOut!I261-[4]PwrCsOut!I50-[4]PwrCsOut!I51-[4]PwrCsOut!I58-[4]PwrCsOut!I59-[4]PwrCsOut!I60-[4]PwrCsOut!I61-[4]PwrCsOut!I62</f>
        <v>191944.708318359</v>
      </c>
      <c r="N8" s="33" t="n">
        <f aca="false">[4]PwrCsOut!J39+[4]PwrCsOut!J46+[4]PwrCsOut!J261-[4]PwrCsOut!J50-[4]PwrCsOut!J51-[4]PwrCsOut!J58-[4]PwrCsOut!J59-[4]PwrCsOut!J60-[4]PwrCsOut!J61-[4]PwrCsOut!J62</f>
        <v>170769.600363281</v>
      </c>
      <c r="O8" s="16" t="n">
        <f aca="false">[4]PwrCsOut!K39+[4]PwrCsOut!K46+[4]PwrCsOut!K261-[4]PwrCsOut!K50-[4]PwrCsOut!K51-[4]PwrCsOut!K58-[4]PwrCsOut!K59-[4]PwrCsOut!K60-[4]PwrCsOut!K61-[4]PwrCsOut!K62</f>
        <v>155845.618943359</v>
      </c>
      <c r="P8" s="16" t="n">
        <f aca="false">[4]PwrCsOut!L39+[4]PwrCsOut!L46+[4]PwrCsOut!L261-[4]PwrCsOut!L50-[4]PwrCsOut!L51-[4]PwrCsOut!L58-[4]PwrCsOut!L59-[4]PwrCsOut!L60-[4]PwrCsOut!L61-[4]PwrCsOut!L62</f>
        <v>141285.635269531</v>
      </c>
      <c r="Q8" s="16" t="n">
        <f aca="false">[4]PwrCsOut!M39+[4]PwrCsOut!M46+[4]PwrCsOut!M261-[4]PwrCsOut!M50-[4]PwrCsOut!M51-[4]PwrCsOut!M58-[4]PwrCsOut!M59-[4]PwrCsOut!M60-[4]PwrCsOut!M61-[4]PwrCsOut!M62</f>
        <v>160871.350880859</v>
      </c>
      <c r="R8" s="16" t="n">
        <f aca="false">SUM(F8:Q8)</f>
        <v>1895917.09845703</v>
      </c>
      <c r="T8" s="16" t="n">
        <f aca="false">SUM(F8:N8)</f>
        <v>1437914.49336328</v>
      </c>
    </row>
    <row r="9" customFormat="false" ht="12.75" hidden="false" customHeight="false" outlineLevel="0" collapsed="false">
      <c r="B9" s="16" t="s">
        <v>70</v>
      </c>
      <c r="F9" s="16" t="n">
        <v>2778</v>
      </c>
      <c r="G9" s="16" t="n">
        <v>-6816</v>
      </c>
      <c r="H9" s="16" t="n">
        <v>2750</v>
      </c>
      <c r="I9" s="16" t="n">
        <v>-1255</v>
      </c>
      <c r="N9" s="33"/>
      <c r="R9" s="16" t="n">
        <f aca="false">SUM(F9:Q9)</f>
        <v>-2543</v>
      </c>
      <c r="T9" s="16" t="n">
        <f aca="false">SUM(F9:N9)</f>
        <v>-2543</v>
      </c>
    </row>
    <row r="10" customFormat="false" ht="12.75" hidden="false" customHeight="false" outlineLevel="0" collapsed="false">
      <c r="A10" s="22"/>
      <c r="B10" s="22" t="s">
        <v>71</v>
      </c>
      <c r="C10" s="22"/>
      <c r="D10" s="22"/>
      <c r="E10" s="22"/>
      <c r="F10" s="22" t="n">
        <v>1851</v>
      </c>
      <c r="G10" s="22" t="n">
        <v>699</v>
      </c>
      <c r="H10" s="22" t="n">
        <v>1054</v>
      </c>
      <c r="I10" s="22" t="n">
        <v>4081</v>
      </c>
      <c r="J10" s="22" t="n">
        <v>7500</v>
      </c>
      <c r="K10" s="22"/>
      <c r="L10" s="22"/>
      <c r="M10" s="22"/>
      <c r="N10" s="33"/>
      <c r="O10" s="22"/>
      <c r="P10" s="22"/>
      <c r="Q10" s="22"/>
      <c r="R10" s="22" t="n">
        <f aca="false">SUM(F10:Q10)</f>
        <v>15185</v>
      </c>
      <c r="S10" s="22"/>
      <c r="T10" s="16" t="n">
        <f aca="false">SUM(F10:N10)</f>
        <v>15185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.75" hidden="false" customHeight="false" outlineLevel="0" collapsed="false">
      <c r="A11" s="22"/>
      <c r="B11" s="109" t="s">
        <v>72</v>
      </c>
      <c r="C11" s="60"/>
      <c r="D11" s="60"/>
      <c r="E11" s="60"/>
      <c r="F11" s="60" t="n">
        <v>8135</v>
      </c>
      <c r="G11" s="60" t="n">
        <v>-5059</v>
      </c>
      <c r="H11" s="60" t="n">
        <v>-12505</v>
      </c>
      <c r="I11" s="60" t="n">
        <v>-2611</v>
      </c>
      <c r="J11" s="60" t="n">
        <v>-7602</v>
      </c>
      <c r="K11" s="60" t="n">
        <v>-9788</v>
      </c>
      <c r="L11" s="60" t="n">
        <v>14440</v>
      </c>
      <c r="M11" s="60" t="n">
        <v>18644</v>
      </c>
      <c r="N11" s="65" t="n">
        <v>16230</v>
      </c>
      <c r="O11" s="60" t="n">
        <v>-602</v>
      </c>
      <c r="P11" s="60" t="n">
        <v>-1951</v>
      </c>
      <c r="Q11" s="60" t="n">
        <v>-2745</v>
      </c>
      <c r="R11" s="60" t="n">
        <f aca="false">SUM(F11:Q11)</f>
        <v>14586</v>
      </c>
      <c r="S11" s="60"/>
      <c r="T11" s="110" t="n">
        <f aca="false">SUM(F11:N11)</f>
        <v>19884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4.25" hidden="false" customHeight="true" outlineLevel="0" collapsed="false">
      <c r="B12" s="16" t="s">
        <v>73</v>
      </c>
      <c r="F12" s="37" t="n">
        <v>43404</v>
      </c>
      <c r="G12" s="37" t="n">
        <v>20602</v>
      </c>
      <c r="H12" s="37" t="n">
        <v>45124</v>
      </c>
      <c r="I12" s="37" t="n">
        <v>38634</v>
      </c>
      <c r="J12" s="37" t="n">
        <v>13124</v>
      </c>
      <c r="K12" s="37" t="n">
        <f aca="false">[4]PwrCsOut!G415</f>
        <v>10772.4</v>
      </c>
      <c r="L12" s="37" t="n">
        <f aca="false">[4]PwrCsOut!H415</f>
        <v>13292.074</v>
      </c>
      <c r="M12" s="37" t="n">
        <f aca="false">[4]PwrCsOut!I415</f>
        <v>16093.633</v>
      </c>
      <c r="N12" s="38" t="n">
        <f aca="false">[4]PwrCsOut!J415</f>
        <v>3838.0365</v>
      </c>
      <c r="O12" s="37" t="n">
        <f aca="false">[4]PwrCsOut!K415</f>
        <v>1737.280875</v>
      </c>
      <c r="P12" s="37" t="n">
        <f aca="false">[4]PwrCsOut!L415</f>
        <v>1771.24225</v>
      </c>
      <c r="Q12" s="37" t="n">
        <f aca="false">[4]PwrCsOut!M415</f>
        <v>3193.0465</v>
      </c>
      <c r="R12" s="37" t="n">
        <f aca="false">SUM(F12:Q12)</f>
        <v>211585.713125</v>
      </c>
      <c r="T12" s="37" t="n">
        <f aca="false">SUM(F12:N12)</f>
        <v>204884.1435</v>
      </c>
    </row>
    <row r="13" customFormat="false" ht="12.75" hidden="false" customHeight="false" outlineLevel="0" collapsed="false">
      <c r="N13" s="33"/>
    </row>
    <row r="14" customFormat="false" ht="12.75" hidden="false" customHeight="false" outlineLevel="0" collapsed="false">
      <c r="C14" s="16" t="s">
        <v>74</v>
      </c>
      <c r="F14" s="37" t="n">
        <f aca="false">SUM(F8:F12)</f>
        <v>206251</v>
      </c>
      <c r="G14" s="37" t="n">
        <f aca="false">SUM(G8:G12)</f>
        <v>137276</v>
      </c>
      <c r="H14" s="37" t="n">
        <f aca="false">SUM(H8:H12)</f>
        <v>151687</v>
      </c>
      <c r="I14" s="37" t="n">
        <f aca="false">SUM(I8:I12)</f>
        <v>196632</v>
      </c>
      <c r="J14" s="37" t="n">
        <f aca="false">SUM(J8:J12)</f>
        <v>173278</v>
      </c>
      <c r="K14" s="37" t="n">
        <f aca="false">SUM(K8:K12)</f>
        <v>153502.980738281</v>
      </c>
      <c r="L14" s="37" t="n">
        <f aca="false">SUM(L8:L12)</f>
        <v>239177.677943359</v>
      </c>
      <c r="M14" s="37" t="n">
        <f aca="false">SUM(M8:M12)</f>
        <v>226682.341318359</v>
      </c>
      <c r="N14" s="38" t="n">
        <f aca="false">SUM(N8:N12)</f>
        <v>190837.636863281</v>
      </c>
      <c r="O14" s="37" t="n">
        <f aca="false">SUM(O8:O12)</f>
        <v>156980.899818359</v>
      </c>
      <c r="P14" s="37" t="n">
        <f aca="false">SUM(P8:P12)</f>
        <v>141105.877519531</v>
      </c>
      <c r="Q14" s="37" t="n">
        <f aca="false">SUM(Q8:Q12)</f>
        <v>161319.397380859</v>
      </c>
      <c r="R14" s="37" t="n">
        <f aca="false">SUM(R8:R12)</f>
        <v>2134730.81158203</v>
      </c>
      <c r="T14" s="37" t="n">
        <f aca="false">SUM(T8:T12)</f>
        <v>1675324.63686328</v>
      </c>
    </row>
    <row r="15" customFormat="false" ht="12.75" hidden="false" customHeight="false" outlineLevel="0" collapsed="false">
      <c r="N15" s="33"/>
    </row>
    <row r="16" customFormat="false" ht="12.75" hidden="false" customHeight="false" outlineLevel="0" collapsed="false">
      <c r="B16" s="16" t="s">
        <v>75</v>
      </c>
      <c r="F16" s="16" t="n">
        <v>2365</v>
      </c>
      <c r="G16" s="16" t="n">
        <v>2757</v>
      </c>
      <c r="H16" s="16" t="n">
        <v>3165</v>
      </c>
      <c r="I16" s="16" t="n">
        <v>3101</v>
      </c>
      <c r="J16" s="16" t="n">
        <v>3079</v>
      </c>
      <c r="K16" s="16" t="n">
        <f aca="false">[4]PwrCsOut!G412</f>
        <v>2979.76775</v>
      </c>
      <c r="L16" s="16" t="n">
        <f aca="false">[4]PwrCsOut!H412</f>
        <v>3197.84925</v>
      </c>
      <c r="M16" s="16" t="n">
        <f aca="false">[4]PwrCsOut!I412</f>
        <v>3197.84925</v>
      </c>
      <c r="N16" s="33" t="n">
        <f aca="false">[4]PwrCsOut!J412</f>
        <v>3195.7645</v>
      </c>
      <c r="O16" s="16" t="n">
        <f aca="false">[4]PwrCsOut!K412</f>
        <v>4830.832</v>
      </c>
      <c r="P16" s="16" t="n">
        <f aca="false">[4]PwrCsOut!L412</f>
        <v>4828.8065</v>
      </c>
      <c r="Q16" s="16" t="n">
        <f aca="false">[4]PwrCsOut!M412</f>
        <v>4614.871</v>
      </c>
      <c r="R16" s="16" t="n">
        <f aca="false">SUM(F16:Q16)</f>
        <v>41312.74025</v>
      </c>
      <c r="T16" s="16" t="n">
        <f aca="false">SUM(F16:N16)</f>
        <v>27038.23075</v>
      </c>
    </row>
    <row r="17" customFormat="false" ht="12.75" hidden="false" customHeight="false" outlineLevel="0" collapsed="false">
      <c r="N17" s="33"/>
    </row>
    <row r="18" customFormat="false" ht="12.75" hidden="false" customHeight="false" outlineLevel="0" collapsed="false">
      <c r="A18" s="16" t="s">
        <v>76</v>
      </c>
      <c r="N18" s="33"/>
    </row>
    <row r="19" customFormat="false" ht="12.75" hidden="false" customHeight="false" outlineLevel="0" collapsed="false">
      <c r="B19" s="16" t="s">
        <v>77</v>
      </c>
      <c r="N19" s="33"/>
    </row>
    <row r="20" customFormat="false" ht="12.75" hidden="false" customHeight="false" outlineLevel="0" collapsed="false">
      <c r="C20" s="16" t="s">
        <v>78</v>
      </c>
      <c r="N20" s="33"/>
      <c r="R20" s="16" t="n">
        <f aca="false">SUM(F20:Q20)</f>
        <v>0</v>
      </c>
    </row>
    <row r="21" customFormat="false" ht="12.75" hidden="false" customHeight="false" outlineLevel="0" collapsed="false">
      <c r="C21" s="16" t="s">
        <v>79</v>
      </c>
      <c r="F21" s="16" t="n">
        <v>957</v>
      </c>
      <c r="G21" s="16" t="n">
        <v>1470</v>
      </c>
      <c r="H21" s="16" t="n">
        <v>1037</v>
      </c>
      <c r="I21" s="16" t="n">
        <v>722</v>
      </c>
      <c r="J21" s="16" t="n">
        <v>889</v>
      </c>
      <c r="K21" s="16" t="n">
        <f aca="false">[4]PwrCsOut!G24+[4]PwrCsOut!G23+[4]PwrCsOut!G399+[4]PwrCsOut!G406</f>
        <v>1216.58769335938</v>
      </c>
      <c r="L21" s="16" t="n">
        <f aca="false">[4]PwrCsOut!H24+[4]PwrCsOut!H23+[4]PwrCsOut!H399+[4]PwrCsOut!H406</f>
        <v>1188.22662695312</v>
      </c>
      <c r="M21" s="16" t="n">
        <f aca="false">[4]PwrCsOut!I24+[4]PwrCsOut!I23+[4]PwrCsOut!I399+[4]PwrCsOut!I406</f>
        <v>1188.22662695312</v>
      </c>
      <c r="N21" s="33" t="n">
        <f aca="false">[4]PwrCsOut!J24+[4]PwrCsOut!J23+[4]PwrCsOut!J399+[4]PwrCsOut!J406</f>
        <v>1158.85280273437</v>
      </c>
      <c r="O21" s="16" t="n">
        <f aca="false">[4]PwrCsOut!K24+[4]PwrCsOut!K23+[4]PwrCsOut!K399+[4]PwrCsOut!K406</f>
        <v>1188.22662695312</v>
      </c>
      <c r="P21" s="16" t="n">
        <f aca="false">[4]PwrCsOut!L24+[4]PwrCsOut!L23+[4]PwrCsOut!L399+[4]PwrCsOut!L406</f>
        <v>1158.85280273437</v>
      </c>
      <c r="Q21" s="16" t="n">
        <f aca="false">[4]PwrCsOut!M24+[4]PwrCsOut!M23+[4]PwrCsOut!M399+[4]PwrCsOut!M406</f>
        <v>1188.22662695312</v>
      </c>
      <c r="R21" s="16" t="n">
        <f aca="false">SUM(F21:Q21)</f>
        <v>13362.1998066406</v>
      </c>
      <c r="T21" s="16" t="n">
        <f aca="false">SUM(F21:N21)</f>
        <v>9826.89375</v>
      </c>
    </row>
    <row r="22" customFormat="false" ht="12.75" hidden="false" customHeight="false" outlineLevel="0" collapsed="false">
      <c r="C22" s="16" t="s">
        <v>80</v>
      </c>
      <c r="F22" s="37" t="n">
        <v>2555</v>
      </c>
      <c r="G22" s="37" t="n">
        <v>2746</v>
      </c>
      <c r="H22" s="37" t="n">
        <v>3155</v>
      </c>
      <c r="I22" s="37" t="n">
        <v>2750</v>
      </c>
      <c r="J22" s="37" t="n">
        <v>1516</v>
      </c>
      <c r="K22" s="37" t="n">
        <f aca="false">[4]PwrCsOut!G20+[4]PwrCsOut!G400+[4]PwrCsOut!G401+[4]PwrCsOut!G402+[4]PwrCsOut!G405</f>
        <v>2088.47030859375</v>
      </c>
      <c r="L22" s="37" t="n">
        <f aca="false">[4]PwrCsOut!H20+[4]PwrCsOut!H400+[4]PwrCsOut!H401+[4]PwrCsOut!H402+[4]PwrCsOut!H405</f>
        <v>3114.99779101563</v>
      </c>
      <c r="M22" s="37" t="n">
        <f aca="false">[4]PwrCsOut!I20+[4]PwrCsOut!I400+[4]PwrCsOut!I401+[4]PwrCsOut!I402+[4]PwrCsOut!I405</f>
        <v>3114.99779101563</v>
      </c>
      <c r="N22" s="38" t="n">
        <f aca="false">[4]PwrCsOut!J20+[4]PwrCsOut!J400+[4]PwrCsOut!J401+[4]PwrCsOut!J402+[4]PwrCsOut!J405</f>
        <v>3021.42130859375</v>
      </c>
      <c r="O22" s="37" t="n">
        <f aca="false">[4]PwrCsOut!K20+[4]PwrCsOut!K400+[4]PwrCsOut!K401+[4]PwrCsOut!K402+[4]PwrCsOut!K405</f>
        <v>3114.99779101563</v>
      </c>
      <c r="P22" s="37" t="n">
        <f aca="false">[4]PwrCsOut!L20+[4]PwrCsOut!L400+[4]PwrCsOut!L401+[4]PwrCsOut!L402+[4]PwrCsOut!L405</f>
        <v>3021.42130859375</v>
      </c>
      <c r="Q22" s="37" t="n">
        <f aca="false">[4]PwrCsOut!M20+[4]PwrCsOut!M400+[4]PwrCsOut!M401+[4]PwrCsOut!M402+[4]PwrCsOut!M405</f>
        <v>3114.99779101563</v>
      </c>
      <c r="R22" s="37" t="n">
        <f aca="false">SUM(F22:Q22)</f>
        <v>33313.3040898438</v>
      </c>
      <c r="T22" s="37" t="n">
        <f aca="false">SUM(F22:N22)</f>
        <v>24061.8871992188</v>
      </c>
    </row>
    <row r="23" customFormat="false" ht="12.75" hidden="false" customHeight="false" outlineLevel="0" collapsed="false">
      <c r="N23" s="33"/>
    </row>
    <row r="24" customFormat="false" ht="12.75" hidden="false" customHeight="false" outlineLevel="0" collapsed="false">
      <c r="C24" s="16" t="s">
        <v>81</v>
      </c>
      <c r="F24" s="16" t="n">
        <f aca="false">SUM(F20:F23)</f>
        <v>3512</v>
      </c>
      <c r="G24" s="16" t="n">
        <f aca="false">SUM(G20:G23)</f>
        <v>4216</v>
      </c>
      <c r="H24" s="16" t="n">
        <f aca="false">SUM(H20:H23)</f>
        <v>4192</v>
      </c>
      <c r="I24" s="16" t="n">
        <f aca="false">SUM(I20:I23)</f>
        <v>3472</v>
      </c>
      <c r="J24" s="16" t="n">
        <f aca="false">SUM(J20:J23)</f>
        <v>2405</v>
      </c>
      <c r="K24" s="16" t="n">
        <f aca="false">SUM(K20:K23)</f>
        <v>3305.05800195313</v>
      </c>
      <c r="L24" s="16" t="n">
        <f aca="false">SUM(L20:L23)</f>
        <v>4303.22441796875</v>
      </c>
      <c r="M24" s="16" t="n">
        <f aca="false">SUM(M20:M23)</f>
        <v>4303.22441796875</v>
      </c>
      <c r="N24" s="33" t="n">
        <f aca="false">SUM(N20:N23)</f>
        <v>4180.27411132812</v>
      </c>
      <c r="O24" s="16" t="n">
        <f aca="false">SUM(O20:O23)</f>
        <v>4303.22441796875</v>
      </c>
      <c r="P24" s="16" t="n">
        <f aca="false">SUM(P20:P23)</f>
        <v>4180.27411132812</v>
      </c>
      <c r="Q24" s="16" t="n">
        <f aca="false">SUM(Q20:Q23)</f>
        <v>4303.22441796875</v>
      </c>
      <c r="R24" s="16" t="n">
        <f aca="false">SUM(F24:Q24)</f>
        <v>46675.5038964844</v>
      </c>
      <c r="T24" s="16" t="n">
        <f aca="false">SUM(T20:T23)</f>
        <v>33888.7809492188</v>
      </c>
    </row>
    <row r="25" customFormat="false" ht="12.75" hidden="false" customHeight="false" outlineLevel="0" collapsed="false">
      <c r="N25" s="33"/>
    </row>
    <row r="26" customFormat="false" ht="12.75" hidden="false" customHeight="false" outlineLevel="0" collapsed="false">
      <c r="B26" s="16" t="s">
        <v>82</v>
      </c>
      <c r="N26" s="33"/>
    </row>
    <row r="27" customFormat="false" ht="12.75" hidden="false" customHeight="false" outlineLevel="0" collapsed="false">
      <c r="N27" s="33"/>
    </row>
    <row r="28" customFormat="false" ht="12.75" hidden="false" customHeight="false" outlineLevel="0" collapsed="false">
      <c r="B28" s="16" t="s">
        <v>83</v>
      </c>
      <c r="N28" s="33"/>
    </row>
    <row r="29" customFormat="false" ht="12.75" hidden="false" customHeight="false" outlineLevel="0" collapsed="false">
      <c r="C29" s="16" t="s">
        <v>84</v>
      </c>
      <c r="F29" s="16" t="n">
        <v>23277</v>
      </c>
      <c r="G29" s="16" t="n">
        <v>14193</v>
      </c>
      <c r="H29" s="16" t="n">
        <v>16472</v>
      </c>
      <c r="I29" s="16" t="n">
        <v>11705</v>
      </c>
      <c r="J29" s="16" t="n">
        <v>11041</v>
      </c>
      <c r="K29" s="16" t="n">
        <f aca="false">[4]PwrCsOut!G27+[4]PwrCsOut!G28+[4]PwrCsOut!G407+[4]PwrCsOut!G60</f>
        <v>11116.565921875</v>
      </c>
      <c r="L29" s="16" t="n">
        <f aca="false">[4]PwrCsOut!H27+[4]PwrCsOut!H28+[4]PwrCsOut!H407+[4]PwrCsOut!H60</f>
        <v>11503.562640625</v>
      </c>
      <c r="M29" s="16" t="n">
        <f aca="false">[4]PwrCsOut!I27+[4]PwrCsOut!I28+[4]PwrCsOut!I407+[4]PwrCsOut!I60</f>
        <v>11894.207015625</v>
      </c>
      <c r="N29" s="33" t="n">
        <f aca="false">[4]PwrCsOut!J27+[4]PwrCsOut!J28+[4]PwrCsOut!J407+[4]PwrCsOut!J60</f>
        <v>11593.705984375</v>
      </c>
      <c r="O29" s="16" t="n">
        <f aca="false">[4]PwrCsOut!K27+[4]PwrCsOut!K28+[4]PwrCsOut!K407+[4]PwrCsOut!K60</f>
        <v>12006.917453125</v>
      </c>
      <c r="P29" s="16" t="n">
        <f aca="false">[4]PwrCsOut!L27+[4]PwrCsOut!L28+[4]PwrCsOut!L407+[4]PwrCsOut!L60</f>
        <v>20661.856859375</v>
      </c>
      <c r="Q29" s="16" t="n">
        <f aca="false">[4]PwrCsOut!M27+[4]PwrCsOut!M28+[4]PwrCsOut!M407+[4]PwrCsOut!M60</f>
        <v>22604.394765625</v>
      </c>
      <c r="R29" s="16" t="n">
        <f aca="false">SUM(F29:Q29)</f>
        <v>178069.210640625</v>
      </c>
      <c r="T29" s="16" t="n">
        <f aca="false">SUM(F29:N29)</f>
        <v>122796.0415625</v>
      </c>
    </row>
    <row r="30" customFormat="false" ht="12.75" hidden="false" customHeight="false" outlineLevel="0" collapsed="false">
      <c r="C30" s="16" t="s">
        <v>85</v>
      </c>
      <c r="F30" s="16" t="n">
        <v>5167</v>
      </c>
      <c r="G30" s="16" t="n">
        <v>4626</v>
      </c>
      <c r="H30" s="16" t="n">
        <v>4783</v>
      </c>
      <c r="I30" s="16" t="n">
        <v>3562</v>
      </c>
      <c r="J30" s="16" t="n">
        <v>4103</v>
      </c>
      <c r="K30" s="16" t="n">
        <f aca="false">[4]PwrCsOut!G29+[4]PwrCsOut!G61</f>
        <v>2552.818875</v>
      </c>
      <c r="L30" s="16" t="n">
        <f aca="false">[4]PwrCsOut!H29+[4]PwrCsOut!H61</f>
        <v>2640.51975</v>
      </c>
      <c r="M30" s="16" t="n">
        <f aca="false">[4]PwrCsOut!I29+[4]PwrCsOut!I61</f>
        <v>2657.718125</v>
      </c>
      <c r="N30" s="33" t="n">
        <f aca="false">[4]PwrCsOut!J29+[4]PwrCsOut!J61</f>
        <v>2613.798625</v>
      </c>
      <c r="O30" s="16" t="n">
        <f aca="false">[4]PwrCsOut!K29+[4]PwrCsOut!K61</f>
        <v>1907.325</v>
      </c>
      <c r="P30" s="16" t="n">
        <f aca="false">[4]PwrCsOut!L29+[4]PwrCsOut!L61</f>
        <v>4848.64596875</v>
      </c>
      <c r="Q30" s="16" t="n">
        <f aca="false">[4]PwrCsOut!M29+[4]PwrCsOut!M61</f>
        <v>5164.7243125</v>
      </c>
      <c r="R30" s="16" t="n">
        <f aca="false">SUM(F30:Q30)</f>
        <v>44626.55065625</v>
      </c>
      <c r="T30" s="16" t="n">
        <f aca="false">SUM(F30:N30)</f>
        <v>32705.855375</v>
      </c>
    </row>
    <row r="31" customFormat="false" ht="12.75" hidden="false" customHeight="false" outlineLevel="0" collapsed="false">
      <c r="C31" s="16" t="s">
        <v>86</v>
      </c>
      <c r="F31" s="16" t="n">
        <v>1386</v>
      </c>
      <c r="G31" s="16" t="n">
        <v>1241</v>
      </c>
      <c r="H31" s="16" t="n">
        <v>1527</v>
      </c>
      <c r="I31" s="16" t="n">
        <v>1403</v>
      </c>
      <c r="J31" s="16" t="n">
        <f aca="false">[4]PwrCsOut!F58+[4]PwrCsOut!F59+[4]PwrCsOut!F50+[4]PwrCsOut!F51</f>
        <v>1306.84930664063</v>
      </c>
      <c r="K31" s="16" t="n">
        <f aca="false">[4]PwrCsOut!G58+[4]PwrCsOut!G59+[4]PwrCsOut!G50+[4]PwrCsOut!G51</f>
        <v>1306.84776171875</v>
      </c>
      <c r="L31" s="16" t="n">
        <f aca="false">[4]PwrCsOut!H58+[4]PwrCsOut!H59+[4]PwrCsOut!H50+[4]PwrCsOut!H51</f>
        <v>1306.84930664063</v>
      </c>
      <c r="M31" s="16" t="n">
        <f aca="false">[4]PwrCsOut!I58+[4]PwrCsOut!I59+[4]PwrCsOut!I50+[4]PwrCsOut!I51</f>
        <v>1306.84930664063</v>
      </c>
      <c r="N31" s="33" t="n">
        <f aca="false">[4]PwrCsOut!J58+[4]PwrCsOut!J59+[4]PwrCsOut!J50+[4]PwrCsOut!J51</f>
        <v>1306.84776171875</v>
      </c>
      <c r="O31" s="16" t="n">
        <f aca="false">[4]PwrCsOut!K58+[4]PwrCsOut!K59+[4]PwrCsOut!K50+[4]PwrCsOut!K51</f>
        <v>1306.84930664063</v>
      </c>
      <c r="P31" s="16" t="n">
        <f aca="false">[4]PwrCsOut!L58+[4]PwrCsOut!L59+[4]PwrCsOut!L50+[4]PwrCsOut!L51</f>
        <v>1306.84776171875</v>
      </c>
      <c r="Q31" s="16" t="n">
        <f aca="false">[4]PwrCsOut!M58+[4]PwrCsOut!M59+[4]PwrCsOut!M50+[4]PwrCsOut!M51</f>
        <v>1306.84930664063</v>
      </c>
      <c r="R31" s="16" t="n">
        <f aca="false">SUM(F31:Q31)</f>
        <v>16011.7898183594</v>
      </c>
      <c r="T31" s="16" t="n">
        <f aca="false">SUM(F31:N31)</f>
        <v>12091.2434433594</v>
      </c>
    </row>
    <row r="32" customFormat="false" ht="12.75" hidden="false" customHeight="false" outlineLevel="0" collapsed="false">
      <c r="C32" s="16" t="s">
        <v>87</v>
      </c>
      <c r="F32" s="16" t="n">
        <v>-5879</v>
      </c>
      <c r="G32" s="16" t="n">
        <v>-149</v>
      </c>
      <c r="H32" s="16" t="n">
        <v>1837</v>
      </c>
      <c r="I32" s="16" t="n">
        <v>-1265</v>
      </c>
      <c r="J32" s="16" t="n">
        <v>-1143</v>
      </c>
      <c r="K32" s="16" t="n">
        <f aca="false">[4]PwrCsOut!G62</f>
        <v>-1308.032375</v>
      </c>
      <c r="L32" s="16" t="n">
        <f aca="false">[4]PwrCsOut!H62</f>
        <v>-4653.388</v>
      </c>
      <c r="M32" s="16" t="n">
        <f aca="false">[4]PwrCsOut!I62</f>
        <v>-4707.6625</v>
      </c>
      <c r="N32" s="33" t="n">
        <f aca="false">[4]PwrCsOut!J62</f>
        <v>-4593.279</v>
      </c>
      <c r="O32" s="16" t="n">
        <f aca="false">[4]PwrCsOut!K62</f>
        <v>-4773.496</v>
      </c>
      <c r="P32" s="16" t="n">
        <f aca="false">[4]PwrCsOut!L62</f>
        <v>-6191.1585</v>
      </c>
      <c r="Q32" s="16" t="n">
        <f aca="false">[4]PwrCsOut!M62</f>
        <v>-6871.843</v>
      </c>
      <c r="R32" s="16" t="n">
        <f aca="false">SUM(F32:Q32)</f>
        <v>-39697.859375</v>
      </c>
      <c r="T32" s="16" t="n">
        <f aca="false">SUM(F32:N32)</f>
        <v>-21861.361875</v>
      </c>
    </row>
    <row r="33" customFormat="false" ht="12.75" hidden="false" customHeight="false" outlineLevel="0" collapsed="false">
      <c r="C33" s="111" t="s">
        <v>88</v>
      </c>
      <c r="D33" s="110"/>
      <c r="E33" s="110"/>
      <c r="F33" s="110" t="n">
        <v>-711</v>
      </c>
      <c r="G33" s="110" t="n">
        <v>-2289</v>
      </c>
      <c r="H33" s="110" t="n">
        <v>-289</v>
      </c>
      <c r="I33" s="110" t="n">
        <v>1243</v>
      </c>
      <c r="J33" s="110" t="n">
        <v>74</v>
      </c>
      <c r="K33" s="110" t="n">
        <v>25</v>
      </c>
      <c r="L33" s="110" t="n">
        <v>-81</v>
      </c>
      <c r="M33" s="110" t="n">
        <v>51</v>
      </c>
      <c r="N33" s="65" t="n">
        <v>53</v>
      </c>
      <c r="O33" s="110" t="n">
        <v>59</v>
      </c>
      <c r="P33" s="110" t="n">
        <v>-88</v>
      </c>
      <c r="Q33" s="110" t="n">
        <v>-42</v>
      </c>
      <c r="R33" s="110" t="n">
        <f aca="false">SUM(F33:Q33)</f>
        <v>-1995</v>
      </c>
      <c r="S33" s="110"/>
      <c r="T33" s="110" t="n">
        <f aca="false">SUM(F33:N33)</f>
        <v>-1924</v>
      </c>
    </row>
    <row r="34" customFormat="false" ht="12.75" hidden="false" customHeight="false" outlineLevel="0" collapsed="false">
      <c r="C34" s="111" t="s">
        <v>89</v>
      </c>
      <c r="D34" s="110"/>
      <c r="E34" s="110"/>
      <c r="F34" s="110" t="n">
        <v>2249</v>
      </c>
      <c r="G34" s="110" t="n">
        <v>1515</v>
      </c>
      <c r="H34" s="110" t="n">
        <v>-2736</v>
      </c>
      <c r="I34" s="110" t="n">
        <v>-1906</v>
      </c>
      <c r="J34" s="110" t="n">
        <v>-135</v>
      </c>
      <c r="K34" s="110" t="n">
        <v>384</v>
      </c>
      <c r="L34" s="110" t="n">
        <v>2916</v>
      </c>
      <c r="M34" s="110" t="n">
        <v>2883</v>
      </c>
      <c r="N34" s="65" t="n">
        <v>2770</v>
      </c>
      <c r="O34" s="110" t="n">
        <v>2841</v>
      </c>
      <c r="P34" s="110" t="n">
        <v>1510</v>
      </c>
      <c r="Q34" s="110" t="n">
        <v>1579</v>
      </c>
      <c r="R34" s="110" t="n">
        <f aca="false">SUM(F34:Q34)</f>
        <v>13870</v>
      </c>
      <c r="S34" s="110"/>
      <c r="T34" s="61" t="n">
        <f aca="false">SUM(F34:N34)</f>
        <v>7940</v>
      </c>
    </row>
    <row r="35" customFormat="false" ht="12.75" hidden="false" customHeight="false" outlineLevel="0" collapsed="false">
      <c r="C35" s="16" t="s">
        <v>90</v>
      </c>
      <c r="F35" s="37" t="n">
        <f aca="false">SUM(F29:F34)</f>
        <v>25489</v>
      </c>
      <c r="G35" s="37" t="n">
        <f aca="false">SUM(G29:G34)</f>
        <v>19137</v>
      </c>
      <c r="H35" s="37" t="n">
        <f aca="false">SUM(H29:H34)</f>
        <v>21594</v>
      </c>
      <c r="I35" s="37" t="n">
        <f aca="false">SUM(I29:I34)</f>
        <v>14742</v>
      </c>
      <c r="J35" s="37" t="n">
        <f aca="false">SUM(J29:J34)</f>
        <v>15246.8493066406</v>
      </c>
      <c r="K35" s="37" t="n">
        <f aca="false">SUM(K29:K34)</f>
        <v>14077.2001835938</v>
      </c>
      <c r="L35" s="37" t="n">
        <f aca="false">SUM(L29:L34)</f>
        <v>13632.5436972656</v>
      </c>
      <c r="M35" s="37" t="n">
        <f aca="false">SUM(M29:M34)</f>
        <v>14085.1119472656</v>
      </c>
      <c r="N35" s="38" t="n">
        <f aca="false">SUM(N29:N34)</f>
        <v>13744.0733710938</v>
      </c>
      <c r="O35" s="37" t="n">
        <f aca="false">SUM(O29:O34)</f>
        <v>13347.5957597656</v>
      </c>
      <c r="P35" s="37" t="n">
        <f aca="false">SUM(P29:P34)</f>
        <v>22048.1920898438</v>
      </c>
      <c r="Q35" s="37" t="n">
        <f aca="false">SUM(Q29:Q34)</f>
        <v>23741.1253847656</v>
      </c>
      <c r="R35" s="37" t="n">
        <f aca="false">SUM(F35:Q35)</f>
        <v>210884.691740234</v>
      </c>
      <c r="T35" s="40" t="n">
        <f aca="false">SUM(F35:N35)</f>
        <v>151747.778505859</v>
      </c>
    </row>
    <row r="36" customFormat="false" ht="12.75" hidden="false" customHeight="false" outlineLevel="0" collapsed="false">
      <c r="N36" s="33"/>
    </row>
    <row r="37" customFormat="false" ht="12.75" hidden="false" customHeight="false" outlineLevel="0" collapsed="false">
      <c r="C37" s="16" t="s">
        <v>91</v>
      </c>
      <c r="F37" s="37" t="n">
        <f aca="false">F24+F26+F35</f>
        <v>29001</v>
      </c>
      <c r="G37" s="37" t="n">
        <f aca="false">G24+G26+G35</f>
        <v>23353</v>
      </c>
      <c r="H37" s="37" t="n">
        <f aca="false">H24+H26+H35</f>
        <v>25786</v>
      </c>
      <c r="I37" s="37" t="n">
        <f aca="false">I24+I26+I35</f>
        <v>18214</v>
      </c>
      <c r="J37" s="37" t="n">
        <f aca="false">J24+J26+J35</f>
        <v>17651.8493066406</v>
      </c>
      <c r="K37" s="37" t="n">
        <f aca="false">K24+K26+K35</f>
        <v>17382.2581855469</v>
      </c>
      <c r="L37" s="37" t="n">
        <f aca="false">L24+L26+L35</f>
        <v>17935.7681152344</v>
      </c>
      <c r="M37" s="37" t="n">
        <f aca="false">M24+M26+M35</f>
        <v>18388.3363652344</v>
      </c>
      <c r="N37" s="38" t="n">
        <f aca="false">N24+N26+N35</f>
        <v>17924.3474824219</v>
      </c>
      <c r="O37" s="37" t="n">
        <f aca="false">O24+O26+O35</f>
        <v>17650.8201777344</v>
      </c>
      <c r="P37" s="37" t="n">
        <f aca="false">P24+P26+P35</f>
        <v>26228.4662011719</v>
      </c>
      <c r="Q37" s="37" t="n">
        <f aca="false">Q24+Q26+Q35</f>
        <v>28044.3498027344</v>
      </c>
      <c r="R37" s="37" t="n">
        <f aca="false">SUM(F37:Q37)</f>
        <v>257560.195636719</v>
      </c>
      <c r="T37" s="37" t="n">
        <f aca="false">+T24+T35</f>
        <v>185636.559455078</v>
      </c>
    </row>
    <row r="38" customFormat="false" ht="12.75" hidden="false" customHeight="false" outlineLevel="0" collapsed="false">
      <c r="N38" s="33"/>
    </row>
    <row r="39" customFormat="false" ht="12.75" hidden="false" customHeight="false" outlineLevel="0" collapsed="false">
      <c r="A39" s="16" t="s">
        <v>92</v>
      </c>
      <c r="F39" s="16" t="n">
        <f aca="false">F14+F16+F37</f>
        <v>237617</v>
      </c>
      <c r="G39" s="16" t="n">
        <f aca="false">G14+G16+G37</f>
        <v>163386</v>
      </c>
      <c r="H39" s="16" t="n">
        <f aca="false">H14+H16+H37</f>
        <v>180638</v>
      </c>
      <c r="I39" s="16" t="n">
        <f aca="false">I14+I16+I37</f>
        <v>217947</v>
      </c>
      <c r="J39" s="16" t="n">
        <f aca="false">J14+J16+J37</f>
        <v>194008.849306641</v>
      </c>
      <c r="K39" s="16" t="n">
        <f aca="false">K14+K16+K37</f>
        <v>173865.006673828</v>
      </c>
      <c r="L39" s="16" t="n">
        <f aca="false">L14+L16+L37</f>
        <v>260311.295308594</v>
      </c>
      <c r="M39" s="16" t="n">
        <f aca="false">M14+M16+M37</f>
        <v>248268.526933594</v>
      </c>
      <c r="N39" s="33" t="n">
        <f aca="false">N14+N16+N37</f>
        <v>211957.748845703</v>
      </c>
      <c r="O39" s="16" t="n">
        <f aca="false">O14+O16+O37</f>
        <v>179462.551996094</v>
      </c>
      <c r="P39" s="16" t="n">
        <f aca="false">P14+P16+P37</f>
        <v>172163.150220703</v>
      </c>
      <c r="Q39" s="16" t="n">
        <f aca="false">Q14+Q16+Q37</f>
        <v>193978.618183594</v>
      </c>
      <c r="R39" s="16" t="n">
        <f aca="false">SUM(F39:Q39)</f>
        <v>2433603.74746875</v>
      </c>
      <c r="T39" s="16" t="n">
        <f aca="false">+T14+T16+T37</f>
        <v>1887999.42706836</v>
      </c>
    </row>
    <row r="40" customFormat="false" ht="12.75" hidden="false" customHeight="false" outlineLevel="0" collapsed="false">
      <c r="N40" s="33"/>
    </row>
    <row r="41" customFormat="false" ht="12.75" hidden="false" customHeight="false" outlineLevel="0" collapsed="false">
      <c r="B41" s="16" t="s">
        <v>93</v>
      </c>
      <c r="F41" s="16" t="n">
        <v>-147729</v>
      </c>
      <c r="G41" s="16" t="n">
        <v>-155832</v>
      </c>
      <c r="H41" s="16" t="n">
        <v>-176370</v>
      </c>
      <c r="I41" s="16" t="n">
        <v>-218190</v>
      </c>
      <c r="J41" s="16" t="n">
        <v>-146943</v>
      </c>
      <c r="K41" s="16" t="n">
        <f aca="false">[4]PwrCsOut!G397+[4]PwrCsOut!G416</f>
        <v>-167480.882</v>
      </c>
      <c r="L41" s="16" t="n">
        <f aca="false">[4]PwrCsOut!H397+[4]PwrCsOut!H416</f>
        <v>-209954.632</v>
      </c>
      <c r="M41" s="16" t="n">
        <f aca="false">[4]PwrCsOut!I397+[4]PwrCsOut!I416</f>
        <v>-202572.34</v>
      </c>
      <c r="N41" s="33" t="n">
        <f aca="false">[4]PwrCsOut!J397+[4]PwrCsOut!J416</f>
        <v>-166698.872</v>
      </c>
      <c r="O41" s="16" t="n">
        <f aca="false">[4]PwrCsOut!K397+[4]PwrCsOut!K416</f>
        <v>-148745.392</v>
      </c>
      <c r="P41" s="16" t="n">
        <f aca="false">[4]PwrCsOut!L397+[4]PwrCsOut!L416</f>
        <v>-116891.224</v>
      </c>
      <c r="Q41" s="16" t="n">
        <f aca="false">[4]PwrCsOut!M397+[4]PwrCsOut!M416</f>
        <v>-114007.59</v>
      </c>
      <c r="R41" s="16" t="n">
        <f aca="false">SUM(F41:Q41)</f>
        <v>-1971414.932</v>
      </c>
      <c r="T41" s="16" t="n">
        <f aca="false">SUM(F41:N41)</f>
        <v>-1591770.726</v>
      </c>
    </row>
    <row r="42" customFormat="false" ht="12.75" hidden="false" customHeight="false" outlineLevel="0" collapsed="false">
      <c r="B42" s="16" t="s">
        <v>94</v>
      </c>
      <c r="F42" s="37" t="n">
        <v>-2901</v>
      </c>
      <c r="G42" s="37" t="n">
        <v>-1482</v>
      </c>
      <c r="H42" s="37" t="n">
        <v>-844</v>
      </c>
      <c r="I42" s="37" t="n">
        <v>-1561</v>
      </c>
      <c r="J42" s="37" t="n">
        <v>-220</v>
      </c>
      <c r="K42" s="37"/>
      <c r="L42" s="37"/>
      <c r="M42" s="37"/>
      <c r="N42" s="38"/>
      <c r="O42" s="37"/>
      <c r="P42" s="37"/>
      <c r="Q42" s="37"/>
      <c r="R42" s="37" t="n">
        <f aca="false">SUM(F42:Q42)</f>
        <v>-7008</v>
      </c>
      <c r="T42" s="37" t="n">
        <f aca="false">SUM(F42:N42)</f>
        <v>-7008</v>
      </c>
    </row>
    <row r="43" customFormat="false" ht="13.5" hidden="false" customHeight="false" outlineLevel="0" collapsed="false">
      <c r="N43" s="33"/>
    </row>
    <row r="44" customFormat="false" ht="13.5" hidden="false" customHeight="false" outlineLevel="0" collapsed="false">
      <c r="A44" s="16" t="s">
        <v>161</v>
      </c>
      <c r="F44" s="16" t="n">
        <f aca="false">F39+F41+F42</f>
        <v>86987</v>
      </c>
      <c r="G44" s="16" t="n">
        <f aca="false">G39+G41+G42</f>
        <v>6072</v>
      </c>
      <c r="H44" s="16" t="n">
        <f aca="false">H39+H41+H42</f>
        <v>3424</v>
      </c>
      <c r="I44" s="16" t="n">
        <f aca="false">I39+I41+I42</f>
        <v>-1804</v>
      </c>
      <c r="J44" s="16" t="n">
        <f aca="false">J39+J41+J42</f>
        <v>46845.8493066406</v>
      </c>
      <c r="K44" s="16" t="n">
        <f aca="false">K39+K41+K42</f>
        <v>6384.12467382819</v>
      </c>
      <c r="L44" s="16" t="n">
        <f aca="false">L39+L41+L42</f>
        <v>50356.6633085937</v>
      </c>
      <c r="M44" s="16" t="n">
        <f aca="false">M39+M41+M42</f>
        <v>45696.1869335937</v>
      </c>
      <c r="N44" s="33" t="n">
        <f aca="false">N39+N41+N42</f>
        <v>45258.8768457031</v>
      </c>
      <c r="O44" s="16" t="n">
        <f aca="false">O39+O41+O42</f>
        <v>30717.1599960937</v>
      </c>
      <c r="P44" s="16" t="n">
        <f aca="false">P39+P41+P42</f>
        <v>55271.9262207032</v>
      </c>
      <c r="Q44" s="16" t="n">
        <f aca="false">Q39+Q41+Q42</f>
        <v>79971.0281835937</v>
      </c>
      <c r="R44" s="41" t="n">
        <f aca="false">SUM(F44:Q44)</f>
        <v>455180.81546875</v>
      </c>
      <c r="T44" s="17" t="n">
        <f aca="false">T39+T41+T42</f>
        <v>289220.701068359</v>
      </c>
    </row>
    <row r="45" customFormat="false" ht="16.5" hidden="false" customHeight="false" outlineLevel="0" collapsed="false">
      <c r="A45" s="22"/>
      <c r="B45" s="42"/>
      <c r="C45" s="22"/>
      <c r="D45" s="43"/>
      <c r="E45" s="22"/>
      <c r="F45" s="44"/>
      <c r="G45" s="45"/>
      <c r="H45" s="45"/>
      <c r="I45" s="45"/>
      <c r="J45" s="45"/>
      <c r="K45" s="45"/>
      <c r="L45" s="45"/>
      <c r="M45" s="45"/>
      <c r="N45" s="112"/>
      <c r="O45" s="45"/>
      <c r="P45" s="45"/>
      <c r="Q45" s="45"/>
      <c r="R45" s="45"/>
      <c r="S45" s="22"/>
      <c r="T45" s="45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15.75" hidden="false" customHeight="false" outlineLevel="0" collapsed="false">
      <c r="A46" s="48" t="s">
        <v>96</v>
      </c>
      <c r="B46" s="49"/>
      <c r="C46" s="19"/>
      <c r="D46" s="50"/>
      <c r="E46" s="19"/>
      <c r="F46" s="51"/>
      <c r="G46" s="52"/>
      <c r="H46" s="52"/>
      <c r="I46" s="52"/>
      <c r="J46" s="52"/>
      <c r="K46" s="52"/>
      <c r="L46" s="52"/>
      <c r="M46" s="52"/>
      <c r="N46" s="53"/>
      <c r="O46" s="52"/>
      <c r="P46" s="52"/>
      <c r="Q46" s="52"/>
      <c r="R46" s="52"/>
      <c r="S46" s="19"/>
      <c r="T46" s="54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5" hidden="false" customHeight="false" outlineLevel="0" collapsed="false">
      <c r="A47" s="55" t="s">
        <v>162</v>
      </c>
      <c r="B47" s="56"/>
      <c r="C47" s="56"/>
      <c r="D47" s="56"/>
      <c r="E47" s="56"/>
      <c r="F47" s="22" t="n">
        <v>4279</v>
      </c>
      <c r="G47" s="22" t="n">
        <v>0</v>
      </c>
      <c r="H47" s="22" t="n">
        <v>0</v>
      </c>
      <c r="I47" s="22" t="n">
        <v>0</v>
      </c>
      <c r="J47" s="22" t="n">
        <v>0</v>
      </c>
      <c r="K47" s="22" t="n">
        <v>0</v>
      </c>
      <c r="L47" s="22" t="n">
        <v>0</v>
      </c>
      <c r="M47" s="22" t="n">
        <v>0</v>
      </c>
      <c r="N47" s="33" t="n">
        <v>0</v>
      </c>
      <c r="O47" s="22" t="n">
        <v>0</v>
      </c>
      <c r="P47" s="22" t="n">
        <v>0</v>
      </c>
      <c r="Q47" s="22" t="n">
        <v>0</v>
      </c>
      <c r="R47" s="22" t="n">
        <f aca="false">SUM(F47:Q47)</f>
        <v>4279</v>
      </c>
      <c r="S47" s="22"/>
      <c r="T47" s="25" t="n">
        <f aca="false">SUM(F47:N47)</f>
        <v>4279</v>
      </c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5" hidden="false" customHeight="false" outlineLevel="0" collapsed="false">
      <c r="A48" s="55" t="s">
        <v>98</v>
      </c>
      <c r="B48" s="56"/>
      <c r="C48" s="56"/>
      <c r="D48" s="56"/>
      <c r="E48" s="56"/>
      <c r="F48" s="22" t="n">
        <v>424</v>
      </c>
      <c r="G48" s="22" t="n">
        <v>0</v>
      </c>
      <c r="H48" s="22" t="n">
        <f aca="false">2400+6000</f>
        <v>8400</v>
      </c>
      <c r="I48" s="22" t="n">
        <v>0</v>
      </c>
      <c r="J48" s="22" t="n">
        <v>0</v>
      </c>
      <c r="K48" s="22" t="n">
        <v>0</v>
      </c>
      <c r="L48" s="22" t="n">
        <v>0</v>
      </c>
      <c r="M48" s="22" t="n">
        <v>0</v>
      </c>
      <c r="N48" s="22" t="n">
        <v>0</v>
      </c>
      <c r="O48" s="70" t="n">
        <v>0</v>
      </c>
      <c r="P48" s="22" t="n">
        <v>0</v>
      </c>
      <c r="Q48" s="22" t="n">
        <v>0</v>
      </c>
      <c r="R48" s="22" t="n">
        <f aca="false">SUM(F48:Q48)</f>
        <v>8824</v>
      </c>
      <c r="S48" s="22"/>
      <c r="T48" s="25" t="n">
        <f aca="false">SUM(F48:N48)</f>
        <v>8824</v>
      </c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12.75" hidden="false" customHeight="false" outlineLevel="0" collapsed="false">
      <c r="A49" s="55" t="s">
        <v>99</v>
      </c>
      <c r="B49" s="22"/>
      <c r="C49" s="22"/>
      <c r="D49" s="22"/>
      <c r="E49" s="22"/>
      <c r="F49" s="22" t="n">
        <v>0</v>
      </c>
      <c r="G49" s="22" t="n">
        <v>0</v>
      </c>
      <c r="H49" s="22" t="n">
        <v>0</v>
      </c>
      <c r="I49" s="22" t="n">
        <v>0</v>
      </c>
      <c r="J49" s="22" t="n">
        <v>0</v>
      </c>
      <c r="K49" s="22" t="n">
        <v>0</v>
      </c>
      <c r="L49" s="22" t="n">
        <v>0</v>
      </c>
      <c r="M49" s="22" t="n">
        <v>0</v>
      </c>
      <c r="N49" s="22" t="n">
        <v>-1489</v>
      </c>
      <c r="O49" s="70" t="n">
        <v>0</v>
      </c>
      <c r="P49" s="22" t="n">
        <v>0</v>
      </c>
      <c r="Q49" s="22" t="n">
        <v>0</v>
      </c>
      <c r="R49" s="22" t="n">
        <f aca="false">SUM(F49:Q49)</f>
        <v>-1489</v>
      </c>
      <c r="S49" s="22"/>
      <c r="T49" s="25" t="n">
        <f aca="false">SUM(F49:N49)</f>
        <v>-1489</v>
      </c>
    </row>
    <row r="50" customFormat="false" ht="12.75" hidden="false" customHeight="false" outlineLevel="0" collapsed="false">
      <c r="A50" s="55" t="s">
        <v>100</v>
      </c>
      <c r="B50" s="22"/>
      <c r="C50" s="22"/>
      <c r="D50" s="22"/>
      <c r="E50" s="22"/>
      <c r="F50" s="57" t="n">
        <v>2109.27917555556</v>
      </c>
      <c r="G50" s="57" t="n">
        <v>1962</v>
      </c>
      <c r="H50" s="57" t="n">
        <v>2134</v>
      </c>
      <c r="I50" s="57" t="n">
        <v>2085</v>
      </c>
      <c r="J50" s="57" t="n">
        <v>2301.23555555556</v>
      </c>
      <c r="K50" s="57" t="n">
        <v>2274.35555555556</v>
      </c>
      <c r="L50" s="57" t="n">
        <v>2249.15555555556</v>
      </c>
      <c r="M50" s="57" t="n">
        <v>2301.23555555556</v>
      </c>
      <c r="N50" s="57" t="n">
        <v>2274.35555555556</v>
      </c>
      <c r="O50" s="70" t="n">
        <v>0</v>
      </c>
      <c r="P50" s="22" t="n">
        <v>0</v>
      </c>
      <c r="Q50" s="22" t="n">
        <v>0</v>
      </c>
      <c r="R50" s="22" t="n">
        <f aca="false">SUM(F50:Q50)</f>
        <v>19690.6169533333</v>
      </c>
      <c r="S50" s="22"/>
      <c r="T50" s="25" t="n">
        <f aca="false">SUM(F50:N50)</f>
        <v>19690.6169533333</v>
      </c>
    </row>
    <row r="51" customFormat="false" ht="12.75" hidden="false" customHeight="false" outlineLevel="0" collapsed="false">
      <c r="A51" s="59" t="s">
        <v>101</v>
      </c>
      <c r="B51" s="60"/>
      <c r="C51" s="60"/>
      <c r="D51" s="60"/>
      <c r="E51" s="60" t="s">
        <v>102</v>
      </c>
      <c r="F51" s="61" t="n">
        <f aca="false">+F34</f>
        <v>2249</v>
      </c>
      <c r="G51" s="61" t="n">
        <f aca="false">+G34</f>
        <v>1515</v>
      </c>
      <c r="H51" s="61" t="n">
        <f aca="false">+H34</f>
        <v>-2736</v>
      </c>
      <c r="I51" s="61" t="n">
        <f aca="false">+I34</f>
        <v>-1906</v>
      </c>
      <c r="J51" s="61" t="n">
        <f aca="false">+J34</f>
        <v>-135</v>
      </c>
      <c r="K51" s="61" t="n">
        <f aca="false">+K34</f>
        <v>384</v>
      </c>
      <c r="L51" s="61" t="n">
        <f aca="false">+L34</f>
        <v>2916</v>
      </c>
      <c r="M51" s="61" t="n">
        <f aca="false">+M34</f>
        <v>2883</v>
      </c>
      <c r="N51" s="61" t="n">
        <f aca="false">+N34</f>
        <v>2770</v>
      </c>
      <c r="O51" s="113" t="n">
        <f aca="false">+O34</f>
        <v>2841</v>
      </c>
      <c r="P51" s="61" t="n">
        <f aca="false">+P34</f>
        <v>1510</v>
      </c>
      <c r="Q51" s="61" t="n">
        <f aca="false">+Q34</f>
        <v>1579</v>
      </c>
      <c r="R51" s="61" t="n">
        <f aca="false">SUM(F51:Q51)</f>
        <v>13870</v>
      </c>
      <c r="S51" s="60"/>
      <c r="T51" s="63" t="n">
        <f aca="false">SUM(F51:N51)</f>
        <v>7940</v>
      </c>
    </row>
    <row r="52" customFormat="false" ht="12.75" hidden="false" customHeight="false" outlineLevel="0" collapsed="false">
      <c r="A52" s="55"/>
      <c r="B52" s="22" t="s">
        <v>103</v>
      </c>
      <c r="C52" s="22"/>
      <c r="D52" s="22"/>
      <c r="E52" s="22"/>
      <c r="F52" s="22" t="n">
        <f aca="false">SUM(F47:F51)</f>
        <v>9061.27917555556</v>
      </c>
      <c r="G52" s="22" t="n">
        <f aca="false">SUM(G47:G51)</f>
        <v>3477</v>
      </c>
      <c r="H52" s="22" t="n">
        <f aca="false">SUM(H47:H51)</f>
        <v>7798</v>
      </c>
      <c r="I52" s="22" t="n">
        <f aca="false">SUM(I47:I51)</f>
        <v>179</v>
      </c>
      <c r="J52" s="22" t="n">
        <f aca="false">SUM(J47:J51)</f>
        <v>2166.23555555556</v>
      </c>
      <c r="K52" s="22" t="n">
        <f aca="false">SUM(K47:K51)</f>
        <v>2658.35555555556</v>
      </c>
      <c r="L52" s="22" t="n">
        <f aca="false">SUM(L47:L51)</f>
        <v>5165.15555555556</v>
      </c>
      <c r="M52" s="22" t="n">
        <f aca="false">SUM(M47:M51)</f>
        <v>5184.23555555556</v>
      </c>
      <c r="N52" s="22" t="n">
        <f aca="false">SUM(N47:N51)</f>
        <v>3555.35555555556</v>
      </c>
      <c r="O52" s="70" t="n">
        <f aca="false">SUM(O47:O51)</f>
        <v>2841</v>
      </c>
      <c r="P52" s="22" t="n">
        <f aca="false">SUM(P47:P51)</f>
        <v>1510</v>
      </c>
      <c r="Q52" s="22" t="n">
        <f aca="false">SUM(Q47:Q51)</f>
        <v>1579</v>
      </c>
      <c r="R52" s="22" t="n">
        <f aca="false">SUM(F52:Q52)</f>
        <v>45174.6169533333</v>
      </c>
      <c r="S52" s="22"/>
      <c r="T52" s="25" t="n">
        <f aca="false">SUM(T47:T51)</f>
        <v>39244.6169533333</v>
      </c>
    </row>
    <row r="53" customFormat="false" ht="12.75" hidden="false" customHeight="false" outlineLevel="0" collapsed="false">
      <c r="A53" s="5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70"/>
      <c r="P53" s="22"/>
      <c r="Q53" s="22"/>
      <c r="R53" s="22"/>
      <c r="S53" s="22"/>
      <c r="T53" s="25"/>
    </row>
    <row r="54" customFormat="false" ht="12.75" hidden="false" customHeight="false" outlineLevel="0" collapsed="false">
      <c r="A54" s="64" t="s">
        <v>104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70"/>
      <c r="P54" s="22"/>
      <c r="Q54" s="22"/>
      <c r="R54" s="22"/>
      <c r="S54" s="22"/>
      <c r="T54" s="25"/>
    </row>
    <row r="55" customFormat="false" ht="12.75" hidden="false" customHeight="false" outlineLevel="0" collapsed="false">
      <c r="A55" s="59" t="s">
        <v>105</v>
      </c>
      <c r="B55" s="60"/>
      <c r="C55" s="60"/>
      <c r="D55" s="60"/>
      <c r="E55" s="60" t="s">
        <v>106</v>
      </c>
      <c r="F55" s="60" t="n">
        <f aca="false">+F11</f>
        <v>8135</v>
      </c>
      <c r="G55" s="60" t="n">
        <f aca="false">+G11</f>
        <v>-5059</v>
      </c>
      <c r="H55" s="60" t="n">
        <f aca="false">+H11</f>
        <v>-12505</v>
      </c>
      <c r="I55" s="60" t="n">
        <f aca="false">+I11</f>
        <v>-2611</v>
      </c>
      <c r="J55" s="60" t="n">
        <f aca="false">+J11</f>
        <v>-7602</v>
      </c>
      <c r="K55" s="60" t="n">
        <f aca="false">+K11</f>
        <v>-9788</v>
      </c>
      <c r="L55" s="60" t="n">
        <f aca="false">+L11</f>
        <v>14440</v>
      </c>
      <c r="M55" s="60" t="n">
        <f aca="false">+M11</f>
        <v>18644</v>
      </c>
      <c r="N55" s="60" t="n">
        <f aca="false">+N11</f>
        <v>16230</v>
      </c>
      <c r="O55" s="114" t="n">
        <f aca="false">+O11</f>
        <v>-602</v>
      </c>
      <c r="P55" s="60" t="n">
        <f aca="false">+P11</f>
        <v>-1951</v>
      </c>
      <c r="Q55" s="60" t="n">
        <f aca="false">+Q11</f>
        <v>-2745</v>
      </c>
      <c r="R55" s="60" t="n">
        <f aca="false">SUM(F55:Q55)</f>
        <v>14586</v>
      </c>
      <c r="S55" s="60"/>
      <c r="T55" s="66" t="n">
        <f aca="false">SUM(F55:N55)</f>
        <v>19884</v>
      </c>
    </row>
    <row r="56" customFormat="false" ht="12.75" hidden="false" customHeight="false" outlineLevel="0" collapsed="false">
      <c r="A56" s="59" t="s">
        <v>107</v>
      </c>
      <c r="B56" s="60"/>
      <c r="C56" s="60"/>
      <c r="D56" s="60"/>
      <c r="E56" s="60" t="s">
        <v>102</v>
      </c>
      <c r="F56" s="60" t="n">
        <f aca="false">+F33</f>
        <v>-711</v>
      </c>
      <c r="G56" s="60" t="n">
        <f aca="false">+G33</f>
        <v>-2289</v>
      </c>
      <c r="H56" s="60" t="n">
        <f aca="false">+H33</f>
        <v>-289</v>
      </c>
      <c r="I56" s="60" t="n">
        <f aca="false">+I33</f>
        <v>1243</v>
      </c>
      <c r="J56" s="60" t="n">
        <f aca="false">+J33</f>
        <v>74</v>
      </c>
      <c r="K56" s="60" t="n">
        <f aca="false">+K33</f>
        <v>25</v>
      </c>
      <c r="L56" s="60" t="n">
        <f aca="false">+L33</f>
        <v>-81</v>
      </c>
      <c r="M56" s="60" t="n">
        <f aca="false">+M33</f>
        <v>51</v>
      </c>
      <c r="N56" s="60" t="n">
        <f aca="false">+N33</f>
        <v>53</v>
      </c>
      <c r="O56" s="114" t="n">
        <f aca="false">+O33</f>
        <v>59</v>
      </c>
      <c r="P56" s="60" t="n">
        <f aca="false">+P33</f>
        <v>-88</v>
      </c>
      <c r="Q56" s="60" t="n">
        <f aca="false">+Q33</f>
        <v>-42</v>
      </c>
      <c r="R56" s="60" t="n">
        <f aca="false">SUM(F56:Q56)</f>
        <v>-1995</v>
      </c>
      <c r="S56" s="60"/>
      <c r="T56" s="66" t="n">
        <f aca="false">SUM(F56:N56)</f>
        <v>-1924</v>
      </c>
    </row>
    <row r="57" customFormat="false" ht="12.75" hidden="false" customHeight="false" outlineLevel="0" collapsed="false">
      <c r="A57" s="55" t="s">
        <v>108</v>
      </c>
      <c r="B57" s="22"/>
      <c r="C57" s="22"/>
      <c r="D57" s="22"/>
      <c r="E57" s="22" t="s">
        <v>109</v>
      </c>
      <c r="F57" s="67" t="n">
        <v>2007.204</v>
      </c>
      <c r="G57" s="67" t="n">
        <v>2650</v>
      </c>
      <c r="H57" s="67" t="n">
        <v>8148</v>
      </c>
      <c r="I57" s="67" t="n">
        <v>7688</v>
      </c>
      <c r="J57" s="67" t="n">
        <v>7528</v>
      </c>
      <c r="K57" s="67" t="n">
        <v>9763</v>
      </c>
      <c r="L57" s="67" t="n">
        <v>-14359</v>
      </c>
      <c r="M57" s="67" t="n">
        <v>-18694</v>
      </c>
      <c r="N57" s="67" t="n">
        <v>-16283</v>
      </c>
      <c r="O57" s="115" t="n">
        <v>543</v>
      </c>
      <c r="P57" s="67" t="n">
        <v>2038</v>
      </c>
      <c r="Q57" s="67" t="n">
        <v>2787</v>
      </c>
      <c r="R57" s="37" t="n">
        <f aca="false">SUM(F57:Q57)</f>
        <v>-6183.796</v>
      </c>
      <c r="S57" s="22"/>
      <c r="T57" s="69" t="n">
        <f aca="false">SUM(F57:N57)</f>
        <v>-11551.796</v>
      </c>
    </row>
    <row r="58" customFormat="false" ht="12.75" hidden="false" customHeight="false" outlineLevel="0" collapsed="false">
      <c r="A58" s="55"/>
      <c r="B58" s="22" t="s">
        <v>163</v>
      </c>
      <c r="C58" s="22"/>
      <c r="D58" s="22"/>
      <c r="E58" s="22"/>
      <c r="F58" s="22" t="n">
        <f aca="false">SUM(F55:F57)</f>
        <v>9431.204</v>
      </c>
      <c r="G58" s="22" t="n">
        <f aca="false">SUM(G55:G57)</f>
        <v>-4698</v>
      </c>
      <c r="H58" s="22" t="n">
        <f aca="false">SUM(H55:H57)</f>
        <v>-4646</v>
      </c>
      <c r="I58" s="22" t="n">
        <f aca="false">SUM(I55:I57)</f>
        <v>6320</v>
      </c>
      <c r="J58" s="22" t="n">
        <f aca="false">SUM(J55:J57)</f>
        <v>0</v>
      </c>
      <c r="K58" s="22" t="n">
        <f aca="false">SUM(K55:K57)</f>
        <v>0</v>
      </c>
      <c r="L58" s="22" t="n">
        <f aca="false">SUM(L55:L57)</f>
        <v>0</v>
      </c>
      <c r="M58" s="22" t="n">
        <f aca="false">SUM(M55:M57)</f>
        <v>1</v>
      </c>
      <c r="N58" s="22" t="n">
        <f aca="false">SUM(N55:N57)</f>
        <v>0</v>
      </c>
      <c r="O58" s="70" t="n">
        <f aca="false">SUM(O55:O57)</f>
        <v>0</v>
      </c>
      <c r="P58" s="22" t="n">
        <f aca="false">SUM(P55:P57)</f>
        <v>-1</v>
      </c>
      <c r="Q58" s="22" t="n">
        <f aca="false">SUM(Q55:Q57)</f>
        <v>0</v>
      </c>
      <c r="R58" s="22" t="n">
        <f aca="false">SUM(R55:R57)</f>
        <v>6407.204</v>
      </c>
      <c r="S58" s="22"/>
      <c r="T58" s="25" t="n">
        <f aca="false">SUM(T55:T57)</f>
        <v>6408.204</v>
      </c>
    </row>
    <row r="59" customFormat="false" ht="13.5" hidden="false" customHeight="false" outlineLevel="0" collapsed="false">
      <c r="A59" s="55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70"/>
      <c r="P59" s="22"/>
      <c r="Q59" s="22"/>
      <c r="R59" s="22"/>
      <c r="S59" s="22"/>
      <c r="T59" s="25"/>
    </row>
    <row r="60" customFormat="false" ht="13.5" hidden="false" customHeight="false" outlineLevel="0" collapsed="false">
      <c r="A60" s="71" t="s">
        <v>111</v>
      </c>
      <c r="B60" s="22"/>
      <c r="C60" s="22"/>
      <c r="D60" s="22"/>
      <c r="E60" s="22"/>
      <c r="F60" s="22" t="n">
        <f aca="false">+F44-F52-F58</f>
        <v>68494.5168244445</v>
      </c>
      <c r="G60" s="22" t="n">
        <f aca="false">+G44-G52-G58</f>
        <v>7293</v>
      </c>
      <c r="H60" s="22" t="n">
        <f aca="false">+H44-H52-H58</f>
        <v>272</v>
      </c>
      <c r="I60" s="22" t="n">
        <f aca="false">+I44-I52-I58</f>
        <v>-8303</v>
      </c>
      <c r="J60" s="22" t="n">
        <f aca="false">+J44-J52-J58</f>
        <v>44679.6137510851</v>
      </c>
      <c r="K60" s="22" t="n">
        <f aca="false">+K44-K52-K58</f>
        <v>3725.76911827264</v>
      </c>
      <c r="L60" s="22" t="n">
        <f aca="false">+L44-L52-L58</f>
        <v>45191.5077530382</v>
      </c>
      <c r="M60" s="22" t="n">
        <f aca="false">+M44-M52-M58</f>
        <v>40510.9513780382</v>
      </c>
      <c r="N60" s="22" t="n">
        <f aca="false">+N44-N52-N58</f>
        <v>41703.5212901476</v>
      </c>
      <c r="O60" s="70" t="n">
        <f aca="false">+O44-O52-O58</f>
        <v>27876.1599960937</v>
      </c>
      <c r="P60" s="22" t="n">
        <f aca="false">+P44-P52-P58</f>
        <v>53762.9262207032</v>
      </c>
      <c r="Q60" s="22" t="n">
        <f aca="false">+Q44-Q52-Q58</f>
        <v>78392.0281835937</v>
      </c>
      <c r="R60" s="22" t="n">
        <f aca="false">+R44-R52-R58</f>
        <v>403598.994515417</v>
      </c>
      <c r="S60" s="22"/>
      <c r="T60" s="41" t="n">
        <f aca="false">+T44-T52-T58</f>
        <v>243567.880115026</v>
      </c>
    </row>
    <row r="61" customFormat="false" ht="13.5" hidden="false" customHeight="false" outlineLevel="0" collapsed="false">
      <c r="A61" s="72" t="s">
        <v>164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4"/>
      <c r="P61" s="73"/>
      <c r="Q61" s="73"/>
      <c r="R61" s="73"/>
      <c r="S61" s="73"/>
      <c r="T61" s="75" t="n">
        <f aca="false">-'May 8 deferral'!K34</f>
        <v>-20667.7210256142</v>
      </c>
    </row>
    <row r="62" customFormat="false" ht="13.5" hidden="false" customHeight="false" outlineLevel="0" collapsed="false">
      <c r="N62" s="22"/>
      <c r="O62" s="70"/>
      <c r="T62" s="76"/>
    </row>
    <row r="63" customFormat="false" ht="13.5" hidden="false" customHeight="false" outlineLevel="0" collapsed="false">
      <c r="A63" s="17" t="s">
        <v>113</v>
      </c>
      <c r="F63" s="37" t="n">
        <v>107837.019692698</v>
      </c>
      <c r="G63" s="37" t="n">
        <v>71459.8325902834</v>
      </c>
      <c r="H63" s="37" t="n">
        <v>50391.6535373594</v>
      </c>
      <c r="I63" s="37" t="n">
        <v>43889.2442994002</v>
      </c>
      <c r="J63" s="37" t="n">
        <v>26960.7229501149</v>
      </c>
      <c r="K63" s="37" t="n">
        <v>-1570.31839308359</v>
      </c>
      <c r="L63" s="37" t="n">
        <v>69882.0274798572</v>
      </c>
      <c r="M63" s="37" t="n">
        <v>46260.9493820718</v>
      </c>
      <c r="N63" s="38" t="n">
        <v>53488.0343791031</v>
      </c>
      <c r="O63" s="37" t="n">
        <v>36290.8726400388</v>
      </c>
      <c r="P63" s="37" t="n">
        <v>64090.7966234889</v>
      </c>
      <c r="Q63" s="37" t="n">
        <v>92988.4239938911</v>
      </c>
      <c r="R63" s="77" t="n">
        <f aca="false">SUM(F63:Q63)</f>
        <v>661969.259175223</v>
      </c>
      <c r="T63" s="76"/>
    </row>
    <row r="64" customFormat="false" ht="13.5" hidden="false" customHeight="false" outlineLevel="0" collapsed="false">
      <c r="A64" s="17" t="s">
        <v>114</v>
      </c>
      <c r="F64" s="16" t="n">
        <f aca="false">+F44-F63</f>
        <v>-20850.0196926979</v>
      </c>
      <c r="G64" s="16" t="n">
        <f aca="false">+G44-G63</f>
        <v>-65387.8325902834</v>
      </c>
      <c r="H64" s="16" t="n">
        <f aca="false">+H44-H63</f>
        <v>-46967.6535373594</v>
      </c>
      <c r="I64" s="16" t="n">
        <f aca="false">+I44-I63</f>
        <v>-45693.2442994002</v>
      </c>
      <c r="J64" s="16" t="n">
        <f aca="false">+J44-J63</f>
        <v>19885.1263565258</v>
      </c>
      <c r="K64" s="16" t="n">
        <f aca="false">+K44-K63</f>
        <v>7954.44306691179</v>
      </c>
      <c r="L64" s="16" t="n">
        <f aca="false">+L44-L63</f>
        <v>-19525.3641712634</v>
      </c>
      <c r="M64" s="16" t="n">
        <f aca="false">+M44-M63</f>
        <v>-564.762448478126</v>
      </c>
      <c r="N64" s="33" t="n">
        <f aca="false">+N44-N63</f>
        <v>-8229.15753339998</v>
      </c>
      <c r="O64" s="22" t="n">
        <f aca="false">+O44-O63</f>
        <v>-5573.71264394504</v>
      </c>
      <c r="P64" s="16" t="n">
        <f aca="false">+P44-P63</f>
        <v>-8818.87040278574</v>
      </c>
      <c r="Q64" s="16" t="n">
        <f aca="false">+Q44-Q63</f>
        <v>-13017.3958102974</v>
      </c>
      <c r="R64" s="77" t="n">
        <f aca="false">+R44-R63</f>
        <v>-206788.443706473</v>
      </c>
    </row>
    <row r="65" customFormat="false" ht="12.75" hidden="false" customHeight="false" outlineLevel="0" collapsed="false">
      <c r="T65" s="17"/>
    </row>
  </sheetData>
  <printOptions headings="false" gridLines="false" gridLinesSet="true" horizontalCentered="false" verticalCentered="false"/>
  <pageMargins left="0.5" right="0.5" top="0.75" bottom="0.770138888888889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F21" colorId="64" zoomScale="100" zoomScaleNormal="100" zoomScalePageLayoutView="100" workbookViewId="0">
      <selection pane="topLeft" activeCell="C32" activeCellId="0" sqref="C32:K3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5.85"/>
    <col collapsed="false" customWidth="true" hidden="false" outlineLevel="0" max="2" min="2" style="82" width="33.85"/>
    <col collapsed="false" customWidth="true" hidden="false" outlineLevel="0" max="3" min="3" style="83" width="11.56"/>
    <col collapsed="false" customWidth="true" hidden="false" outlineLevel="0" max="4" min="4" style="83" width="10.71"/>
    <col collapsed="false" customWidth="true" hidden="false" outlineLevel="0" max="5" min="5" style="83" width="10.41"/>
    <col collapsed="false" customWidth="true" hidden="false" outlineLevel="0" max="7" min="6" style="83" width="10.71"/>
    <col collapsed="false" customWidth="true" hidden="false" outlineLevel="0" max="8" min="8" style="83" width="10.56"/>
    <col collapsed="false" customWidth="true" hidden="false" outlineLevel="0" max="11" min="9" style="83" width="10.71"/>
    <col collapsed="false" customWidth="true" hidden="false" outlineLevel="0" max="14" min="12" style="83" width="10.41"/>
    <col collapsed="false" customWidth="true" hidden="false" outlineLevel="0" max="15" min="15" style="83" width="11.42"/>
    <col collapsed="false" customWidth="true" hidden="false" outlineLevel="0" max="16" min="16" style="82" width="1.7"/>
    <col collapsed="false" customWidth="false" hidden="false" outlineLevel="0" max="257" min="17" style="82" width="9.14"/>
  </cols>
  <sheetData>
    <row r="1" customFormat="false" ht="15" hidden="false" customHeight="false" outlineLevel="0" collapsed="false">
      <c r="A1" s="84" t="n">
        <v>1</v>
      </c>
      <c r="B1" s="85" t="s">
        <v>118</v>
      </c>
    </row>
    <row r="2" customFormat="false" ht="15" hidden="false" customHeight="false" outlineLevel="0" collapsed="false">
      <c r="A2" s="81" t="n">
        <f aca="false">A1+1</f>
        <v>2</v>
      </c>
      <c r="B2" s="86" t="s">
        <v>119</v>
      </c>
      <c r="G2" s="83" t="s">
        <v>120</v>
      </c>
    </row>
    <row r="3" customFormat="false" ht="15" hidden="false" customHeight="false" outlineLevel="0" collapsed="false">
      <c r="A3" s="81" t="n">
        <f aca="false">A2+1</f>
        <v>3</v>
      </c>
      <c r="B3" s="82" t="s">
        <v>121</v>
      </c>
      <c r="C3" s="83" t="n">
        <v>319417</v>
      </c>
      <c r="G3" s="83" t="s">
        <v>122</v>
      </c>
      <c r="I3" s="87" t="n">
        <v>0.5</v>
      </c>
    </row>
    <row r="4" customFormat="false" ht="15" hidden="false" customHeight="false" outlineLevel="0" collapsed="false">
      <c r="A4" s="81" t="n">
        <f aca="false">A3+1</f>
        <v>4</v>
      </c>
      <c r="B4" s="82" t="s">
        <v>123</v>
      </c>
      <c r="C4" s="83" t="n">
        <v>2450</v>
      </c>
      <c r="G4" s="83" t="s">
        <v>124</v>
      </c>
      <c r="I4" s="87" t="n">
        <f aca="false">1-I3</f>
        <v>0.5</v>
      </c>
    </row>
    <row r="5" customFormat="false" ht="15" hidden="false" customHeight="false" outlineLevel="0" collapsed="false">
      <c r="A5" s="81" t="n">
        <f aca="false">A4+1</f>
        <v>5</v>
      </c>
      <c r="B5" s="82" t="s">
        <v>125</v>
      </c>
      <c r="C5" s="83" t="n">
        <f aca="false">20762220/8760</f>
        <v>2370.11643835616</v>
      </c>
      <c r="D5" s="88"/>
      <c r="N5" s="89"/>
      <c r="O5" s="90"/>
    </row>
    <row r="6" customFormat="false" ht="15" hidden="false" customHeight="false" outlineLevel="0" collapsed="false">
      <c r="A6" s="81" t="n">
        <f aca="false">A5+1</f>
        <v>6</v>
      </c>
      <c r="B6" s="82" t="s">
        <v>126</v>
      </c>
      <c r="C6" s="83" t="n">
        <f aca="false">C3*(C4/C5)</f>
        <v>330182.786522828</v>
      </c>
      <c r="G6" s="83" t="s">
        <v>127</v>
      </c>
      <c r="N6" s="89"/>
    </row>
    <row r="7" customFormat="false" ht="15" hidden="false" customHeight="false" outlineLevel="0" collapsed="false">
      <c r="A7" s="81" t="n">
        <f aca="false">A6+1</f>
        <v>7</v>
      </c>
      <c r="B7" s="82" t="s">
        <v>128</v>
      </c>
      <c r="C7" s="83" t="n">
        <f aca="false">O13</f>
        <v>339528.423</v>
      </c>
      <c r="G7" s="83" t="s">
        <v>122</v>
      </c>
      <c r="I7" s="87" t="n">
        <v>0.1</v>
      </c>
      <c r="N7" s="89"/>
    </row>
    <row r="8" customFormat="false" ht="15" hidden="false" customHeight="false" outlineLevel="0" collapsed="false">
      <c r="A8" s="81" t="n">
        <f aca="false">A7+1</f>
        <v>8</v>
      </c>
      <c r="B8" s="82" t="s">
        <v>129</v>
      </c>
      <c r="C8" s="83" t="n">
        <f aca="false">(C6-C7)/12</f>
        <v>-778.803039764297</v>
      </c>
      <c r="G8" s="83" t="s">
        <v>124</v>
      </c>
      <c r="I8" s="87" t="n">
        <f aca="false">1-I7</f>
        <v>0.9</v>
      </c>
      <c r="O8" s="87"/>
    </row>
    <row r="9" customFormat="false" ht="15" hidden="false" customHeight="false" outlineLevel="0" collapsed="false">
      <c r="A9" s="81" t="n">
        <f aca="false">A8+1</f>
        <v>9</v>
      </c>
      <c r="B9" s="82" t="s">
        <v>130</v>
      </c>
      <c r="C9" s="83" t="n">
        <f aca="false">(47000*2)/12*1</f>
        <v>7833.33333333333</v>
      </c>
      <c r="D9" s="83" t="s">
        <v>131</v>
      </c>
    </row>
    <row r="10" customFormat="false" ht="15" hidden="false" customHeight="false" outlineLevel="0" collapsed="false">
      <c r="A10" s="81" t="n">
        <f aca="false">A9+1</f>
        <v>10</v>
      </c>
      <c r="B10" s="82" t="s">
        <v>132</v>
      </c>
      <c r="C10" s="91" t="n">
        <f aca="false">+C9*0.6</f>
        <v>4700</v>
      </c>
      <c r="D10" s="83" t="s">
        <v>133</v>
      </c>
    </row>
    <row r="11" customFormat="false" ht="15" hidden="false" customHeight="false" outlineLevel="0" collapsed="false">
      <c r="A11" s="81" t="n">
        <f aca="false">A10+1</f>
        <v>11</v>
      </c>
    </row>
    <row r="12" customFormat="false" ht="15" hidden="false" customHeight="false" outlineLevel="0" collapsed="false">
      <c r="A12" s="81" t="n">
        <f aca="false">A11+1</f>
        <v>12</v>
      </c>
      <c r="C12" s="92" t="s">
        <v>54</v>
      </c>
      <c r="D12" s="92" t="s">
        <v>55</v>
      </c>
      <c r="E12" s="92" t="s">
        <v>134</v>
      </c>
      <c r="F12" s="92" t="s">
        <v>57</v>
      </c>
      <c r="G12" s="92" t="s">
        <v>135</v>
      </c>
      <c r="H12" s="92" t="s">
        <v>59</v>
      </c>
      <c r="I12" s="92" t="s">
        <v>60</v>
      </c>
      <c r="J12" s="92" t="s">
        <v>61</v>
      </c>
      <c r="K12" s="92" t="s">
        <v>62</v>
      </c>
      <c r="L12" s="92" t="s">
        <v>63</v>
      </c>
      <c r="M12" s="92" t="s">
        <v>64</v>
      </c>
      <c r="N12" s="92" t="s">
        <v>65</v>
      </c>
      <c r="O12" s="92" t="s">
        <v>136</v>
      </c>
    </row>
    <row r="13" customFormat="false" ht="15" hidden="false" customHeight="false" outlineLevel="0" collapsed="false">
      <c r="A13" s="81" t="n">
        <f aca="false">A12+1</f>
        <v>13</v>
      </c>
      <c r="B13" s="82" t="s">
        <v>137</v>
      </c>
      <c r="C13" s="91" t="n">
        <v>57620.79</v>
      </c>
      <c r="D13" s="91" t="n">
        <v>10670.28</v>
      </c>
      <c r="E13" s="91" t="n">
        <v>-8108.806</v>
      </c>
      <c r="F13" s="91" t="n">
        <v>33703.02</v>
      </c>
      <c r="G13" s="91" t="n">
        <v>22859.08</v>
      </c>
      <c r="H13" s="91" t="n">
        <v>-9726.131</v>
      </c>
      <c r="I13" s="91" t="n">
        <v>29567.79</v>
      </c>
      <c r="J13" s="91" t="n">
        <v>10970.53</v>
      </c>
      <c r="K13" s="91" t="n">
        <v>35406.42</v>
      </c>
      <c r="L13" s="91" t="n">
        <v>24257.87</v>
      </c>
      <c r="M13" s="91" t="n">
        <v>56019.41</v>
      </c>
      <c r="N13" s="91" t="n">
        <v>76288.17</v>
      </c>
      <c r="O13" s="83" t="n">
        <f aca="false">SUM(C13:N13)</f>
        <v>339528.423</v>
      </c>
    </row>
    <row r="14" customFormat="false" ht="15" hidden="false" customHeight="false" outlineLevel="0" collapsed="false">
      <c r="A14" s="81" t="n">
        <f aca="false">A13+1</f>
        <v>14</v>
      </c>
      <c r="B14" s="86" t="s">
        <v>138</v>
      </c>
      <c r="C14" s="92" t="n">
        <f aca="false">C13+$C$8</f>
        <v>56841.9869602357</v>
      </c>
      <c r="D14" s="92" t="n">
        <f aca="false">D13+$C$8</f>
        <v>9891.47696023571</v>
      </c>
      <c r="E14" s="92" t="n">
        <f aca="false">E13+$C$8</f>
        <v>-8887.6090397643</v>
      </c>
      <c r="F14" s="92" t="n">
        <f aca="false">F13+$C$8</f>
        <v>32924.2169602357</v>
      </c>
      <c r="G14" s="92" t="n">
        <f aca="false">G13+$C$8</f>
        <v>22080.2769602357</v>
      </c>
      <c r="H14" s="92" t="n">
        <f aca="false">H13+$C$8</f>
        <v>-10504.9340397643</v>
      </c>
      <c r="I14" s="92" t="n">
        <f aca="false">I13+$C$8</f>
        <v>28788.9869602357</v>
      </c>
      <c r="J14" s="92" t="n">
        <f aca="false">J13+$C$8</f>
        <v>10191.7269602357</v>
      </c>
      <c r="K14" s="92" t="n">
        <f aca="false">K13+$C$8</f>
        <v>34627.6169602357</v>
      </c>
      <c r="L14" s="92" t="n">
        <f aca="false">L13+$C$8</f>
        <v>23479.0669602357</v>
      </c>
      <c r="M14" s="92" t="n">
        <f aca="false">M13+$C$8</f>
        <v>55240.6069602357</v>
      </c>
      <c r="N14" s="92" t="n">
        <f aca="false">N13+$C$8</f>
        <v>75509.3669602357</v>
      </c>
      <c r="O14" s="92" t="n">
        <f aca="false">SUM(C14:N14)</f>
        <v>330182.786522828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customFormat="false" ht="15" hidden="false" customHeight="false" outlineLevel="0" collapsed="false">
      <c r="A15" s="81" t="n">
        <f aca="false">A14+1</f>
        <v>15</v>
      </c>
    </row>
    <row r="16" customFormat="false" ht="15" hidden="false" customHeight="false" outlineLevel="0" collapsed="false">
      <c r="A16" s="81" t="n">
        <f aca="false">+A15+1</f>
        <v>16</v>
      </c>
    </row>
    <row r="17" customFormat="false" ht="15" hidden="false" customHeight="false" outlineLevel="0" collapsed="false">
      <c r="A17" s="81" t="n">
        <f aca="false">+A16+1</f>
        <v>17</v>
      </c>
      <c r="B17" s="82" t="s">
        <v>139</v>
      </c>
      <c r="C17" s="83" t="n">
        <f aca="false">C18+($C$10/2)</f>
        <v>63108.6536269024</v>
      </c>
      <c r="D17" s="83" t="n">
        <f aca="false">D18+($C$10/2)</f>
        <v>16158.1436269024</v>
      </c>
      <c r="E17" s="83" t="n">
        <f aca="false">E18+($C$10/2)</f>
        <v>-2620.94237309763</v>
      </c>
      <c r="F17" s="83" t="n">
        <f aca="false">F18+($C$10/2)</f>
        <v>39190.8836269024</v>
      </c>
      <c r="G17" s="83" t="n">
        <f aca="false">G18+($C$10/2)</f>
        <v>28346.9436269024</v>
      </c>
      <c r="H17" s="83" t="n">
        <f aca="false">H18+($C$10/2)</f>
        <v>-4238.26737309763</v>
      </c>
      <c r="I17" s="83" t="n">
        <f aca="false">I18+($C$10/2)</f>
        <v>35055.6536269024</v>
      </c>
      <c r="J17" s="83" t="n">
        <f aca="false">J18+($C$10/2)</f>
        <v>16458.3936269024</v>
      </c>
      <c r="K17" s="83" t="n">
        <f aca="false">K18+($C$10/2)</f>
        <v>40894.2836269024</v>
      </c>
      <c r="O17" s="83" t="n">
        <f aca="false">SUM(C17:K17)</f>
        <v>232353.745642121</v>
      </c>
    </row>
    <row r="18" customFormat="false" ht="15" hidden="false" customHeight="false" outlineLevel="0" collapsed="false">
      <c r="A18" s="81" t="n">
        <f aca="false">A17+1</f>
        <v>18</v>
      </c>
      <c r="B18" s="82" t="s">
        <v>140</v>
      </c>
      <c r="C18" s="83" t="n">
        <f aca="false">C19+($C$9/2)</f>
        <v>60758.6536269024</v>
      </c>
      <c r="D18" s="83" t="n">
        <f aca="false">D19+($C$9/2)</f>
        <v>13808.1436269024</v>
      </c>
      <c r="E18" s="83" t="n">
        <f aca="false">E19+($C$9/2)</f>
        <v>-4970.94237309763</v>
      </c>
      <c r="F18" s="83" t="n">
        <f aca="false">F19+($C$9/2)</f>
        <v>36840.8836269024</v>
      </c>
      <c r="G18" s="83" t="n">
        <f aca="false">G19+($C$9/2)</f>
        <v>25996.9436269024</v>
      </c>
      <c r="H18" s="83" t="n">
        <f aca="false">H19+($C$9/2)</f>
        <v>-6588.26737309763</v>
      </c>
      <c r="I18" s="83" t="n">
        <f aca="false">I19+($C$9/2)</f>
        <v>32705.6536269024</v>
      </c>
      <c r="J18" s="83" t="n">
        <f aca="false">J19+($C$9/2)</f>
        <v>14108.3936269024</v>
      </c>
      <c r="K18" s="83" t="n">
        <f aca="false">K19+($C$9/2)</f>
        <v>38544.2836269024</v>
      </c>
      <c r="O18" s="83" t="n">
        <f aca="false">O19+($C$9*(9/2))</f>
        <v>211203.745642121</v>
      </c>
      <c r="Q18" s="83"/>
    </row>
    <row r="19" customFormat="false" ht="15" hidden="false" customHeight="false" outlineLevel="0" collapsed="false">
      <c r="A19" s="81" t="n">
        <f aca="false">A18+1</f>
        <v>19</v>
      </c>
      <c r="B19" s="86" t="s">
        <v>138</v>
      </c>
      <c r="C19" s="92" t="n">
        <f aca="false">C14</f>
        <v>56841.9869602357</v>
      </c>
      <c r="D19" s="92" t="n">
        <f aca="false">D14</f>
        <v>9891.47696023571</v>
      </c>
      <c r="E19" s="92" t="n">
        <f aca="false">E14</f>
        <v>-8887.6090397643</v>
      </c>
      <c r="F19" s="92" t="n">
        <f aca="false">F14</f>
        <v>32924.2169602357</v>
      </c>
      <c r="G19" s="92" t="n">
        <f aca="false">G14</f>
        <v>22080.2769602357</v>
      </c>
      <c r="H19" s="92" t="n">
        <f aca="false">H14</f>
        <v>-10504.9340397643</v>
      </c>
      <c r="I19" s="92" t="n">
        <f aca="false">I14</f>
        <v>28788.9869602357</v>
      </c>
      <c r="J19" s="92" t="n">
        <f aca="false">J14</f>
        <v>10191.7269602357</v>
      </c>
      <c r="K19" s="92" t="n">
        <f aca="false">K14</f>
        <v>34627.6169602357</v>
      </c>
      <c r="L19" s="92"/>
      <c r="M19" s="92"/>
      <c r="N19" s="92"/>
      <c r="O19" s="92" t="n">
        <f aca="false">SUM(C19:N19)</f>
        <v>175953.745642121</v>
      </c>
      <c r="P19" s="86"/>
      <c r="Q19" s="92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customFormat="false" ht="15" hidden="false" customHeight="false" outlineLevel="0" collapsed="false">
      <c r="A20" s="81" t="n">
        <f aca="false">A19+1</f>
        <v>20</v>
      </c>
      <c r="B20" s="82" t="s">
        <v>141</v>
      </c>
      <c r="C20" s="83" t="n">
        <f aca="false">C19-($C$9/2)</f>
        <v>52925.320293569</v>
      </c>
      <c r="D20" s="83" t="n">
        <f aca="false">D19-($C$9/2)</f>
        <v>5974.81029356904</v>
      </c>
      <c r="E20" s="83" t="n">
        <f aca="false">E19-($C$9/2)</f>
        <v>-12804.275706431</v>
      </c>
      <c r="F20" s="83" t="n">
        <f aca="false">F19-($C$9/2)</f>
        <v>29007.550293569</v>
      </c>
      <c r="G20" s="83" t="n">
        <f aca="false">G19-($C$9/2)</f>
        <v>18163.610293569</v>
      </c>
      <c r="H20" s="83" t="n">
        <f aca="false">H19-($C$9/2)</f>
        <v>-14421.600706431</v>
      </c>
      <c r="I20" s="83" t="n">
        <f aca="false">I19-($C$9/2)</f>
        <v>24872.320293569</v>
      </c>
      <c r="J20" s="83" t="n">
        <f aca="false">J19-($C$9/2)</f>
        <v>6275.06029356904</v>
      </c>
      <c r="K20" s="83" t="n">
        <f aca="false">K19-($C$9/2)</f>
        <v>30710.950293569</v>
      </c>
      <c r="O20" s="83" t="n">
        <f aca="false">O19-($C$9*(9/2))</f>
        <v>140703.745642121</v>
      </c>
    </row>
    <row r="21" customFormat="false" ht="15" hidden="false" customHeight="false" outlineLevel="0" collapsed="false">
      <c r="A21" s="81" t="n">
        <f aca="false">A20+1</f>
        <v>21</v>
      </c>
      <c r="B21" s="82" t="s">
        <v>152</v>
      </c>
      <c r="C21" s="83" t="n">
        <f aca="false">C20-($C$10/2)</f>
        <v>50575.320293569</v>
      </c>
      <c r="D21" s="83" t="n">
        <f aca="false">D20-($C$10/2)</f>
        <v>3624.81029356904</v>
      </c>
      <c r="E21" s="83" t="n">
        <f aca="false">E20-($C$10/2)</f>
        <v>-15154.275706431</v>
      </c>
      <c r="F21" s="83" t="n">
        <f aca="false">F20-($C$10/2)</f>
        <v>26657.550293569</v>
      </c>
      <c r="G21" s="83" t="n">
        <f aca="false">G20-($C$10/2)</f>
        <v>15813.610293569</v>
      </c>
      <c r="H21" s="83" t="n">
        <f aca="false">H20-($C$10/2)</f>
        <v>-16771.600706431</v>
      </c>
      <c r="I21" s="83" t="n">
        <f aca="false">I20-($C$10/2)</f>
        <v>22522.320293569</v>
      </c>
      <c r="J21" s="83" t="n">
        <f aca="false">J20-($C$10/2)</f>
        <v>3925.06029356904</v>
      </c>
      <c r="K21" s="83" t="n">
        <f aca="false">K20-($C$10/2)</f>
        <v>28360.950293569</v>
      </c>
      <c r="O21" s="94" t="n">
        <f aca="false">SUM(C21:N21)</f>
        <v>119553.745642121</v>
      </c>
    </row>
    <row r="22" customFormat="false" ht="15" hidden="false" customHeight="false" outlineLevel="0" collapsed="false">
      <c r="O22" s="94"/>
    </row>
    <row r="23" customFormat="false" ht="15" hidden="false" customHeight="false" outlineLevel="0" collapsed="false">
      <c r="B23" s="95" t="s">
        <v>143</v>
      </c>
      <c r="O23" s="94"/>
    </row>
    <row r="24" customFormat="false" ht="15" hidden="false" customHeight="false" outlineLevel="0" collapsed="false">
      <c r="A24" s="81" t="n">
        <f aca="false">+A21+1</f>
        <v>22</v>
      </c>
      <c r="B24" s="82" t="s">
        <v>139</v>
      </c>
      <c r="C24" s="83" t="n">
        <f aca="false">+C17</f>
        <v>63108.6536269024</v>
      </c>
      <c r="D24" s="83" t="n">
        <f aca="false">+C24+D17</f>
        <v>79266.7972538048</v>
      </c>
      <c r="E24" s="83" t="n">
        <f aca="false">+D24+E17</f>
        <v>76645.8548807071</v>
      </c>
      <c r="F24" s="83" t="n">
        <f aca="false">+E24+F17</f>
        <v>115836.73850761</v>
      </c>
      <c r="G24" s="83" t="n">
        <f aca="false">+F24+G17</f>
        <v>144183.682134512</v>
      </c>
      <c r="H24" s="83" t="n">
        <f aca="false">+G24+H17</f>
        <v>139945.414761414</v>
      </c>
      <c r="I24" s="83" t="n">
        <f aca="false">+H24+I17</f>
        <v>175001.068388317</v>
      </c>
      <c r="J24" s="83" t="n">
        <f aca="false">+I24+J17</f>
        <v>191459.462015219</v>
      </c>
      <c r="K24" s="83" t="n">
        <f aca="false">+J24+K17</f>
        <v>232353.745642121</v>
      </c>
      <c r="O24" s="94"/>
    </row>
    <row r="25" customFormat="false" ht="15" hidden="false" customHeight="false" outlineLevel="0" collapsed="false">
      <c r="A25" s="81" t="n">
        <f aca="false">+A24+1</f>
        <v>23</v>
      </c>
      <c r="B25" s="82" t="s">
        <v>140</v>
      </c>
      <c r="C25" s="83" t="n">
        <f aca="false">+C18</f>
        <v>60758.6536269024</v>
      </c>
      <c r="D25" s="83" t="n">
        <f aca="false">+C25+D18</f>
        <v>74566.7972538048</v>
      </c>
      <c r="E25" s="83" t="n">
        <f aca="false">+D25+E18</f>
        <v>69595.8548807071</v>
      </c>
      <c r="F25" s="83" t="n">
        <f aca="false">+E25+F18</f>
        <v>106436.73850761</v>
      </c>
      <c r="G25" s="83" t="n">
        <f aca="false">+F25+G18</f>
        <v>132433.682134512</v>
      </c>
      <c r="H25" s="83" t="n">
        <f aca="false">+G25+H18</f>
        <v>125845.414761414</v>
      </c>
      <c r="I25" s="83" t="n">
        <f aca="false">+H25+I18</f>
        <v>158551.068388317</v>
      </c>
      <c r="J25" s="83" t="n">
        <f aca="false">+I25+J18</f>
        <v>172659.462015219</v>
      </c>
      <c r="K25" s="83" t="n">
        <f aca="false">+J25+K18</f>
        <v>211203.745642121</v>
      </c>
      <c r="O25" s="94"/>
      <c r="Q25" s="83"/>
    </row>
    <row r="26" customFormat="false" ht="15" hidden="false" customHeight="false" outlineLevel="0" collapsed="false">
      <c r="A26" s="81" t="n">
        <f aca="false">+A25+1</f>
        <v>24</v>
      </c>
      <c r="B26" s="86" t="s">
        <v>138</v>
      </c>
      <c r="C26" s="92" t="n">
        <f aca="false">+C19</f>
        <v>56841.9869602357</v>
      </c>
      <c r="D26" s="92" t="n">
        <f aca="false">+C26+D19</f>
        <v>66733.4639204714</v>
      </c>
      <c r="E26" s="92" t="n">
        <f aca="false">+D26+E19</f>
        <v>57845.8548807071</v>
      </c>
      <c r="F26" s="92" t="n">
        <f aca="false">+E26+F19</f>
        <v>90770.0718409428</v>
      </c>
      <c r="G26" s="92" t="n">
        <f aca="false">+F26+G19</f>
        <v>112850.348801179</v>
      </c>
      <c r="H26" s="92" t="n">
        <f aca="false">+G26+H19</f>
        <v>102345.414761414</v>
      </c>
      <c r="I26" s="92" t="n">
        <f aca="false">+H26+I19</f>
        <v>131134.40172165</v>
      </c>
      <c r="J26" s="92" t="n">
        <f aca="false">+I26+J19</f>
        <v>141326.128681886</v>
      </c>
      <c r="K26" s="92" t="n">
        <f aca="false">+J26+K19</f>
        <v>175953.745642121</v>
      </c>
      <c r="L26" s="92"/>
      <c r="M26" s="92"/>
      <c r="N26" s="92"/>
      <c r="O26" s="92"/>
      <c r="Q26" s="83"/>
    </row>
    <row r="27" customFormat="false" ht="15" hidden="false" customHeight="false" outlineLevel="0" collapsed="false">
      <c r="A27" s="81" t="n">
        <f aca="false">+A26+1</f>
        <v>25</v>
      </c>
      <c r="B27" s="82" t="s">
        <v>141</v>
      </c>
      <c r="C27" s="83" t="n">
        <f aca="false">+C20</f>
        <v>52925.320293569</v>
      </c>
      <c r="D27" s="83" t="n">
        <f aca="false">+C27+D20</f>
        <v>58900.1305871381</v>
      </c>
      <c r="E27" s="83" t="n">
        <f aca="false">+D27+E20</f>
        <v>46095.8548807071</v>
      </c>
      <c r="F27" s="83" t="n">
        <f aca="false">+E27+F20</f>
        <v>75103.4051742762</v>
      </c>
      <c r="G27" s="83" t="n">
        <f aca="false">+F27+G20</f>
        <v>93267.0154678452</v>
      </c>
      <c r="H27" s="83" t="n">
        <f aca="false">+G27+H20</f>
        <v>78845.4147614142</v>
      </c>
      <c r="I27" s="83" t="n">
        <f aca="false">+H27+I20</f>
        <v>103717.735054983</v>
      </c>
      <c r="J27" s="83" t="n">
        <f aca="false">+I27+J20</f>
        <v>109992.795348552</v>
      </c>
      <c r="K27" s="83" t="n">
        <f aca="false">+J27+K20</f>
        <v>140703.745642121</v>
      </c>
      <c r="O27" s="94"/>
    </row>
    <row r="28" customFormat="false" ht="15" hidden="false" customHeight="false" outlineLevel="0" collapsed="false">
      <c r="A28" s="81" t="n">
        <f aca="false">+A27+1</f>
        <v>26</v>
      </c>
      <c r="B28" s="82" t="s">
        <v>152</v>
      </c>
      <c r="C28" s="83" t="n">
        <f aca="false">+C21</f>
        <v>50575.320293569</v>
      </c>
      <c r="D28" s="83" t="n">
        <f aca="false">+C28+D21</f>
        <v>54200.1305871381</v>
      </c>
      <c r="E28" s="83" t="n">
        <f aca="false">+D28+E21</f>
        <v>39045.8548807071</v>
      </c>
      <c r="F28" s="83" t="n">
        <f aca="false">+E28+F21</f>
        <v>65703.4051742762</v>
      </c>
      <c r="G28" s="83" t="n">
        <f aca="false">+F28+G21</f>
        <v>81517.0154678452</v>
      </c>
      <c r="H28" s="83" t="n">
        <f aca="false">+G28+H21</f>
        <v>64745.4147614142</v>
      </c>
      <c r="I28" s="83" t="n">
        <f aca="false">+H28+I21</f>
        <v>87267.7350549833</v>
      </c>
      <c r="J28" s="83" t="n">
        <f aca="false">+I28+J21</f>
        <v>91192.7953485523</v>
      </c>
      <c r="K28" s="83" t="n">
        <f aca="false">+J28+K21</f>
        <v>119553.745642121</v>
      </c>
      <c r="O28" s="94"/>
    </row>
    <row r="31" customFormat="false" ht="15.75" hidden="false" customHeight="false" outlineLevel="0" collapsed="false">
      <c r="B31" s="86" t="s">
        <v>144</v>
      </c>
    </row>
    <row r="32" customFormat="false" ht="15" hidden="false" customHeight="false" outlineLevel="0" collapsed="false">
      <c r="A32" s="82"/>
      <c r="B32" s="96" t="s">
        <v>165</v>
      </c>
      <c r="C32" s="97" t="n">
        <f aca="false">+'May 8 Power Cost Forecast'!F60</f>
        <v>68494.5168244445</v>
      </c>
      <c r="D32" s="97" t="n">
        <f aca="false">+'May 8 Power Cost Forecast'!G60</f>
        <v>7293</v>
      </c>
      <c r="E32" s="97" t="n">
        <f aca="false">+'May 8 Power Cost Forecast'!H60</f>
        <v>272</v>
      </c>
      <c r="F32" s="97" t="n">
        <f aca="false">+'May 8 Power Cost Forecast'!I60</f>
        <v>-8303</v>
      </c>
      <c r="G32" s="97" t="n">
        <f aca="false">+'May 8 Power Cost Forecast'!J60</f>
        <v>44679.6137510851</v>
      </c>
      <c r="H32" s="97" t="n">
        <f aca="false">+'May 8 Power Cost Forecast'!K60</f>
        <v>3725.76911827264</v>
      </c>
      <c r="I32" s="97" t="n">
        <f aca="false">+'May 8 Power Cost Forecast'!L60</f>
        <v>45191.5077530382</v>
      </c>
      <c r="J32" s="97" t="n">
        <f aca="false">+'May 8 Power Cost Forecast'!M60</f>
        <v>40510.9513780382</v>
      </c>
      <c r="K32" s="97" t="n">
        <f aca="false">+'May 8 Power Cost Forecast'!N60</f>
        <v>41703.5212901476</v>
      </c>
      <c r="L32" s="82"/>
      <c r="M32" s="82"/>
      <c r="N32" s="82"/>
      <c r="O32" s="82"/>
    </row>
    <row r="33" customFormat="false" ht="15.75" hidden="false" customHeight="false" outlineLevel="0" collapsed="false">
      <c r="A33" s="82"/>
      <c r="B33" s="99" t="s">
        <v>146</v>
      </c>
      <c r="C33" s="100" t="n">
        <f aca="false">+C32</f>
        <v>68494.5168244445</v>
      </c>
      <c r="D33" s="100" t="n">
        <f aca="false">+C33+D32</f>
        <v>75787.5168244445</v>
      </c>
      <c r="E33" s="100" t="n">
        <f aca="false">+D33+E32</f>
        <v>76059.5168244445</v>
      </c>
      <c r="F33" s="100" t="n">
        <f aca="false">+E33+F32</f>
        <v>67756.5168244445</v>
      </c>
      <c r="G33" s="100" t="n">
        <f aca="false">+F33+G32</f>
        <v>112436.13057553</v>
      </c>
      <c r="H33" s="100" t="n">
        <f aca="false">+G33+H32</f>
        <v>116161.899693802</v>
      </c>
      <c r="I33" s="100" t="n">
        <f aca="false">+H33+I32</f>
        <v>161353.40744684</v>
      </c>
      <c r="J33" s="100" t="n">
        <f aca="false">+I33+J32</f>
        <v>201864.358824879</v>
      </c>
      <c r="K33" s="101" t="n">
        <f aca="false">+J33+K32</f>
        <v>243567.880115026</v>
      </c>
      <c r="L33" s="82"/>
      <c r="M33" s="82"/>
      <c r="N33" s="82"/>
      <c r="O33" s="82"/>
    </row>
    <row r="34" customFormat="false" ht="15.75" hidden="false" customHeight="false" outlineLevel="0" collapsed="false">
      <c r="A34" s="82"/>
      <c r="B34" s="99" t="s">
        <v>147</v>
      </c>
      <c r="C34" s="91" t="n">
        <f aca="false">IF(C33&gt;C24,(C33-C24)*0.9+(C24-C25)*0.5,IF(C33&gt;C25,(C33-C25)*0.5,IF(C33&lt;C27,(C27-C33)*0.5,IF(C33&lt;C28,(C28-C33)*0.9+(C28-C27)*0.5,0))))</f>
        <v>6022.27687778787</v>
      </c>
      <c r="D34" s="91" t="n">
        <f aca="false">IF(D33&gt;D24,(D33-D24)*0.9+(D24-D25)*0.5,IF(D33&gt;D25,(D33-D25)*0.5,IF(D33&lt;D27,(D27-D33)*0.5,IF(D33&lt;D28,(D28-D33)*0.9+(D28-D27)*0.5,0))))</f>
        <v>610.359785319852</v>
      </c>
      <c r="E34" s="91" t="n">
        <f aca="false">IF(E33&gt;E24,(E33-E24)*0.9+(E24-E25)*0.5,IF(E33&gt;E25,(E33-E25)*0.5,IF(E33&lt;E27,(E27-E33)*0.5,IF(E33&lt;E28,(E28-E33)*0.9+(E28-E27)*0.5,0))))</f>
        <v>3231.83097186867</v>
      </c>
      <c r="F34" s="91" t="n">
        <f aca="false">IF(F33&gt;F24,(F33-F24)*0.9+(F24-F25)*0.5,IF(F33&gt;F25,(F33-F25)*0.5,IF(F33&lt;F27,(F27-F33)*0.5,IF(F33&lt;F28,(F28-F33)*0.9+(F28-F27)*0.5,0))))</f>
        <v>3673.44417491585</v>
      </c>
      <c r="G34" s="91" t="n">
        <f aca="false">IF(G33&gt;G24,(G33-G24)*0.9+(G24-G25)*0.5,IF(G33&gt;G25,(G33-G25)*0.5,IF(G33&lt;G27,(G27-G33)*0.5,IF(G33&lt;G28,(G28-G33)*0.9+(G28-G27)*0.5,0))))</f>
        <v>0</v>
      </c>
      <c r="H34" s="91" t="n">
        <f aca="false">IF(H33&gt;H24,(H33-H24)*0.9+(H24-H25)*0.5,IF(H33&gt;H25,(H33-H25)*0.5,IF(H33&lt;H27,(H27-H33)*0.5,IF(H33&lt;H28,(H28-H33)*0.9+(H28-H27)*0.5,0))))</f>
        <v>0</v>
      </c>
      <c r="I34" s="91" t="n">
        <f aca="false">IF(I33&gt;I24,(I33-I24)*0.9+(I24-I25)*0.5,IF(I33&gt;I25,(I33-I25)*0.5,IF(I33&lt;I27,(I27-I33)*0.5,IF(I33&lt;I28,(I28-I33)*0.9+(I28-I27)*0.5,0))))</f>
        <v>1401.16952926185</v>
      </c>
      <c r="J34" s="91" t="n">
        <f aca="false">IF(J33&gt;J24,(J33-J24)*0.9+(J24-J25)*0.5,IF(J33&gt;J25,(J33-J25)*0.5,IF(J33&lt;J27,(J27-J33)*0.5,IF(J33&lt;J28,(J28-J33)*0.9+(J28-J27)*0.5,0))))</f>
        <v>18764.4071286935</v>
      </c>
      <c r="K34" s="102" t="n">
        <f aca="false">IF(K33&gt;K24,(K33-K24)*0.9+(K24-K25)*0.5,IF(K33&gt;K25,(K33-K25)*0.5,IF(K33&lt;K27,(K27-K33)*0.5,IF(K33&lt;K28,(K28-K33)*0.9+(K28-K27)*0.5,0))))</f>
        <v>20667.7210256142</v>
      </c>
      <c r="L34" s="82"/>
      <c r="M34" s="82"/>
      <c r="N34" s="82"/>
      <c r="O34" s="82"/>
    </row>
    <row r="35" customFormat="false" ht="15.75" hidden="false" customHeight="false" outlineLevel="0" collapsed="false">
      <c r="A35" s="82"/>
      <c r="B35" s="103" t="s">
        <v>148</v>
      </c>
      <c r="C35" s="104"/>
      <c r="D35" s="104" t="n">
        <f aca="false">+D34-C34</f>
        <v>-5411.91709246802</v>
      </c>
      <c r="E35" s="104" t="n">
        <f aca="false">+E34-D34</f>
        <v>2621.47118654881</v>
      </c>
      <c r="F35" s="104" t="n">
        <f aca="false">+F34-E34</f>
        <v>441.613203047185</v>
      </c>
      <c r="G35" s="104" t="n">
        <f aca="false">+G34-F34</f>
        <v>-3673.44417491585</v>
      </c>
      <c r="H35" s="104" t="n">
        <f aca="false">+H34-G34</f>
        <v>0</v>
      </c>
      <c r="I35" s="104" t="n">
        <f aca="false">+I34-H34</f>
        <v>1401.16952926185</v>
      </c>
      <c r="J35" s="104" t="n">
        <f aca="false">+J34-I34</f>
        <v>17363.2375994317</v>
      </c>
      <c r="K35" s="105" t="n">
        <f aca="false">+K34-J34</f>
        <v>1903.31389692068</v>
      </c>
      <c r="L35" s="82"/>
      <c r="M35" s="82"/>
      <c r="N35" s="82"/>
      <c r="O35" s="82"/>
    </row>
    <row r="36" customFormat="false" ht="15" hidden="false" customHeight="false" outlineLevel="0" collapsed="false">
      <c r="A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customFormat="false" ht="15" hidden="false" customHeight="false" outlineLevel="0" collapsed="false">
      <c r="A37" s="82"/>
      <c r="B37" s="106" t="str">
        <f aca="true">CELL("filename")</f>
        <v>'file:///mnt/12tb/@roms/datasets/enron/EDRM Enron Email Data Set v2 XML/filtered-attachments/xls/PCA_Mechanism_June_19.xls'#$May 8 deferral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customFormat="false" ht="15" hidden="false" customHeight="false" outlineLevel="0" collapsed="false">
      <c r="A38" s="82"/>
      <c r="C38" s="91"/>
      <c r="D38" s="91"/>
      <c r="E38" s="91"/>
      <c r="F38" s="91"/>
      <c r="G38" s="91"/>
      <c r="H38" s="91"/>
      <c r="I38" s="91"/>
      <c r="J38" s="91"/>
      <c r="K38" s="91"/>
      <c r="L38" s="82"/>
      <c r="M38" s="82"/>
      <c r="N38" s="82"/>
      <c r="O38" s="82"/>
    </row>
    <row r="39" customFormat="false" ht="15" hidden="false" customHeight="false" outlineLevel="0" collapsed="false">
      <c r="A39" s="82"/>
      <c r="C39" s="91"/>
      <c r="D39" s="91"/>
      <c r="E39" s="91"/>
      <c r="F39" s="91"/>
      <c r="G39" s="91"/>
      <c r="H39" s="91"/>
      <c r="I39" s="91"/>
      <c r="J39" s="91"/>
      <c r="K39" s="91"/>
      <c r="L39" s="82"/>
      <c r="M39" s="82"/>
      <c r="N39" s="82"/>
      <c r="O39" s="82"/>
    </row>
    <row r="40" customFormat="false" ht="15" hidden="false" customHeight="false" outlineLevel="0" collapsed="false">
      <c r="A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customFormat="false" ht="15" hidden="false" customHeight="false" outlineLevel="0" collapsed="false">
      <c r="A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customFormat="false" ht="15" hidden="false" customHeight="false" outlineLevel="0" collapsed="false">
      <c r="A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customFormat="false" ht="15" hidden="false" customHeight="false" outlineLevel="0" collapsed="false">
      <c r="A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customFormat="false" ht="15" hidden="false" customHeight="false" outlineLevel="0" collapsed="false">
      <c r="A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customFormat="false" ht="15" hidden="false" customHeight="false" outlineLevel="0" collapsed="false">
      <c r="A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customFormat="false" ht="15" hidden="false" customHeight="false" outlineLevel="0" collapsed="false">
      <c r="A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customFormat="false" ht="15" hidden="false" customHeight="false" outlineLevel="0" collapsed="false">
      <c r="A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customFormat="false" ht="15" hidden="false" customHeight="false" outlineLevel="0" collapsed="false">
      <c r="A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customFormat="false" ht="15" hidden="false" customHeight="false" outlineLevel="0" collapsed="false">
      <c r="A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customFormat="false" ht="15" hidden="false" customHeight="false" outlineLevel="0" collapsed="false">
      <c r="A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customFormat="false" ht="15" hidden="false" customHeight="false" outlineLevel="0" collapsed="false">
      <c r="A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customFormat="false" ht="15" hidden="false" customHeight="false" outlineLevel="0" collapsed="false">
      <c r="A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customFormat="false" ht="15" hidden="false" customHeight="false" outlineLevel="0" collapsed="false">
      <c r="A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customFormat="false" ht="15" hidden="false" customHeight="false" outlineLevel="0" collapsed="false">
      <c r="A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customFormat="false" ht="15" hidden="false" customHeight="false" outlineLevel="0" collapsed="false">
      <c r="A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customFormat="false" ht="15" hidden="false" customHeight="false" outlineLevel="0" collapsed="false">
      <c r="A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&amp;T</oddHeader>
    <oddFooter/>
  </headerFooter>
  <rowBreaks count="1" manualBreakCount="1">
    <brk id="3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2001-06-11T18:51:25Z</dcterms:created>
  <dc:creator>Jim Piro</dc:creator>
  <dc:description/>
  <dc:language>en-US</dc:language>
  <cp:lastModifiedBy>Jim Piro</cp:lastModifiedBy>
  <cp:lastPrinted>2001-06-27T12:05:19Z</cp:lastPrinted>
  <cp:revision>0</cp:revision>
  <dc:subject/>
  <dc:title/>
</cp:coreProperties>
</file>