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11.xml" ContentType="application/vnd.openxmlformats-officedocument.spreadsheetml.comments+xml"/>
  <Override PartName="/xl/comments7.xml" ContentType="application/vnd.openxmlformats-officedocument.spreadsheetml.comment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9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omments10.xml" ContentType="application/vnd.openxmlformats-officedocument.spreadsheetml.comments+xml"/>
  <Override PartName="/xl/drawings/drawing7.xml" ContentType="application/vnd.openxmlformats-officedocument.drawing+xml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drawing8.xml" ContentType="application/vnd.openxmlformats-officedocument.drawing+xml"/>
  <Override PartName="/xl/drawings/drawing1.xml" ContentType="application/vnd.openxmlformats-officedocument.drawing+xml"/>
  <Override PartName="/xl/drawings/drawing5.xml" ContentType="application/vnd.openxmlformats-officedocument.drawing+xml"/>
  <Override PartName="/xl/drawings/vmlDrawing4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4.xml" ContentType="application/vnd.openxmlformats-officedocument.drawing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plaination about this model" sheetId="1" state="visible" r:id="rId3"/>
    <sheet name="Assumptions" sheetId="2" state="visible" r:id="rId4"/>
    <sheet name="Summary" sheetId="3" state="visible" r:id="rId5"/>
    <sheet name="Lev. Consolid" sheetId="4" state="visible" r:id="rId6"/>
    <sheet name="Unlev. Consolid" sheetId="5" state="visible" r:id="rId7"/>
    <sheet name="Asset 1" sheetId="6" state="visible" r:id="rId8"/>
    <sheet name="Asset 2" sheetId="7" state="visible" r:id="rId9"/>
    <sheet name="Asset 3" sheetId="8" state="visible" r:id="rId10"/>
    <sheet name="Asset 4" sheetId="9" state="visible" r:id="rId11"/>
    <sheet name="Asset 5" sheetId="10" state="visible" r:id="rId12"/>
    <sheet name="Asset 6" sheetId="11" state="visible" r:id="rId13"/>
    <sheet name="Cons. BS" sheetId="12" state="visible" r:id="rId14"/>
  </sheets>
  <externalReferences>
    <externalReference r:id="rId15"/>
    <externalReference r:id="rId16"/>
    <externalReference r:id="rId17"/>
    <externalReference r:id="rId18"/>
  </externalReferences>
  <definedNames>
    <definedName function="false" hidden="false" name="AACFHDRCOL" vbProcedure="false">[1]JuneYTD!$BG$80</definedName>
    <definedName function="false" hidden="false" name="AACFHDRROW" vbProcedure="false">[1]JuneYTD!$BG$80</definedName>
    <definedName function="false" hidden="false" name="AACFWKS" vbProcedure="false">[1]JuneYTD!$BG$80</definedName>
    <definedName function="false" hidden="false" name="AACFWKS1" vbProcedure="false">[1]JuneYTD!$BG$80</definedName>
    <definedName function="false" hidden="false" name="AACFWKS2" vbProcedure="false">[1]JuneYTD!$BG$80</definedName>
    <definedName function="false" hidden="false" name="AAWSSIDEWAYS" vbProcedure="false">[1]JuneYTD!$BG$80</definedName>
    <definedName function="false" hidden="false" name="ADJUSTMENTS" vbProcedure="false">[1]JuneYTD!$BG$80</definedName>
    <definedName function="false" hidden="false" name="AgLoop" vbProcedure="false">[2]Agave!$J$50</definedName>
    <definedName function="false" hidden="false" name="AgPurPrice" vbProcedure="false">[2]Agave!$K$50</definedName>
    <definedName function="false" hidden="false" name="ArkDRate" vbProcedure="false">#REF!</definedName>
    <definedName function="false" hidden="false" name="ArkLoop" vbProcedure="false">#REF!</definedName>
    <definedName function="false" hidden="false" name="ArkNPVPrice" vbProcedure="false">#REF!</definedName>
    <definedName function="false" hidden="false" name="ArkPurPrice" vbProcedure="false">#REF!</definedName>
    <definedName function="false" hidden="false" name="ARLoop" vbProcedure="false">'[4]Antelope Ridge'!$J$73</definedName>
    <definedName function="false" hidden="false" name="ARPurPrice" vbProcedure="false">'[4]Antelope Ridge'!$K$73</definedName>
    <definedName function="false" hidden="false" name="Asset1Drate" vbProcedure="false">'Asset 1'!$L$34</definedName>
    <definedName function="false" hidden="false" name="Asset1Loop" vbProcedure="false">'Asset 1'!$F$36</definedName>
    <definedName function="false" hidden="false" name="Asset1NPVPrice" vbProcedure="false">'Asset 1'!$L$36</definedName>
    <definedName function="false" hidden="false" name="Asset1PurPrice" vbProcedure="false">'Asset 1'!$G$36</definedName>
    <definedName function="false" hidden="false" name="Asset2DRate" vbProcedure="false">'Asset 2'!$L$34</definedName>
    <definedName function="false" hidden="false" name="Asset2Loop" vbProcedure="false">'Asset 2'!$F$36</definedName>
    <definedName function="false" hidden="false" name="Asset2NPVPrice" vbProcedure="false">'Asset 2'!$L$36</definedName>
    <definedName function="false" hidden="false" name="Asset2PurPrice" vbProcedure="false">'Asset 2'!$G$36</definedName>
    <definedName function="false" hidden="false" name="Asset3DRate" vbProcedure="false">'Asset 3'!$L$34</definedName>
    <definedName function="false" hidden="false" name="Asset3Loop" vbProcedure="false">'Asset 3'!$F$36</definedName>
    <definedName function="false" hidden="false" name="Asset3NPVPrice" vbProcedure="false">'Asset 3'!$L$36</definedName>
    <definedName function="false" hidden="false" name="Asset3PurPrice" vbProcedure="false">'Asset 3'!$G$36</definedName>
    <definedName function="false" hidden="false" name="Asset4DRate" vbProcedure="false">'Asset 4'!$L$34</definedName>
    <definedName function="false" hidden="false" name="Asset4Loop" vbProcedure="false">'Asset 4'!$F$36</definedName>
    <definedName function="false" hidden="false" name="Asset4NPVPrice" vbProcedure="false">'Asset 4'!$L$36</definedName>
    <definedName function="false" hidden="false" name="Asset4PurPrice" vbProcedure="false">'Asset 4'!$G$36</definedName>
    <definedName function="false" hidden="false" name="Asset5DRate" vbProcedure="false">'Asset 5'!$L$34</definedName>
    <definedName function="false" hidden="false" name="Asset5Loop" vbProcedure="false">'Asset 5'!$F$36</definedName>
    <definedName function="false" hidden="false" name="Asset5NPVPrice" vbProcedure="false">'Asset 5'!$L$36</definedName>
    <definedName function="false" hidden="false" name="Asset5PurPrice" vbProcedure="false">'Asset 5'!$G$36</definedName>
    <definedName function="false" hidden="false" name="Asset6DRate" vbProcedure="false">'Asset 6'!$L$34</definedName>
    <definedName function="false" hidden="false" name="Asset6Loop" vbProcedure="false">'Asset 6'!$F$36</definedName>
    <definedName function="false" hidden="false" name="Asset6NPVPrice" vbProcedure="false">'Asset 6'!$L$36</definedName>
    <definedName function="false" hidden="false" name="Asset6PurPrice" vbProcedure="false">'Asset 6'!$G$36</definedName>
    <definedName function="false" hidden="false" name="ASSETS" vbProcedure="false">[1]JuneYTD!$BG$80</definedName>
    <definedName function="false" hidden="false" name="AWAACF" vbProcedure="false">[1]JuneYTD!$BG$80</definedName>
    <definedName function="false" hidden="false" name="AWBALSHT" vbProcedure="false">[1]JuneYTD!$BG$80</definedName>
    <definedName function="false" hidden="false" name="AWCFWKS" vbProcedure="false">[1]JuneYTD!$BG$80</definedName>
    <definedName function="false" hidden="false" name="AWGRPCF" vbProcedure="false">[1]JuneYTD!$BG$80</definedName>
    <definedName function="false" hidden="false" name="AWGRPCF_BRDR" vbProcedure="false">[1]JuneYTD!$BG$80</definedName>
    <definedName function="false" hidden="false" name="BALSHT" vbProcedure="false">[1]JuneYTD!$BG$80</definedName>
    <definedName function="false" hidden="false" name="BB" vbProcedure="false">[1]JuneYTD!$BG$80</definedName>
    <definedName function="false" hidden="false" name="BBK" vbProcedure="false">[1]JuneYTD!$BG$80</definedName>
    <definedName function="false" hidden="false" name="BBK1" vbProcedure="false">[1]JuneYTD!$BG$80</definedName>
    <definedName function="false" hidden="false" name="BBTITLE" vbProcedure="false">[1]JuneYTD!$BG$80</definedName>
    <definedName function="false" hidden="false" name="BLANK" vbProcedure="false">[1]JuneYTD!$BG$80</definedName>
    <definedName function="false" hidden="false" name="BLANK1" vbProcedure="false">[1]JuneYTD!$BG$80</definedName>
    <definedName function="false" hidden="false" name="BORDERC" vbProcedure="false">[1]JuneYTD!$BG$80</definedName>
    <definedName function="false" hidden="false" name="BORDERC1" vbProcedure="false">[1]JuneYTD!$BG$80</definedName>
    <definedName function="false" hidden="false" name="BORDERCAAWP" vbProcedure="false">[1]JuneYTD!$BG$80</definedName>
    <definedName function="false" hidden="false" name="BORDERNONCUR" vbProcedure="false">[1]JuneYTD!$BG$80</definedName>
    <definedName function="false" hidden="false" name="BORDERR" vbProcedure="false">[1]JuneYTD!$BG$80</definedName>
    <definedName function="false" hidden="false" name="BORDERR1" vbProcedure="false">[1]JuneYTD!$BG$80</definedName>
    <definedName function="false" hidden="false" name="BORDERRAAWP" vbProcedure="false">[1]JuneYTD!$BG$80</definedName>
    <definedName function="false" hidden="false" name="BORDERRWWAP" vbProcedure="false">[1]JuneYTD!$BG$80</definedName>
    <definedName function="false" hidden="false" name="BSTITLE" vbProcedure="false">[1]JuneYTD!$BG$80</definedName>
    <definedName function="false" hidden="false" name="BSTITLE1" vbProcedure="false">[1]JuneYTD!$BG$80</definedName>
    <definedName function="false" hidden="false" name="BS_TitleRow" vbProcedure="false">[1]JuneYTD!$BG$80</definedName>
    <definedName function="false" hidden="false" name="CASHFLOW" vbProcedure="false">[1]JuneYTD!$BG$80</definedName>
    <definedName function="false" hidden="false" name="CASHFLOW1" vbProcedure="false">[1]JuneYTD!$BG$80</definedName>
    <definedName function="false" hidden="false" name="CATEGORY" vbProcedure="false">[1]JuneYTD!$BG$80</definedName>
    <definedName function="false" hidden="false" name="CATEGORY2" vbProcedure="false">[1]JuneYTD!$BG$80</definedName>
    <definedName function="false" hidden="false" name="CDRate" vbProcedure="false">'Unlev. Consolid'!$N$61</definedName>
    <definedName function="false" hidden="false" name="CF" vbProcedure="false">[1]JuneYTD!$BG$80</definedName>
    <definedName function="false" hidden="false" name="CFTITLE" vbProcedure="false">[1]JuneYTD!$BG$80</definedName>
    <definedName function="false" hidden="false" name="CFTITLE1" vbProcedure="false">[1]JuneYTD!$BG$80</definedName>
    <definedName function="false" hidden="false" name="CF_WKS_TitleRow" vbProcedure="false">[1]JuneYTD!$BG$80</definedName>
    <definedName function="false" hidden="false" name="CHGNONCUR" vbProcedure="false">[1]JuneYTD!$BG$80</definedName>
    <definedName function="false" hidden="false" name="CLoop" vbProcedure="false">'Unlev. Consolid'!$I$63</definedName>
    <definedName function="false" hidden="false" name="CM" vbProcedure="false">[1]JuneYTD!$BG$80</definedName>
    <definedName function="false" hidden="false" name="CNPVPrice" vbProcedure="false">'Unlev. Consolid'!$N$63</definedName>
    <definedName function="false" hidden="false" name="ConsDRate" vbProcedure="false">Assumptions!$D$21</definedName>
    <definedName function="false" hidden="false" name="CPurPrice" vbProcedure="false">'Unlev. Consolid'!$J$63</definedName>
    <definedName function="false" hidden="false" name="CurrentGasPrice" vbProcedure="false">#REF!</definedName>
    <definedName function="false" hidden="false" name="DATE1" vbProcedure="false">[1]JuneYTD!$BG$80</definedName>
    <definedName function="false" hidden="false" name="DATE2" vbProcedure="false">[1]JuneYTD!$BG$80</definedName>
    <definedName function="false" hidden="false" name="DATE3" vbProcedure="false">[1]JuneYTD!$BG$80</definedName>
    <definedName function="false" hidden="false" name="DATE4" vbProcedure="false">[1]JuneYTD!$BG$80</definedName>
    <definedName function="false" hidden="false" name="DATEPRYR" vbProcedure="false">[1]JuneYTD!$BG$80</definedName>
    <definedName function="false" hidden="false" name="DESC" vbProcedure="false">[1]JuneYTD!$BG$80</definedName>
    <definedName function="false" hidden="false" name="ELoop" vbProcedure="false">[2]Enron!$J$50</definedName>
    <definedName function="false" hidden="false" name="EPurPrice" vbProcedure="false">[2]Enron!$K$50</definedName>
    <definedName function="false" hidden="false" name="FSDRate" vbProcedure="false">#REF!</definedName>
    <definedName function="false" hidden="false" name="FSLoop" vbProcedure="false">#REF!</definedName>
    <definedName function="false" hidden="false" name="FSNPVPrice" vbProcedure="false">#REF!</definedName>
    <definedName function="false" hidden="false" name="FSPurPrice" vbProcedure="false">#REF!</definedName>
    <definedName function="false" hidden="false" name="GROUP" vbProcedure="false">[1]JuneYTD!$BG$80</definedName>
    <definedName function="false" hidden="false" name="GROUPYTD" vbProcedure="false">[1]JuneYTD!$BG$80</definedName>
    <definedName function="false" hidden="false" name="GrpPrtRng" vbProcedure="false">[1]JuneYTD!$BG$80</definedName>
    <definedName function="false" hidden="false" name="GRPTITLE" vbProcedure="false">[1]JuneYTD!$BG$80</definedName>
    <definedName function="false" hidden="false" name="GRPTITLE1" vbProcedure="false">[1]JuneYTD!$BG$80</definedName>
    <definedName function="false" hidden="false" name="GRPTITLE2" vbProcedure="false">[1]JuneYTD!$BG$80</definedName>
    <definedName function="false" hidden="false" name="GrpTitleCol" vbProcedure="false">[1]JuneYTD!$BG$80</definedName>
    <definedName function="false" hidden="false" name="GWLoop" vbProcedure="false">#REF!</definedName>
    <definedName function="false" hidden="false" name="HoLoop" vbProcedure="false">[4]Hobbs!$J$73</definedName>
    <definedName function="false" hidden="false" name="LIABILITIES" vbProcedure="false">[1]JuneYTD!$BG$80</definedName>
    <definedName function="false" hidden="false" name="LlLoop" vbProcedure="false">[4]Llano!$J$73</definedName>
    <definedName function="false" hidden="false" name="LlPurPrice" vbProcedure="false">[4]Llano!$K$73</definedName>
    <definedName function="false" hidden="false" name="MinneDRate" vbProcedure="false">#REF!</definedName>
    <definedName function="false" hidden="false" name="MinneLoop" vbProcedure="false">#REF!</definedName>
    <definedName function="false" hidden="false" name="MinneNPVPrice" vbProcedure="false">#REF!</definedName>
    <definedName function="false" hidden="false" name="MinneNPVRate" vbProcedure="false">#REF!</definedName>
    <definedName function="false" hidden="false" name="MinPurPrice" vbProcedure="false">#REF!</definedName>
    <definedName function="false" hidden="false" name="NAME1" vbProcedure="false">[1]JuneYTD!$BG$80</definedName>
    <definedName function="false" hidden="false" name="OLoop" vbProcedure="false">[2]Orphans!$J$48</definedName>
    <definedName function="false" hidden="false" name="OPurPrice" vbProcedure="false">[2]Orphans!$K$48</definedName>
    <definedName function="false" hidden="false" name="OTHERBORDER" vbProcedure="false">[1]JuneYTD!$BG$80</definedName>
    <definedName function="false" hidden="false" name="OTHERNC" vbProcedure="false">[1]JuneYTD!$BG$80</definedName>
    <definedName function="false" hidden="false" name="OTHERTITLES" vbProcedure="false">[1]JuneYTD!$BG$80</definedName>
    <definedName function="false" hidden="false" name="OtLoop" vbProcedure="false">[4]Other!$J$73</definedName>
    <definedName function="false" hidden="false" name="OtPurPrice" vbProcedure="false">[4]Other!$K$73</definedName>
    <definedName function="false" hidden="false" name="Print_Area_MI" vbProcedure="false">[1]JuneYTD!$BG$80</definedName>
    <definedName function="false" hidden="false" name="Print_Titles_MI" vbProcedure="false">[1]JuneYTD!$BG$80,[1]JuneYTD!B$28417</definedName>
    <definedName function="false" hidden="false" name="PRIORBB" vbProcedure="false">[1]JuneYTD!$BG$80</definedName>
    <definedName function="false" hidden="false" name="PRT_RNG_AA" vbProcedure="false">[1]JuneYTD!$BG$80</definedName>
    <definedName function="false" hidden="false" name="PTDRate" vbProcedure="false">'[3]Power Tex'!$O$71</definedName>
    <definedName function="false" hidden="false" name="PTLoop" vbProcedure="false">'[3]Power Tex'!$J$73</definedName>
    <definedName function="false" hidden="false" name="PTPurPrice" vbProcedure="false">'[3]Power Tex'!$K$73</definedName>
    <definedName function="false" hidden="false" name="REPORT" vbProcedure="false">[1]JuneYTD!$BG$80</definedName>
    <definedName function="false" hidden="false" name="RTLoop" vbProcedure="false">'[4]Reg Trans (311)'!$J$73</definedName>
    <definedName function="false" hidden="false" name="RTPurPrice" vbProcedure="false">'[4]Reg Trans (311)'!$K$73</definedName>
    <definedName function="false" hidden="false" name="SRLoop" vbProcedure="false">'[4]Sale Ranch'!$J$73</definedName>
    <definedName function="false" hidden="false" name="SRPurPrice" vbProcedure="false">'[4]Sale Ranch'!$K$73</definedName>
    <definedName function="false" hidden="false" name="StLoop" vbProcedure="false">[4]Storage!$J$73</definedName>
    <definedName function="false" hidden="false" name="StPurPrice" vbProcedure="false">[4]Storage!$K$73</definedName>
    <definedName function="false" hidden="false" name="TaxRate" vbProcedure="false">[2]CONSOLIDATED!$B$30</definedName>
    <definedName function="false" hidden="false" name="Titles_Rptg_Grp_Wks" vbProcedure="false">[1]JuneYTD!$BG$80</definedName>
    <definedName function="false" hidden="false" name="UCMLPEquity" vbProcedure="false">#REF!</definedName>
    <definedName function="false" hidden="false" name="UCMLPLoop" vbProcedure="false">#REF!</definedName>
    <definedName function="false" hidden="false" name="UCMLPNPV" vbProcedure="false">#REF!</definedName>
    <definedName function="false" hidden="false" name="YTDBB" vbProcedure="false">[1]JuneYTD!$BG$80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6" authorId="0">
      <text>
        <r>
          <rPr>
            <b val="true"/>
            <sz val="8"/>
            <color rgb="FF000000"/>
            <rFont val="Tahoma"/>
            <family val="0"/>
          </rPr>
          <t xml:space="preserve">MLR: (Rev-Exp) Earnings before interest, tax, depreciation, and amortization.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13</xdr:row>
                <xdr:rowOff>13</xdr:rowOff>
              </xdr:from>
              <xdr:to>
                <xdr:col>2</xdr:col>
                <xdr:colOff>16</xdr:colOff>
                <xdr:row>18</xdr:row>
                <xdr:rowOff>3</xdr:rowOff>
              </xdr:to>
            </anchor>
          </commentPr>
        </mc:Choice>
        <mc:Fallback/>
      </mc:AlternateContent>
    </comment>
    <comment ref="A20" authorId="0">
      <text>
        <r>
          <rPr>
            <b val="true"/>
            <sz val="8"/>
            <color rgb="FF000000"/>
            <rFont val="Tahoma"/>
            <family val="0"/>
          </rPr>
          <t xml:space="preserve">MLR: (EBITDA-DD&amp;A) Earnings before interest and taxes.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17</xdr:row>
                <xdr:rowOff>13</xdr:rowOff>
              </xdr:from>
              <xdr:to>
                <xdr:col>1</xdr:col>
                <xdr:colOff>88</xdr:colOff>
                <xdr:row>22</xdr:row>
                <xdr:rowOff>11</xdr:rowOff>
              </xdr:to>
            </anchor>
          </commentPr>
        </mc:Choice>
        <mc:Fallback/>
      </mc:AlternateContent>
    </comment>
    <comment ref="A28" authorId="0">
      <text>
        <r>
          <rPr>
            <b val="true"/>
            <sz val="8"/>
            <color rgb="FF000000"/>
            <rFont val="Tahoma"/>
            <family val="0"/>
          </rPr>
          <t xml:space="preserve">MLR: Net Income + Deferred Taxes + DD&amp;A.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25</xdr:row>
                <xdr:rowOff>13</xdr:rowOff>
              </xdr:from>
              <xdr:to>
                <xdr:col>1</xdr:col>
                <xdr:colOff>88</xdr:colOff>
                <xdr:row>30</xdr:row>
                <xdr:rowOff>4</xdr:rowOff>
              </xdr:to>
            </anchor>
          </commentPr>
        </mc:Choice>
        <mc:Fallback/>
      </mc:AlternateContent>
    </comment>
    <comment ref="A30" authorId="0">
      <text>
        <r>
          <rPr>
            <b val="true"/>
            <sz val="8"/>
            <color rgb="FF000000"/>
            <rFont val="Tahoma"/>
            <family val="0"/>
          </rPr>
          <t xml:space="preserve">MLR: NPV based on this cash stream.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27</xdr:row>
                <xdr:rowOff>16</xdr:rowOff>
              </xdr:from>
              <xdr:to>
                <xdr:col>1</xdr:col>
                <xdr:colOff>88</xdr:colOff>
                <xdr:row>32</xdr:row>
                <xdr:rowOff>13</xdr:rowOff>
              </xdr:to>
            </anchor>
          </commentPr>
        </mc:Choice>
        <mc:Fallback/>
      </mc:AlternateContent>
    </comment>
    <comment ref="H33" authorId="0">
      <text>
        <r>
          <rPr>
            <b val="true"/>
            <sz val="8"/>
            <color rgb="FF000000"/>
            <rFont val="Tahoma"/>
            <family val="0"/>
          </rPr>
          <t xml:space="preserve">MLR: This is the last year of actual data.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74</xdr:colOff>
                <xdr:row>30</xdr:row>
                <xdr:rowOff>14</xdr:rowOff>
              </xdr:from>
              <xdr:to>
                <xdr:col>8</xdr:col>
                <xdr:colOff>92</xdr:colOff>
                <xdr:row>34</xdr:row>
                <xdr:rowOff>8</xdr:rowOff>
              </xdr:to>
            </anchor>
          </commentPr>
        </mc:Choice>
        <mc:Fallback/>
      </mc:AlternateContent>
    </comment>
    <comment ref="H36" authorId="0">
      <text>
        <r>
          <rPr>
            <b val="true"/>
            <sz val="8"/>
            <color rgb="FF000000"/>
            <rFont val="Tahoma"/>
            <family val="0"/>
          </rPr>
          <t xml:space="preserve">MLR: This figure should be compared to the EBITDA Multiple used for salvage value.  They should be close.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75</xdr:colOff>
                <xdr:row>34</xdr:row>
                <xdr:rowOff>3</xdr:rowOff>
              </xdr:from>
              <xdr:to>
                <xdr:col>9</xdr:col>
                <xdr:colOff>29</xdr:colOff>
                <xdr:row>39</xdr:row>
                <xdr:rowOff>13</xdr:rowOff>
              </xdr:to>
            </anchor>
          </commentPr>
        </mc:Choice>
        <mc:Fallback/>
      </mc:AlternateContent>
    </comment>
    <comment ref="L34" authorId="0">
      <text>
        <r>
          <rPr>
            <b val="true"/>
            <sz val="8"/>
            <color rgb="FF000000"/>
            <rFont val="Tahoma"/>
            <family val="0"/>
          </rPr>
          <t xml:space="preserve">MLR: Primary discount rate for calculation.  The NPVs for the other rates are approximations as the purchase price feeds into the Tax Depreciation calculation.  THIS FIGURE IS DEFINED IN ITS MACRO.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53</xdr:colOff>
                <xdr:row>32</xdr:row>
                <xdr:rowOff>1</xdr:rowOff>
              </xdr:from>
              <xdr:to>
                <xdr:col>13</xdr:col>
                <xdr:colOff>79</xdr:colOff>
                <xdr:row>36</xdr:row>
                <xdr:rowOff>1</xdr:rowOff>
              </xdr:to>
            </anchor>
          </commentPr>
        </mc:Choice>
        <mc:Fallback/>
      </mc:AlternateContent>
    </comment>
    <comment ref="R30" authorId="0">
      <text>
        <r>
          <rPr>
            <b val="true"/>
            <sz val="8"/>
            <color rgb="FF000000"/>
            <rFont val="Tahoma"/>
            <family val="0"/>
          </rPr>
          <t xml:space="preserve">MLR: Salvage value of the asset.  The EBITDA multiple can vary.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48</xdr:colOff>
                <xdr:row>27</xdr:row>
                <xdr:rowOff>16</xdr:rowOff>
              </xdr:from>
              <xdr:to>
                <xdr:col>20</xdr:col>
                <xdr:colOff>17</xdr:colOff>
                <xdr:row>32</xdr:row>
                <xdr:rowOff>13</xdr:rowOff>
              </xdr:to>
            </anchor>
          </commentPr>
        </mc:Choice>
        <mc:Fallback/>
      </mc:AlternateContent>
    </comment>
  </commentList>
</comments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6" authorId="0">
      <text>
        <r>
          <rPr>
            <b val="true"/>
            <sz val="8"/>
            <color rgb="FF000000"/>
            <rFont val="Tahoma"/>
            <family val="0"/>
          </rPr>
          <t xml:space="preserve">MLR: (Rev-Exp) Earnings before interest, tax, depreciation, and amortization.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13</xdr:row>
                <xdr:rowOff>13</xdr:rowOff>
              </xdr:from>
              <xdr:to>
                <xdr:col>2</xdr:col>
                <xdr:colOff>16</xdr:colOff>
                <xdr:row>18</xdr:row>
                <xdr:rowOff>3</xdr:rowOff>
              </xdr:to>
            </anchor>
          </commentPr>
        </mc:Choice>
        <mc:Fallback/>
      </mc:AlternateContent>
    </comment>
    <comment ref="A20" authorId="0">
      <text>
        <r>
          <rPr>
            <b val="true"/>
            <sz val="8"/>
            <color rgb="FF000000"/>
            <rFont val="Tahoma"/>
            <family val="0"/>
          </rPr>
          <t xml:space="preserve">MLR: (EBITDA-DD&amp;A) Earnings before interest and taxes.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17</xdr:row>
                <xdr:rowOff>13</xdr:rowOff>
              </xdr:from>
              <xdr:to>
                <xdr:col>1</xdr:col>
                <xdr:colOff>88</xdr:colOff>
                <xdr:row>22</xdr:row>
                <xdr:rowOff>11</xdr:rowOff>
              </xdr:to>
            </anchor>
          </commentPr>
        </mc:Choice>
        <mc:Fallback/>
      </mc:AlternateContent>
    </comment>
    <comment ref="A28" authorId="0">
      <text>
        <r>
          <rPr>
            <b val="true"/>
            <sz val="8"/>
            <color rgb="FF000000"/>
            <rFont val="Tahoma"/>
            <family val="0"/>
          </rPr>
          <t xml:space="preserve">MLR: Net Income + Deferred Taxes + DD&amp;A.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25</xdr:row>
                <xdr:rowOff>13</xdr:rowOff>
              </xdr:from>
              <xdr:to>
                <xdr:col>1</xdr:col>
                <xdr:colOff>88</xdr:colOff>
                <xdr:row>30</xdr:row>
                <xdr:rowOff>4</xdr:rowOff>
              </xdr:to>
            </anchor>
          </commentPr>
        </mc:Choice>
        <mc:Fallback/>
      </mc:AlternateContent>
    </comment>
    <comment ref="A30" authorId="0">
      <text>
        <r>
          <rPr>
            <b val="true"/>
            <sz val="8"/>
            <color rgb="FF000000"/>
            <rFont val="Tahoma"/>
            <family val="0"/>
          </rPr>
          <t xml:space="preserve">MLR: NPV based on this cash stream.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27</xdr:row>
                <xdr:rowOff>16</xdr:rowOff>
              </xdr:from>
              <xdr:to>
                <xdr:col>1</xdr:col>
                <xdr:colOff>88</xdr:colOff>
                <xdr:row>32</xdr:row>
                <xdr:rowOff>13</xdr:rowOff>
              </xdr:to>
            </anchor>
          </commentPr>
        </mc:Choice>
        <mc:Fallback/>
      </mc:AlternateContent>
    </comment>
    <comment ref="H33" authorId="0">
      <text>
        <r>
          <rPr>
            <b val="true"/>
            <sz val="8"/>
            <color rgb="FF000000"/>
            <rFont val="Tahoma"/>
            <family val="0"/>
          </rPr>
          <t xml:space="preserve">MLR: This is the last year of actual data.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74</xdr:colOff>
                <xdr:row>30</xdr:row>
                <xdr:rowOff>14</xdr:rowOff>
              </xdr:from>
              <xdr:to>
                <xdr:col>8</xdr:col>
                <xdr:colOff>92</xdr:colOff>
                <xdr:row>34</xdr:row>
                <xdr:rowOff>8</xdr:rowOff>
              </xdr:to>
            </anchor>
          </commentPr>
        </mc:Choice>
        <mc:Fallback/>
      </mc:AlternateContent>
    </comment>
    <comment ref="H36" authorId="0">
      <text>
        <r>
          <rPr>
            <b val="true"/>
            <sz val="8"/>
            <color rgb="FF000000"/>
            <rFont val="Tahoma"/>
            <family val="0"/>
          </rPr>
          <t xml:space="preserve">MLR: This figure should be compared to the EBITDA Multiple used for salvage value.  They should be close.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75</xdr:colOff>
                <xdr:row>34</xdr:row>
                <xdr:rowOff>3</xdr:rowOff>
              </xdr:from>
              <xdr:to>
                <xdr:col>9</xdr:col>
                <xdr:colOff>29</xdr:colOff>
                <xdr:row>39</xdr:row>
                <xdr:rowOff>13</xdr:rowOff>
              </xdr:to>
            </anchor>
          </commentPr>
        </mc:Choice>
        <mc:Fallback/>
      </mc:AlternateContent>
    </comment>
    <comment ref="L34" authorId="0">
      <text>
        <r>
          <rPr>
            <b val="true"/>
            <sz val="8"/>
            <color rgb="FF000000"/>
            <rFont val="Tahoma"/>
            <family val="0"/>
          </rPr>
          <t xml:space="preserve">MLR: Primary discount rate for calculation.  The NPVs for the other rates are approximations as the purchase price feeds into the Tax Depreciation calculation.  THIS FIGURE IS DEFINED IN ITS MACRO.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53</xdr:colOff>
                <xdr:row>32</xdr:row>
                <xdr:rowOff>1</xdr:rowOff>
              </xdr:from>
              <xdr:to>
                <xdr:col>13</xdr:col>
                <xdr:colOff>79</xdr:colOff>
                <xdr:row>36</xdr:row>
                <xdr:rowOff>1</xdr:rowOff>
              </xdr:to>
            </anchor>
          </commentPr>
        </mc:Choice>
        <mc:Fallback/>
      </mc:AlternateContent>
    </comment>
    <comment ref="R30" authorId="0">
      <text>
        <r>
          <rPr>
            <b val="true"/>
            <sz val="8"/>
            <color rgb="FF000000"/>
            <rFont val="Tahoma"/>
            <family val="0"/>
          </rPr>
          <t xml:space="preserve">MLR: Salvage value of the asset.  The EBITDA multiple can vary.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48</xdr:colOff>
                <xdr:row>27</xdr:row>
                <xdr:rowOff>16</xdr:rowOff>
              </xdr:from>
              <xdr:to>
                <xdr:col>20</xdr:col>
                <xdr:colOff>17</xdr:colOff>
                <xdr:row>32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49" authorId="0">
      <text>
        <r>
          <rPr>
            <sz val="8"/>
            <color rgb="FF000000"/>
            <rFont val="Tahoma"/>
            <family val="0"/>
          </rPr>
          <t xml:space="preserve">Yuan:
The Purchase Price is assumed as the depreciation basis.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47</xdr:row>
                <xdr:rowOff>10</xdr:rowOff>
              </xdr:from>
              <xdr:to>
                <xdr:col>5</xdr:col>
                <xdr:colOff>48</xdr:colOff>
                <xdr:row>50</xdr:row>
                <xdr:rowOff>20</xdr:rowOff>
              </xdr:to>
            </anchor>
          </commentPr>
        </mc:Choice>
        <mc:Fallback/>
      </mc:AlternateContent>
    </comment>
    <comment ref="K60" authorId="0">
      <text>
        <r>
          <rPr>
            <b val="true"/>
            <sz val="8"/>
            <color rgb="FF000000"/>
            <rFont val="Tahoma"/>
            <family val="0"/>
          </rPr>
          <t xml:space="preserve">MLR: This is the last year of actual data.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</xdr:colOff>
                <xdr:row>57</xdr:row>
                <xdr:rowOff>13</xdr:rowOff>
              </xdr:from>
              <xdr:to>
                <xdr:col>12</xdr:col>
                <xdr:colOff>26</xdr:colOff>
                <xdr:row>61</xdr:row>
                <xdr:rowOff>2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6" authorId="0">
      <text>
        <r>
          <rPr>
            <b val="true"/>
            <sz val="8"/>
            <color rgb="FF000000"/>
            <rFont val="Tahoma"/>
            <family val="0"/>
          </rPr>
          <t xml:space="preserve">MLR: (Rev-Exp) Earnings before interest, tax, depreciation, and amortization.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13</xdr:row>
                <xdr:rowOff>11</xdr:rowOff>
              </xdr:from>
              <xdr:to>
                <xdr:col>2</xdr:col>
                <xdr:colOff>20</xdr:colOff>
                <xdr:row>17</xdr:row>
                <xdr:rowOff>17</xdr:rowOff>
              </xdr:to>
            </anchor>
          </commentPr>
        </mc:Choice>
        <mc:Fallback/>
      </mc:AlternateContent>
    </comment>
    <comment ref="A20" authorId="0">
      <text>
        <r>
          <rPr>
            <b val="true"/>
            <sz val="8"/>
            <color rgb="FF000000"/>
            <rFont val="Tahoma"/>
            <family val="0"/>
          </rPr>
          <t xml:space="preserve">MLR: (EBITDA-DD&amp;A) Earnings before interest and taxes.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17</xdr:row>
                <xdr:rowOff>11</xdr:rowOff>
              </xdr:from>
              <xdr:to>
                <xdr:col>1</xdr:col>
                <xdr:colOff>92</xdr:colOff>
                <xdr:row>22</xdr:row>
                <xdr:rowOff>8</xdr:rowOff>
              </xdr:to>
            </anchor>
          </commentPr>
        </mc:Choice>
        <mc:Fallback/>
      </mc:AlternateContent>
    </comment>
    <comment ref="A28" authorId="0">
      <text>
        <r>
          <rPr>
            <b val="true"/>
            <sz val="8"/>
            <color rgb="FF000000"/>
            <rFont val="Tahoma"/>
            <family val="0"/>
          </rPr>
          <t xml:space="preserve">MLR: Net Income + Deferred Taxes + DD&amp;A.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25</xdr:row>
                <xdr:rowOff>11</xdr:rowOff>
              </xdr:from>
              <xdr:to>
                <xdr:col>1</xdr:col>
                <xdr:colOff>92</xdr:colOff>
                <xdr:row>29</xdr:row>
                <xdr:rowOff>17</xdr:rowOff>
              </xdr:to>
            </anchor>
          </commentPr>
        </mc:Choice>
        <mc:Fallback/>
      </mc:AlternateContent>
    </comment>
    <comment ref="A30" authorId="0">
      <text>
        <r>
          <rPr>
            <b val="true"/>
            <sz val="8"/>
            <color rgb="FF000000"/>
            <rFont val="Tahoma"/>
            <family val="0"/>
          </rPr>
          <t xml:space="preserve">MLR: NPV based on this cash stream.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27</xdr:row>
                <xdr:rowOff>14</xdr:rowOff>
              </xdr:from>
              <xdr:to>
                <xdr:col>1</xdr:col>
                <xdr:colOff>92</xdr:colOff>
                <xdr:row>32</xdr:row>
                <xdr:rowOff>6</xdr:rowOff>
              </xdr:to>
            </anchor>
          </commentPr>
        </mc:Choice>
        <mc:Fallback/>
      </mc:AlternateContent>
    </comment>
    <comment ref="C81" authorId="0">
      <text>
        <r>
          <rPr>
            <b val="true"/>
            <sz val="8"/>
            <color rgb="FF000000"/>
            <rFont val="Tahoma"/>
            <family val="0"/>
          </rPr>
          <t xml:space="preserve">MLR: This comes from the Balance Sheet, Pro Forma Property, Equipment &amp; Improvements Net.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78</xdr:row>
                <xdr:rowOff>4</xdr:rowOff>
              </xdr:from>
              <xdr:to>
                <xdr:col>5</xdr:col>
                <xdr:colOff>1</xdr:colOff>
                <xdr:row>81</xdr:row>
                <xdr:rowOff>12</xdr:rowOff>
              </xdr:to>
            </anchor>
          </commentPr>
        </mc:Choice>
        <mc:Fallback/>
      </mc:AlternateContent>
    </comment>
    <comment ref="H33" authorId="0">
      <text>
        <r>
          <rPr>
            <b val="true"/>
            <sz val="8"/>
            <color rgb="FF000000"/>
            <rFont val="Tahoma"/>
            <family val="0"/>
          </rPr>
          <t xml:space="preserve">MLR: This is the last year of actual data.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79</xdr:colOff>
                <xdr:row>30</xdr:row>
                <xdr:rowOff>11</xdr:rowOff>
              </xdr:from>
              <xdr:to>
                <xdr:col>8</xdr:col>
                <xdr:colOff>96</xdr:colOff>
                <xdr:row>34</xdr:row>
                <xdr:rowOff>10</xdr:rowOff>
              </xdr:to>
            </anchor>
          </commentPr>
        </mc:Choice>
        <mc:Fallback/>
      </mc:AlternateContent>
    </comment>
    <comment ref="H36" authorId="0">
      <text>
        <r>
          <rPr>
            <b val="true"/>
            <sz val="8"/>
            <color rgb="FF000000"/>
            <rFont val="Tahoma"/>
            <family val="0"/>
          </rPr>
          <t xml:space="preserve">MLR: This figure should be compared to the EBITDA Multiple used for salvage value.  They should be close.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79</xdr:colOff>
                <xdr:row>34</xdr:row>
                <xdr:rowOff>0</xdr:rowOff>
              </xdr:from>
              <xdr:to>
                <xdr:col>9</xdr:col>
                <xdr:colOff>33</xdr:colOff>
                <xdr:row>39</xdr:row>
                <xdr:rowOff>13</xdr:rowOff>
              </xdr:to>
            </anchor>
          </commentPr>
        </mc:Choice>
        <mc:Fallback/>
      </mc:AlternateContent>
    </comment>
    <comment ref="L34" authorId="0">
      <text>
        <r>
          <rPr>
            <b val="true"/>
            <sz val="8"/>
            <color rgb="FF000000"/>
            <rFont val="Tahoma"/>
            <family val="0"/>
          </rPr>
          <t xml:space="preserve">MLR: Primary discount rate for calculation.  The NPVs for the other rates are approximations as the purchase price feeds into the Tax Depreciation calculation.  THIS FIGURE IS DEFINED IN ITS MACRO.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58</xdr:colOff>
                <xdr:row>32</xdr:row>
                <xdr:rowOff>1</xdr:rowOff>
              </xdr:from>
              <xdr:to>
                <xdr:col>13</xdr:col>
                <xdr:colOff>84</xdr:colOff>
                <xdr:row>36</xdr:row>
                <xdr:rowOff>1</xdr:rowOff>
              </xdr:to>
            </anchor>
          </commentPr>
        </mc:Choice>
        <mc:Fallback/>
      </mc:AlternateContent>
    </comment>
    <comment ref="R30" authorId="0">
      <text>
        <r>
          <rPr>
            <b val="true"/>
            <sz val="8"/>
            <color rgb="FF000000"/>
            <rFont val="Tahoma"/>
            <family val="0"/>
          </rPr>
          <t xml:space="preserve">MLR: Salvage value of the asset.  The EBITDA multiple can vary.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53</xdr:colOff>
                <xdr:row>27</xdr:row>
                <xdr:rowOff>14</xdr:rowOff>
              </xdr:from>
              <xdr:to>
                <xdr:col>20</xdr:col>
                <xdr:colOff>21</xdr:colOff>
                <xdr:row>32</xdr:row>
                <xdr:rowOff>6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6" authorId="0">
      <text>
        <r>
          <rPr>
            <b val="true"/>
            <sz val="8"/>
            <color rgb="FF000000"/>
            <rFont val="Tahoma"/>
            <family val="0"/>
          </rPr>
          <t xml:space="preserve">MLR: (Rev-Exp) Earnings before interest, tax, depreciation, and amortization.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13</xdr:row>
                <xdr:rowOff>13</xdr:rowOff>
              </xdr:from>
              <xdr:to>
                <xdr:col>2</xdr:col>
                <xdr:colOff>20</xdr:colOff>
                <xdr:row>18</xdr:row>
                <xdr:rowOff>3</xdr:rowOff>
              </xdr:to>
            </anchor>
          </commentPr>
        </mc:Choice>
        <mc:Fallback/>
      </mc:AlternateContent>
    </comment>
    <comment ref="A20" authorId="0">
      <text>
        <r>
          <rPr>
            <b val="true"/>
            <sz val="8"/>
            <color rgb="FF000000"/>
            <rFont val="Tahoma"/>
            <family val="0"/>
          </rPr>
          <t xml:space="preserve">MLR: (EBITDA-DD&amp;A) Earnings before interest and taxes.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17</xdr:row>
                <xdr:rowOff>13</xdr:rowOff>
              </xdr:from>
              <xdr:to>
                <xdr:col>1</xdr:col>
                <xdr:colOff>92</xdr:colOff>
                <xdr:row>22</xdr:row>
                <xdr:rowOff>15</xdr:rowOff>
              </xdr:to>
            </anchor>
          </commentPr>
        </mc:Choice>
        <mc:Fallback/>
      </mc:AlternateContent>
    </comment>
    <comment ref="A28" authorId="0">
      <text>
        <r>
          <rPr>
            <b val="true"/>
            <sz val="8"/>
            <color rgb="FF000000"/>
            <rFont val="Tahoma"/>
            <family val="0"/>
          </rPr>
          <t xml:space="preserve">MLR: Net Income + Deferred Taxes + DD&amp;A.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25</xdr:row>
                <xdr:rowOff>13</xdr:rowOff>
              </xdr:from>
              <xdr:to>
                <xdr:col>1</xdr:col>
                <xdr:colOff>92</xdr:colOff>
                <xdr:row>30</xdr:row>
                <xdr:rowOff>3</xdr:rowOff>
              </xdr:to>
            </anchor>
          </commentPr>
        </mc:Choice>
        <mc:Fallback/>
      </mc:AlternateContent>
    </comment>
    <comment ref="A30" authorId="0">
      <text>
        <r>
          <rPr>
            <b val="true"/>
            <sz val="8"/>
            <color rgb="FF000000"/>
            <rFont val="Tahoma"/>
            <family val="0"/>
          </rPr>
          <t xml:space="preserve">MLR: NPV based on this cash stream.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27</xdr:row>
                <xdr:rowOff>16</xdr:rowOff>
              </xdr:from>
              <xdr:to>
                <xdr:col>1</xdr:col>
                <xdr:colOff>92</xdr:colOff>
                <xdr:row>32</xdr:row>
                <xdr:rowOff>11</xdr:rowOff>
              </xdr:to>
            </anchor>
          </commentPr>
        </mc:Choice>
        <mc:Fallback/>
      </mc:AlternateContent>
    </comment>
    <comment ref="C80" authorId="0">
      <text>
        <r>
          <rPr>
            <b val="true"/>
            <sz val="8"/>
            <color rgb="FF000000"/>
            <rFont val="Tahoma"/>
            <family val="0"/>
          </rPr>
          <t xml:space="preserve">MLR: This comes from the Balance Sheet, Pro Forma Property, Equipment &amp; Improvements Net.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77</xdr:row>
                <xdr:rowOff>9</xdr:rowOff>
              </xdr:from>
              <xdr:to>
                <xdr:col>5</xdr:col>
                <xdr:colOff>1</xdr:colOff>
                <xdr:row>81</xdr:row>
                <xdr:rowOff>5</xdr:rowOff>
              </xdr:to>
            </anchor>
          </commentPr>
        </mc:Choice>
        <mc:Fallback/>
      </mc:AlternateContent>
    </comment>
    <comment ref="C81" authorId="0">
      <text>
        <r>
          <rPr>
            <b val="true"/>
            <sz val="8"/>
            <color rgb="FF000000"/>
            <rFont val="Tahoma"/>
            <family val="0"/>
          </rPr>
          <t xml:space="preserve">MLR: This is just this assets percent of total for Property, Equipment &amp; Improvements Net from Balance Sheet page.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51</xdr:colOff>
                <xdr:row>78</xdr:row>
                <xdr:rowOff>9</xdr:rowOff>
              </xdr:from>
              <xdr:to>
                <xdr:col>5</xdr:col>
                <xdr:colOff>17</xdr:colOff>
                <xdr:row>81</xdr:row>
                <xdr:rowOff>5</xdr:rowOff>
              </xdr:to>
            </anchor>
          </commentPr>
        </mc:Choice>
        <mc:Fallback/>
      </mc:AlternateContent>
    </comment>
    <comment ref="H33" authorId="0">
      <text>
        <r>
          <rPr>
            <b val="true"/>
            <sz val="8"/>
            <color rgb="FF000000"/>
            <rFont val="Tahoma"/>
            <family val="0"/>
          </rPr>
          <t xml:space="preserve">MLR: This is the last year of actual data.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78</xdr:colOff>
                <xdr:row>30</xdr:row>
                <xdr:rowOff>13</xdr:rowOff>
              </xdr:from>
              <xdr:to>
                <xdr:col>8</xdr:col>
                <xdr:colOff>96</xdr:colOff>
                <xdr:row>34</xdr:row>
                <xdr:rowOff>7</xdr:rowOff>
              </xdr:to>
            </anchor>
          </commentPr>
        </mc:Choice>
        <mc:Fallback/>
      </mc:AlternateContent>
    </comment>
    <comment ref="H36" authorId="0">
      <text>
        <r>
          <rPr>
            <b val="true"/>
            <sz val="8"/>
            <color rgb="FF000000"/>
            <rFont val="Tahoma"/>
            <family val="0"/>
          </rPr>
          <t xml:space="preserve">MLR: This figure should be compared to the EBITDA Multiple used for salvage value.  They should be close.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79</xdr:colOff>
                <xdr:row>34</xdr:row>
                <xdr:rowOff>1</xdr:rowOff>
              </xdr:from>
              <xdr:to>
                <xdr:col>9</xdr:col>
                <xdr:colOff>33</xdr:colOff>
                <xdr:row>40</xdr:row>
                <xdr:rowOff>1</xdr:rowOff>
              </xdr:to>
            </anchor>
          </commentPr>
        </mc:Choice>
        <mc:Fallback/>
      </mc:AlternateContent>
    </comment>
    <comment ref="L34" authorId="0">
      <text>
        <r>
          <rPr>
            <b val="true"/>
            <sz val="8"/>
            <color rgb="FF000000"/>
            <rFont val="Tahoma"/>
            <family val="0"/>
          </rPr>
          <t xml:space="preserve">MLR: Primary discount rate for calculation.  The NPVs for the other rates are approximations as the purchase price feeds into the Tax Depreciation calculation.  THIS FIGURE IS DEFINED IN ITS MACRO.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57</xdr:colOff>
                <xdr:row>31</xdr:row>
                <xdr:rowOff>17</xdr:rowOff>
              </xdr:from>
              <xdr:to>
                <xdr:col>13</xdr:col>
                <xdr:colOff>84</xdr:colOff>
                <xdr:row>35</xdr:row>
                <xdr:rowOff>18</xdr:rowOff>
              </xdr:to>
            </anchor>
          </commentPr>
        </mc:Choice>
        <mc:Fallback/>
      </mc:AlternateContent>
    </comment>
    <comment ref="R30" authorId="0">
      <text>
        <r>
          <rPr>
            <b val="true"/>
            <sz val="8"/>
            <color rgb="FF000000"/>
            <rFont val="Tahoma"/>
            <family val="0"/>
          </rPr>
          <t xml:space="preserve">MLR: Salvage value of the asset.  The EBITDA multiple can vary.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52</xdr:colOff>
                <xdr:row>27</xdr:row>
                <xdr:rowOff>16</xdr:rowOff>
              </xdr:from>
              <xdr:to>
                <xdr:col>20</xdr:col>
                <xdr:colOff>21</xdr:colOff>
                <xdr:row>32</xdr:row>
                <xdr:rowOff>11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6" authorId="0">
      <text>
        <r>
          <rPr>
            <b val="true"/>
            <sz val="8"/>
            <color rgb="FF000000"/>
            <rFont val="Tahoma"/>
            <family val="0"/>
          </rPr>
          <t xml:space="preserve">MLR: (Rev-Exp) Earnings before interest, tax, depreciation, and amortization.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13</xdr:row>
                <xdr:rowOff>13</xdr:rowOff>
              </xdr:from>
              <xdr:to>
                <xdr:col>2</xdr:col>
                <xdr:colOff>16</xdr:colOff>
                <xdr:row>18</xdr:row>
                <xdr:rowOff>3</xdr:rowOff>
              </xdr:to>
            </anchor>
          </commentPr>
        </mc:Choice>
        <mc:Fallback/>
      </mc:AlternateContent>
    </comment>
    <comment ref="A20" authorId="0">
      <text>
        <r>
          <rPr>
            <b val="true"/>
            <sz val="8"/>
            <color rgb="FF000000"/>
            <rFont val="Tahoma"/>
            <family val="0"/>
          </rPr>
          <t xml:space="preserve">MLR: (EBITDA-DD&amp;A) Earnings before interest and taxes.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17</xdr:row>
                <xdr:rowOff>13</xdr:rowOff>
              </xdr:from>
              <xdr:to>
                <xdr:col>1</xdr:col>
                <xdr:colOff>88</xdr:colOff>
                <xdr:row>22</xdr:row>
                <xdr:rowOff>11</xdr:rowOff>
              </xdr:to>
            </anchor>
          </commentPr>
        </mc:Choice>
        <mc:Fallback/>
      </mc:AlternateContent>
    </comment>
    <comment ref="A28" authorId="0">
      <text>
        <r>
          <rPr>
            <b val="true"/>
            <sz val="8"/>
            <color rgb="FF000000"/>
            <rFont val="Tahoma"/>
            <family val="0"/>
          </rPr>
          <t xml:space="preserve">MLR: Net Income + Deferred Taxes + DD&amp;A.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25</xdr:row>
                <xdr:rowOff>13</xdr:rowOff>
              </xdr:from>
              <xdr:to>
                <xdr:col>1</xdr:col>
                <xdr:colOff>88</xdr:colOff>
                <xdr:row>30</xdr:row>
                <xdr:rowOff>4</xdr:rowOff>
              </xdr:to>
            </anchor>
          </commentPr>
        </mc:Choice>
        <mc:Fallback/>
      </mc:AlternateContent>
    </comment>
    <comment ref="A30" authorId="0">
      <text>
        <r>
          <rPr>
            <b val="true"/>
            <sz val="8"/>
            <color rgb="FF000000"/>
            <rFont val="Tahoma"/>
            <family val="0"/>
          </rPr>
          <t xml:space="preserve">MLR: NPV based on this cash stream.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27</xdr:row>
                <xdr:rowOff>16</xdr:rowOff>
              </xdr:from>
              <xdr:to>
                <xdr:col>1</xdr:col>
                <xdr:colOff>88</xdr:colOff>
                <xdr:row>32</xdr:row>
                <xdr:rowOff>13</xdr:rowOff>
              </xdr:to>
            </anchor>
          </commentPr>
        </mc:Choice>
        <mc:Fallback/>
      </mc:AlternateContent>
    </comment>
    <comment ref="H33" authorId="0">
      <text>
        <r>
          <rPr>
            <b val="true"/>
            <sz val="8"/>
            <color rgb="FF000000"/>
            <rFont val="Tahoma"/>
            <family val="0"/>
          </rPr>
          <t xml:space="preserve">MLR: This is the last year of actual data.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74</xdr:colOff>
                <xdr:row>30</xdr:row>
                <xdr:rowOff>14</xdr:rowOff>
              </xdr:from>
              <xdr:to>
                <xdr:col>8</xdr:col>
                <xdr:colOff>92</xdr:colOff>
                <xdr:row>34</xdr:row>
                <xdr:rowOff>8</xdr:rowOff>
              </xdr:to>
            </anchor>
          </commentPr>
        </mc:Choice>
        <mc:Fallback/>
      </mc:AlternateContent>
    </comment>
    <comment ref="H36" authorId="0">
      <text>
        <r>
          <rPr>
            <b val="true"/>
            <sz val="8"/>
            <color rgb="FF000000"/>
            <rFont val="Tahoma"/>
            <family val="0"/>
          </rPr>
          <t xml:space="preserve">MLR: This figure should be compared to the EBITDA Multiple used for salvage value.  They should be close.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75</xdr:colOff>
                <xdr:row>34</xdr:row>
                <xdr:rowOff>3</xdr:rowOff>
              </xdr:from>
              <xdr:to>
                <xdr:col>9</xdr:col>
                <xdr:colOff>29</xdr:colOff>
                <xdr:row>39</xdr:row>
                <xdr:rowOff>13</xdr:rowOff>
              </xdr:to>
            </anchor>
          </commentPr>
        </mc:Choice>
        <mc:Fallback/>
      </mc:AlternateContent>
    </comment>
    <comment ref="L34" authorId="0">
      <text>
        <r>
          <rPr>
            <b val="true"/>
            <sz val="8"/>
            <color rgb="FF000000"/>
            <rFont val="Tahoma"/>
            <family val="0"/>
          </rPr>
          <t xml:space="preserve">MLR: Primary discount rate for calculation.  The NPVs for the other rates are approximations as the purchase price feeds into the Tax Depreciation calculation.  THIS FIGURE IS DEFINED IN ITS MACRO.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53</xdr:colOff>
                <xdr:row>32</xdr:row>
                <xdr:rowOff>1</xdr:rowOff>
              </xdr:from>
              <xdr:to>
                <xdr:col>13</xdr:col>
                <xdr:colOff>79</xdr:colOff>
                <xdr:row>36</xdr:row>
                <xdr:rowOff>1</xdr:rowOff>
              </xdr:to>
            </anchor>
          </commentPr>
        </mc:Choice>
        <mc:Fallback/>
      </mc:AlternateContent>
    </comment>
    <comment ref="R30" authorId="0">
      <text>
        <r>
          <rPr>
            <b val="true"/>
            <sz val="8"/>
            <color rgb="FF000000"/>
            <rFont val="Tahoma"/>
            <family val="0"/>
          </rPr>
          <t xml:space="preserve">MLR: Salvage value of the asset.  The EBITDA multiple can vary.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48</xdr:colOff>
                <xdr:row>27</xdr:row>
                <xdr:rowOff>16</xdr:rowOff>
              </xdr:from>
              <xdr:to>
                <xdr:col>20</xdr:col>
                <xdr:colOff>17</xdr:colOff>
                <xdr:row>32</xdr:row>
                <xdr:rowOff>13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6" authorId="0">
      <text>
        <r>
          <rPr>
            <b val="true"/>
            <sz val="8"/>
            <color rgb="FF000000"/>
            <rFont val="Tahoma"/>
            <family val="0"/>
          </rPr>
          <t xml:space="preserve">MLR: (Rev-Exp) Earnings before interest, tax, depreciation, and amortization.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13</xdr:row>
                <xdr:rowOff>13</xdr:rowOff>
              </xdr:from>
              <xdr:to>
                <xdr:col>2</xdr:col>
                <xdr:colOff>16</xdr:colOff>
                <xdr:row>18</xdr:row>
                <xdr:rowOff>3</xdr:rowOff>
              </xdr:to>
            </anchor>
          </commentPr>
        </mc:Choice>
        <mc:Fallback/>
      </mc:AlternateContent>
    </comment>
    <comment ref="A20" authorId="0">
      <text>
        <r>
          <rPr>
            <b val="true"/>
            <sz val="8"/>
            <color rgb="FF000000"/>
            <rFont val="Tahoma"/>
            <family val="0"/>
          </rPr>
          <t xml:space="preserve">MLR: (EBITDA-DD&amp;A) Earnings before interest and taxes.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17</xdr:row>
                <xdr:rowOff>13</xdr:rowOff>
              </xdr:from>
              <xdr:to>
                <xdr:col>1</xdr:col>
                <xdr:colOff>88</xdr:colOff>
                <xdr:row>22</xdr:row>
                <xdr:rowOff>11</xdr:rowOff>
              </xdr:to>
            </anchor>
          </commentPr>
        </mc:Choice>
        <mc:Fallback/>
      </mc:AlternateContent>
    </comment>
    <comment ref="A28" authorId="0">
      <text>
        <r>
          <rPr>
            <b val="true"/>
            <sz val="8"/>
            <color rgb="FF000000"/>
            <rFont val="Tahoma"/>
            <family val="0"/>
          </rPr>
          <t xml:space="preserve">MLR: Net Income + Deferred Taxes + DD&amp;A.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25</xdr:row>
                <xdr:rowOff>13</xdr:rowOff>
              </xdr:from>
              <xdr:to>
                <xdr:col>1</xdr:col>
                <xdr:colOff>88</xdr:colOff>
                <xdr:row>30</xdr:row>
                <xdr:rowOff>4</xdr:rowOff>
              </xdr:to>
            </anchor>
          </commentPr>
        </mc:Choice>
        <mc:Fallback/>
      </mc:AlternateContent>
    </comment>
    <comment ref="A30" authorId="0">
      <text>
        <r>
          <rPr>
            <b val="true"/>
            <sz val="8"/>
            <color rgb="FF000000"/>
            <rFont val="Tahoma"/>
            <family val="0"/>
          </rPr>
          <t xml:space="preserve">MLR: NPV based on this cash stream.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27</xdr:row>
                <xdr:rowOff>16</xdr:rowOff>
              </xdr:from>
              <xdr:to>
                <xdr:col>1</xdr:col>
                <xdr:colOff>88</xdr:colOff>
                <xdr:row>32</xdr:row>
                <xdr:rowOff>13</xdr:rowOff>
              </xdr:to>
            </anchor>
          </commentPr>
        </mc:Choice>
        <mc:Fallback/>
      </mc:AlternateContent>
    </comment>
    <comment ref="H33" authorId="0">
      <text>
        <r>
          <rPr>
            <b val="true"/>
            <sz val="8"/>
            <color rgb="FF000000"/>
            <rFont val="Tahoma"/>
            <family val="0"/>
          </rPr>
          <t xml:space="preserve">MLR: This is the last year of actual data.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74</xdr:colOff>
                <xdr:row>30</xdr:row>
                <xdr:rowOff>14</xdr:rowOff>
              </xdr:from>
              <xdr:to>
                <xdr:col>8</xdr:col>
                <xdr:colOff>92</xdr:colOff>
                <xdr:row>34</xdr:row>
                <xdr:rowOff>8</xdr:rowOff>
              </xdr:to>
            </anchor>
          </commentPr>
        </mc:Choice>
        <mc:Fallback/>
      </mc:AlternateContent>
    </comment>
    <comment ref="H36" authorId="0">
      <text>
        <r>
          <rPr>
            <b val="true"/>
            <sz val="8"/>
            <color rgb="FF000000"/>
            <rFont val="Tahoma"/>
            <family val="0"/>
          </rPr>
          <t xml:space="preserve">MLR: This figure should be compared to the EBITDA Multiple used for salvage value.  They should be close.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75</xdr:colOff>
                <xdr:row>34</xdr:row>
                <xdr:rowOff>3</xdr:rowOff>
              </xdr:from>
              <xdr:to>
                <xdr:col>9</xdr:col>
                <xdr:colOff>29</xdr:colOff>
                <xdr:row>39</xdr:row>
                <xdr:rowOff>13</xdr:rowOff>
              </xdr:to>
            </anchor>
          </commentPr>
        </mc:Choice>
        <mc:Fallback/>
      </mc:AlternateContent>
    </comment>
    <comment ref="L34" authorId="0">
      <text>
        <r>
          <rPr>
            <b val="true"/>
            <sz val="8"/>
            <color rgb="FF000000"/>
            <rFont val="Tahoma"/>
            <family val="0"/>
          </rPr>
          <t xml:space="preserve">MLR: Primary discount rate for calculation.  The NPVs for the other rates are approximations as the purchase price feeds into the Tax Depreciation calculation.  THIS FIGURE IS DEFINED IN ITS MACRO.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53</xdr:colOff>
                <xdr:row>32</xdr:row>
                <xdr:rowOff>1</xdr:rowOff>
              </xdr:from>
              <xdr:to>
                <xdr:col>13</xdr:col>
                <xdr:colOff>79</xdr:colOff>
                <xdr:row>36</xdr:row>
                <xdr:rowOff>1</xdr:rowOff>
              </xdr:to>
            </anchor>
          </commentPr>
        </mc:Choice>
        <mc:Fallback/>
      </mc:AlternateContent>
    </comment>
    <comment ref="R30" authorId="0">
      <text>
        <r>
          <rPr>
            <b val="true"/>
            <sz val="8"/>
            <color rgb="FF000000"/>
            <rFont val="Tahoma"/>
            <family val="0"/>
          </rPr>
          <t xml:space="preserve">MLR: Salvage value of the asset.  The EBITDA multiple can vary.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48</xdr:colOff>
                <xdr:row>27</xdr:row>
                <xdr:rowOff>16</xdr:rowOff>
              </xdr:from>
              <xdr:to>
                <xdr:col>20</xdr:col>
                <xdr:colOff>17</xdr:colOff>
                <xdr:row>32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<sst xmlns="http://schemas.openxmlformats.org/spreadsheetml/2006/main" count="607" uniqueCount="232">
  <si>
    <t xml:space="preserve">Date:</t>
  </si>
  <si>
    <t xml:space="preserve">Feb.08,2001</t>
  </si>
  <si>
    <t xml:space="preserve">Asset Valuation Model -  </t>
  </si>
  <si>
    <t xml:space="preserve">Developed by </t>
  </si>
  <si>
    <t xml:space="preserve">Michael Ratner</t>
  </si>
  <si>
    <t xml:space="preserve">Ext.58927</t>
  </si>
  <si>
    <t xml:space="preserve">Modified by </t>
  </si>
  <si>
    <t xml:space="preserve">Yuan Tian</t>
  </si>
  <si>
    <t xml:space="preserve">Ext.53579</t>
  </si>
  <si>
    <t xml:space="preserve">Explaination about this model</t>
  </si>
  <si>
    <t xml:space="preserve">Assumptions</t>
  </si>
  <si>
    <t xml:space="preserve">Before the valuation, please determine what will be the main variables that impact the cash flow. Based on historical data</t>
  </si>
  <si>
    <t xml:space="preserve">and specific market research, hard input the values for these variables on the "Assumptions" sheet.  These variables</t>
  </si>
  <si>
    <t xml:space="preserve">might be furthur tested in Sensitivity Analysis by using "Data"- "Table" function in Excel and Risk Analysis by using Crystal Ball.</t>
  </si>
  <si>
    <t xml:space="preserve">Format</t>
  </si>
  <si>
    <t xml:space="preserve">a.</t>
  </si>
  <si>
    <t xml:space="preserve">The assumption cells are in yellow background</t>
  </si>
  <si>
    <t xml:space="preserve">b.</t>
  </si>
  <si>
    <t xml:space="preserve">The forecast cells are in green background</t>
  </si>
  <si>
    <t xml:space="preserve">c.</t>
  </si>
  <si>
    <t xml:space="preserve">The historical data are in gray background</t>
  </si>
  <si>
    <t xml:space="preserve">Unlevered cash flow analysis</t>
  </si>
  <si>
    <t xml:space="preserve">The unlevered cash flow analysis mainly values the assets based on their business risks.  It does not consider the financial </t>
  </si>
  <si>
    <t xml:space="preserve">risks from the financial leverage.  </t>
  </si>
  <si>
    <t xml:space="preserve">If there is more than one asset, input the different asset data in the separate "Asset" sheets, and the "Unlev. Consolid" sheet will</t>
  </si>
  <si>
    <t xml:space="preserve">automatically consolidate the valuation for the whole package of the assets.</t>
  </si>
  <si>
    <t xml:space="preserve">Please pay attention to the "Warning Flag" on these separate "Asset" sheets and the "unlev. Consolid" sheet  </t>
  </si>
  <si>
    <t xml:space="preserve">so that the model gives valid and accurate forecast. </t>
  </si>
  <si>
    <t xml:space="preserve">Levered cash flow analysis</t>
  </si>
  <si>
    <t xml:space="preserve">The levered cash flow analysis considers the costs ( e.g. interest expenses) and benefits ( e.g. tax benefits) from</t>
  </si>
  <si>
    <t xml:space="preserve">financial leverage. </t>
  </si>
  <si>
    <t xml:space="preserve">In this model, it is important that the target capital structure is constant over the life of the assets. For example, if the financial</t>
  </si>
  <si>
    <t xml:space="preserve">leverage rate is 50% of debt financing, the 50% debt financing rate must be maintained over the lift of the </t>
  </si>
  <si>
    <t xml:space="preserve">assets.  To maintain a constant capital structure, the following relationships must be satisfied in the "Lev. Consolid" sheet:</t>
  </si>
  <si>
    <t xml:space="preserve">Pre-Current Debt = Beg. Yr. Debt- Debt Retirement</t>
  </si>
  <si>
    <t xml:space="preserve">Pre-Current Equity = Beg. Yr. Equity + Adj. Net Income - Net Cash Flow</t>
  </si>
  <si>
    <t xml:space="preserve">Pre - Total Capital = Pre-Current Debt + Pre- Current Equity</t>
  </si>
  <si>
    <t xml:space="preserve">End. Yr Debt = Leverage rate* Pre-Total Capital</t>
  </si>
  <si>
    <t xml:space="preserve">End. Yr Equity= (1-Leverage rate) * Pre-Total Capital</t>
  </si>
  <si>
    <t xml:space="preserve">Debt Retirement = End.Yr.Debt- Beg. Yr Debt</t>
  </si>
  <si>
    <t xml:space="preserve">Net Cash Flow = Beg. Yr. Equity -End. Yr.Equity +Adj. Net Income</t>
  </si>
  <si>
    <t xml:space="preserve">(please see the above terms in the "Lev.Consolid"sheet)</t>
  </si>
  <si>
    <t xml:space="preserve">As shown on the above formula, there exits circular relationships between these data. Therefore, a circular reference is intentionally</t>
  </si>
  <si>
    <t xml:space="preserve">created in this model.  When opening the Excel, please go to "Tools"-"Options", Click on "Calculation"tab and check "Iteration" box.</t>
  </si>
  <si>
    <t xml:space="preserve">UPDATED by</t>
  </si>
  <si>
    <t xml:space="preserve">Warning Flag:</t>
  </si>
  <si>
    <t xml:space="preserve">PROJECT LOGISTICS</t>
  </si>
  <si>
    <t xml:space="preserve">Name of project:</t>
  </si>
  <si>
    <t xml:space="preserve">Oneok</t>
  </si>
  <si>
    <t xml:space="preserve">Enron Owner</t>
  </si>
  <si>
    <t xml:space="preserve">ETS</t>
  </si>
  <si>
    <t xml:space="preserve">  Enron Financial Partner</t>
  </si>
  <si>
    <t xml:space="preserve">None</t>
  </si>
  <si>
    <t xml:space="preserve">  Enron % Equity Ownership</t>
  </si>
  <si>
    <t xml:space="preserve">  Financial Partner Return</t>
  </si>
  <si>
    <t xml:space="preserve">Partner(s):</t>
  </si>
  <si>
    <t xml:space="preserve">Partner % Ownership</t>
  </si>
  <si>
    <t xml:space="preserve">Year of Acquisition</t>
  </si>
  <si>
    <t xml:space="preserve">Length of Contract (yrs.)</t>
  </si>
  <si>
    <t xml:space="preserve">Enron Shares Outstanding</t>
  </si>
  <si>
    <t xml:space="preserve">Enron Share Price</t>
  </si>
  <si>
    <t xml:space="preserve">Figures</t>
  </si>
  <si>
    <t xml:space="preserve">US$ '000s</t>
  </si>
  <si>
    <t xml:space="preserve">ECONOMIC ASSUMPTIONS</t>
  </si>
  <si>
    <t xml:space="preserve">Corporate Income Tax</t>
  </si>
  <si>
    <t xml:space="preserve">Book Depreciation (Years)</t>
  </si>
  <si>
    <t xml:space="preserve">Consolidated NPV Core Rate</t>
  </si>
  <si>
    <t xml:space="preserve">Project Premium</t>
  </si>
  <si>
    <t xml:space="preserve">Dividend Tax Rate</t>
  </si>
  <si>
    <t xml:space="preserve">Structured Dividend Tax Rate</t>
  </si>
  <si>
    <t xml:space="preserve">Additional Debt After Tax @</t>
  </si>
  <si>
    <t xml:space="preserve">Cost of 3rd Party Equity</t>
  </si>
  <si>
    <t xml:space="preserve">DEBT</t>
  </si>
  <si>
    <t xml:space="preserve">Financial Leverage Rate</t>
  </si>
  <si>
    <t xml:space="preserve">Interest Rate</t>
  </si>
  <si>
    <t xml:space="preserve">Retirement (Years)</t>
  </si>
  <si>
    <t xml:space="preserve">ASSET ASSUMPTIONS</t>
  </si>
  <si>
    <t xml:space="preserve">Include in Valuation (1=Yes, 0=No)</t>
  </si>
  <si>
    <t xml:space="preserve">Potential Owner</t>
  </si>
  <si>
    <t xml:space="preserve">Salvage Multiple (x EBITDA)</t>
  </si>
  <si>
    <t xml:space="preserve">Revenue Scenario</t>
  </si>
  <si>
    <t xml:space="preserve">Expense Scenario</t>
  </si>
  <si>
    <t xml:space="preserve">NPV Core Rate</t>
  </si>
  <si>
    <t xml:space="preserve">Macros</t>
  </si>
  <si>
    <t xml:space="preserve">% Involvement</t>
  </si>
  <si>
    <t xml:space="preserve">Revenue Scenario Assumption- Scenario Discription</t>
  </si>
  <si>
    <t xml:space="preserve">Asset 1</t>
  </si>
  <si>
    <t xml:space="preserve">Asset 2</t>
  </si>
  <si>
    <t xml:space="preserve">Asset 3</t>
  </si>
  <si>
    <t xml:space="preserve">1. Base Case</t>
  </si>
  <si>
    <t xml:space="preserve">Keep Flat</t>
  </si>
  <si>
    <t xml:space="preserve">2. Optimistic</t>
  </si>
  <si>
    <t xml:space="preserve">Revenues increase by 2% a year</t>
  </si>
  <si>
    <t xml:space="preserve">3. Pessimistic</t>
  </si>
  <si>
    <t xml:space="preserve">Revenues decrease by 1% a year</t>
  </si>
  <si>
    <t xml:space="preserve">Expense Scenario  Assumption - Scenario Discription</t>
  </si>
  <si>
    <t xml:space="preserve">Expenses decrease by 1% a year</t>
  </si>
  <si>
    <t xml:space="preserve">Expenses increase by 1% a year</t>
  </si>
  <si>
    <t xml:space="preserve">Summary</t>
  </si>
  <si>
    <t xml:space="preserve">Unlevered Cash Flow Analysis</t>
  </si>
  <si>
    <t xml:space="preserve">Discounted@</t>
  </si>
  <si>
    <t xml:space="preserve">NPV</t>
  </si>
  <si>
    <t xml:space="preserve">IRR</t>
  </si>
  <si>
    <t xml:space="preserve">Levered Cash Flow Analyais</t>
  </si>
  <si>
    <t xml:space="preserve">Debt Financing @</t>
  </si>
  <si>
    <t xml:space="preserve">Equity NPV</t>
  </si>
  <si>
    <t xml:space="preserve">Levered IRR</t>
  </si>
  <si>
    <t xml:space="preserve">Levered Cash Flow Analysis - Consolidated</t>
  </si>
  <si>
    <t xml:space="preserve">Valuations - Purchase Price</t>
  </si>
  <si>
    <t xml:space="preserve">Unlevered</t>
  </si>
  <si>
    <t xml:space="preserve">Primium</t>
  </si>
  <si>
    <t xml:space="preserve">Equity NPV Value</t>
  </si>
  <si>
    <t xml:space="preserve">Warning Flags:</t>
  </si>
  <si>
    <t xml:space="preserve">Template  Asset</t>
  </si>
  <si>
    <t xml:space="preserve">EOI Offer Price</t>
  </si>
  <si>
    <t xml:space="preserve">Debt Financed</t>
  </si>
  <si>
    <t xml:space="preserve">Equity Financed</t>
  </si>
  <si>
    <t xml:space="preserve">IRR=</t>
  </si>
  <si>
    <t xml:space="preserve">FINANCED WITH EQUITY @</t>
  </si>
  <si>
    <t xml:space="preserve">EBITDA</t>
  </si>
  <si>
    <t xml:space="preserve">   Less DD&amp;A</t>
  </si>
  <si>
    <t xml:space="preserve">   Less/Add Other Income</t>
  </si>
  <si>
    <t xml:space="preserve">EBIT</t>
  </si>
  <si>
    <t xml:space="preserve">   Less Interest Expense</t>
  </si>
  <si>
    <t xml:space="preserve">Pre-Tax Income</t>
  </si>
  <si>
    <t xml:space="preserve">   Less Tax</t>
  </si>
  <si>
    <t xml:space="preserve">NET INCOME</t>
  </si>
  <si>
    <t xml:space="preserve">Dividend Tax</t>
  </si>
  <si>
    <t xml:space="preserve">Adjusted Net Income</t>
  </si>
  <si>
    <t xml:space="preserve">Multiple X</t>
  </si>
  <si>
    <t xml:space="preserve">Return on Equity Invested</t>
  </si>
  <si>
    <r>
      <rPr>
        <b val="true"/>
        <sz val="10"/>
        <rFont val="Arial"/>
        <family val="2"/>
      </rPr>
      <t xml:space="preserve">C</t>
    </r>
    <r>
      <rPr>
        <sz val="10"/>
        <rFont val="Arial"/>
        <family val="0"/>
      </rPr>
      <t xml:space="preserve">ash</t>
    </r>
    <r>
      <rPr>
        <b val="true"/>
        <sz val="10"/>
        <rFont val="Arial"/>
        <family val="2"/>
      </rPr>
      <t xml:space="preserve"> F</t>
    </r>
    <r>
      <rPr>
        <sz val="10"/>
        <rFont val="Arial"/>
        <family val="0"/>
      </rPr>
      <t xml:space="preserve">low </t>
    </r>
    <r>
      <rPr>
        <b val="true"/>
        <sz val="10"/>
        <rFont val="Arial"/>
        <family val="2"/>
      </rPr>
      <t xml:space="preserve">F</t>
    </r>
    <r>
      <rPr>
        <sz val="10"/>
        <rFont val="Arial"/>
        <family val="0"/>
      </rPr>
      <t xml:space="preserve">rom </t>
    </r>
    <r>
      <rPr>
        <b val="true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perations</t>
    </r>
  </si>
  <si>
    <t xml:space="preserve">CAPEX</t>
  </si>
  <si>
    <t xml:space="preserve">Debt Retirement</t>
  </si>
  <si>
    <t xml:space="preserve">Net Cash Flow</t>
  </si>
  <si>
    <t xml:space="preserve">Enron Equity Cash Flow</t>
  </si>
  <si>
    <t xml:space="preserve">Capital Structure Balancing</t>
  </si>
  <si>
    <t xml:space="preserve">Pre-Current Debt</t>
  </si>
  <si>
    <t xml:space="preserve">Pre-Current Equity</t>
  </si>
  <si>
    <t xml:space="preserve">Pre-Total</t>
  </si>
  <si>
    <t xml:space="preserve">Beg. Year Debt</t>
  </si>
  <si>
    <t xml:space="preserve">End Year Debt</t>
  </si>
  <si>
    <t xml:space="preserve">Beg. Year Equity</t>
  </si>
  <si>
    <t xml:space="preserve">End Year Equity</t>
  </si>
  <si>
    <t xml:space="preserve">EBIT/Interest</t>
  </si>
  <si>
    <t xml:space="preserve">EBITDA/Debt Services</t>
  </si>
  <si>
    <t xml:space="preserve">System Check : % Debt Financed</t>
  </si>
  <si>
    <t xml:space="preserve">Sensitivity Analysis on the Financial Leverage Rate</t>
  </si>
  <si>
    <t xml:space="preserve">Equity NPV discounted @</t>
  </si>
  <si>
    <t xml:space="preserve">Leverage</t>
  </si>
  <si>
    <t xml:space="preserve">  Unlevered Cash Flow Analysis -Consolidated</t>
  </si>
  <si>
    <t xml:space="preserve">INCOME STATEMENT ($000)</t>
  </si>
  <si>
    <t xml:space="preserve">Revenues</t>
  </si>
  <si>
    <t xml:space="preserve">1=On, 0=Off</t>
  </si>
  <si>
    <t xml:space="preserve">TOTAL</t>
  </si>
  <si>
    <t xml:space="preserve">Expenses</t>
  </si>
  <si>
    <t xml:space="preserve">  Rev per Exp $</t>
  </si>
  <si>
    <t xml:space="preserve">DD&amp;A</t>
  </si>
  <si>
    <t xml:space="preserve">Other Income</t>
  </si>
  <si>
    <t xml:space="preserve">Current Taxes</t>
  </si>
  <si>
    <t xml:space="preserve">Deferred Taxes</t>
  </si>
  <si>
    <t xml:space="preserve">Cash Flow From Operations</t>
  </si>
  <si>
    <t xml:space="preserve">X</t>
  </si>
  <si>
    <t xml:space="preserve">Multiple of</t>
  </si>
  <si>
    <t xml:space="preserve">CASH FLOW</t>
  </si>
  <si>
    <t xml:space="preserve">Book Depreciation</t>
  </si>
  <si>
    <t xml:space="preserve">  Purchase Price</t>
  </si>
  <si>
    <t xml:space="preserve">  Capital Expenditures</t>
  </si>
  <si>
    <t xml:space="preserve">Tax Depreciation</t>
  </si>
  <si>
    <t xml:space="preserve">Purchase</t>
  </si>
  <si>
    <t xml:space="preserve">Net Present Value</t>
  </si>
  <si>
    <t xml:space="preserve">Price</t>
  </si>
  <si>
    <t xml:space="preserve">Multiple</t>
  </si>
  <si>
    <t xml:space="preserve">Potential Buyer</t>
  </si>
  <si>
    <t xml:space="preserve">Loop</t>
  </si>
  <si>
    <t xml:space="preserve">IRR =</t>
  </si>
  <si>
    <t xml:space="preserve">  T&amp;S - Cash Flow Analysis</t>
  </si>
  <si>
    <t xml:space="preserve">REVENUES</t>
  </si>
  <si>
    <t xml:space="preserve">OPER. EXPENSES</t>
  </si>
  <si>
    <t xml:space="preserve">Potential</t>
  </si>
  <si>
    <t xml:space="preserve">Buyer</t>
  </si>
  <si>
    <t xml:space="preserve">REVENUE PROJECTIONS ($000)</t>
  </si>
  <si>
    <t xml:space="preserve">% Chng Factor</t>
  </si>
  <si>
    <t xml:space="preserve">Choose Case</t>
  </si>
  <si>
    <t xml:space="preserve">Discretionary Adjustment Factor</t>
  </si>
  <si>
    <t xml:space="preserve">1999 Projected</t>
  </si>
  <si>
    <t xml:space="preserve">EXPENSE PROJECTIONS</t>
  </si>
  <si>
    <t xml:space="preserve"> Growth Capital</t>
  </si>
  <si>
    <t xml:space="preserve"> Maintenance Capital</t>
  </si>
  <si>
    <t xml:space="preserve">DEPRECIATION</t>
  </si>
  <si>
    <t xml:space="preserve">  Marketing - Cash Flow Analysis</t>
  </si>
  <si>
    <t xml:space="preserve">  Gath. &amp; Proc. - Cash Flow Analysis</t>
  </si>
  <si>
    <t xml:space="preserve">Other Expense</t>
  </si>
  <si>
    <t xml:space="preserve"> Maintence Capital</t>
  </si>
  <si>
    <t xml:space="preserve">  Production - Cash Flow Analysis</t>
  </si>
  <si>
    <t xml:space="preserve">  Distribution - Cash Flow Analysis</t>
  </si>
  <si>
    <t xml:space="preserve">  Other - Cash Flow Analysis</t>
  </si>
  <si>
    <t xml:space="preserve">Consolidated Balance Sheet</t>
  </si>
  <si>
    <t xml:space="preserve">Elim.</t>
  </si>
  <si>
    <t xml:space="preserve">Pro Forma</t>
  </si>
  <si>
    <t xml:space="preserve">ASSETS</t>
  </si>
  <si>
    <t xml:space="preserve">Current Assets</t>
  </si>
  <si>
    <t xml:space="preserve">  Accounts &amp; Notes Receivable</t>
  </si>
  <si>
    <t xml:space="preserve">    Assoc Co</t>
  </si>
  <si>
    <t xml:space="preserve">    Other</t>
  </si>
  <si>
    <t xml:space="preserve">    Employee</t>
  </si>
  <si>
    <t xml:space="preserve">  Inventories</t>
  </si>
  <si>
    <t xml:space="preserve">  Materials &amp; Supplies</t>
  </si>
  <si>
    <t xml:space="preserve">  Prepayments - other</t>
  </si>
  <si>
    <t xml:space="preserve">  Misc. Other Current Assets</t>
  </si>
  <si>
    <t xml:space="preserve">SUBTOTAL</t>
  </si>
  <si>
    <t xml:space="preserve">Investments and Other Assets</t>
  </si>
  <si>
    <t xml:space="preserve">  PP&amp;E</t>
  </si>
  <si>
    <t xml:space="preserve">  Accum. Dep. - PP&amp;E</t>
  </si>
  <si>
    <t xml:space="preserve">Deferred Charges</t>
  </si>
  <si>
    <t xml:space="preserve">TOTAL Assets</t>
  </si>
  <si>
    <t xml:space="preserve">LIABILITIES &amp; CAPITAL</t>
  </si>
  <si>
    <t xml:space="preserve">Current Liabilities</t>
  </si>
  <si>
    <t xml:space="preserve">  Accounts Payable - Assoc Cos.</t>
  </si>
  <si>
    <t xml:space="preserve">  Accounts Payable - Other</t>
  </si>
  <si>
    <t xml:space="preserve">  Income Taxes Payable</t>
  </si>
  <si>
    <t xml:space="preserve">  Accrued Taxes</t>
  </si>
  <si>
    <t xml:space="preserve">  Deferred Income Taxes - Current</t>
  </si>
  <si>
    <t xml:space="preserve">  Other Misc Liability - Current</t>
  </si>
  <si>
    <t xml:space="preserve">Deferred Credits &amp; Other Liab.</t>
  </si>
  <si>
    <t xml:space="preserve">  Deferred Credits - Other</t>
  </si>
  <si>
    <t xml:space="preserve">  Deferred Income Taxes</t>
  </si>
  <si>
    <t xml:space="preserve">Capital</t>
  </si>
  <si>
    <t xml:space="preserve">  Payable to/(Rec. from) Co 535</t>
  </si>
  <si>
    <t xml:space="preserve">  Payable to/(Rec. from) Corp</t>
  </si>
  <si>
    <t xml:space="preserve">  Capitalization</t>
  </si>
  <si>
    <t xml:space="preserve">TOTAL LIAB. &amp; EQ.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</si>
</sst>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[$-409]m/d/yyyy\ h:mm"/>
    <numFmt numFmtId="166" formatCode="0%"/>
    <numFmt numFmtId="167" formatCode="0.0%"/>
    <numFmt numFmtId="168" formatCode="0.00"/>
    <numFmt numFmtId="169" formatCode="0.00%"/>
    <numFmt numFmtId="170" formatCode="_(* #,##0.00_);_(* \(#,##0.00\);_(* \-??_);_(@_)"/>
    <numFmt numFmtId="171" formatCode="_(* #,##0_);_(* \(#,##0\);_(* \-??_);_(@_)"/>
    <numFmt numFmtId="172" formatCode="0"/>
    <numFmt numFmtId="173" formatCode="0.0"/>
    <numFmt numFmtId="174" formatCode="\$#,##0_);[RED]&quot;($&quot;#,##0\)"/>
    <numFmt numFmtId="175" formatCode="_(\$* #,##0.00_);_(\$* \(#,##0.00\);_(\$* \-??_);_(@_)"/>
    <numFmt numFmtId="176" formatCode="_(\$* #,##0_);_(\$* \(#,##0\);_(\$* \-??_);_(@_)"/>
    <numFmt numFmtId="177" formatCode="_(* #,##0.0_);_(* \(#,##0.0\);_(* \-??_);_(@_)"/>
    <numFmt numFmtId="178" formatCode="0.0000"/>
    <numFmt numFmtId="179" formatCode="_(* #,##0.0000_);_(* \(#,##0.0000\);_(* \-??_);_(@_)"/>
    <numFmt numFmtId="180" formatCode="#,##0"/>
    <numFmt numFmtId="181" formatCode="[$-409]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sz val="9"/>
      <name val="Arial"/>
      <family val="2"/>
    </font>
    <font>
      <i val="true"/>
      <sz val="10"/>
      <name val="Arial"/>
      <family val="2"/>
    </font>
    <font>
      <b val="true"/>
      <sz val="11"/>
      <name val="Arial"/>
      <family val="2"/>
    </font>
    <font>
      <b val="true"/>
      <u val="singl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b val="true"/>
      <i val="true"/>
      <sz val="12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9"/>
      <color rgb="FFFF0000"/>
      <name val="Arial"/>
      <family val="2"/>
    </font>
    <font>
      <u val="single"/>
      <sz val="10"/>
      <name val="Arial"/>
      <family val="2"/>
    </font>
    <font>
      <i val="true"/>
      <sz val="10"/>
      <color rgb="FFFFFFFF"/>
      <name val="Arial"/>
      <family val="2"/>
    </font>
    <font>
      <i val="true"/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rgb="FF3366FF"/>
      <name val="Arial"/>
      <family val="2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  <font>
      <sz val="10"/>
      <color rgb="FF0033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3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3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3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3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3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4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4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6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6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6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1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1" fillId="6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6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6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1" fillId="6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6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6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6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6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6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6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6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3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3" fillId="6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5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3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4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4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4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4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3" fillId="4" borderId="8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4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4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9" fillId="4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4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4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3" fillId="4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4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4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2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4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6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2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1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ont>
        <name val="Arial"/>
        <family val="0"/>
        <color rgb="00FFFFFF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externalLink" Target="externalLinks/externalLink2.xml"/><Relationship Id="rId17" Type="http://schemas.openxmlformats.org/officeDocument/2006/relationships/externalLink" Target="externalLinks/externalLink3.xml"/><Relationship Id="rId18" Type="http://schemas.openxmlformats.org/officeDocument/2006/relationships/externalLink" Target="externalLinks/externalLink4.xml"/><Relationship Id="rId1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20160</xdr:colOff>
      <xdr:row>40</xdr:row>
      <xdr:rowOff>19080</xdr:rowOff>
    </xdr:from>
    <xdr:to>
      <xdr:col>9</xdr:col>
      <xdr:colOff>209880</xdr:colOff>
      <xdr:row>41</xdr:row>
      <xdr:rowOff>142920</xdr:rowOff>
    </xdr:to>
    <xdr:sp>
      <xdr:nvSpPr>
        <xdr:cNvPr id="0" name="Rectangle 21"/>
        <xdr:cNvSpPr/>
      </xdr:nvSpPr>
      <xdr:spPr>
        <a:xfrm>
          <a:off x="8915760" y="7000920"/>
          <a:ext cx="828000" cy="28584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10080</xdr:colOff>
      <xdr:row>43</xdr:row>
      <xdr:rowOff>28440</xdr:rowOff>
    </xdr:from>
    <xdr:to>
      <xdr:col>9</xdr:col>
      <xdr:colOff>230040</xdr:colOff>
      <xdr:row>44</xdr:row>
      <xdr:rowOff>133560</xdr:rowOff>
    </xdr:to>
    <xdr:sp>
      <xdr:nvSpPr>
        <xdr:cNvPr id="1" name="Rectangle 23"/>
        <xdr:cNvSpPr/>
      </xdr:nvSpPr>
      <xdr:spPr>
        <a:xfrm>
          <a:off x="8905680" y="7495920"/>
          <a:ext cx="858240" cy="26712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10080</xdr:colOff>
      <xdr:row>37</xdr:row>
      <xdr:rowOff>18720</xdr:rowOff>
    </xdr:from>
    <xdr:to>
      <xdr:col>9</xdr:col>
      <xdr:colOff>209880</xdr:colOff>
      <xdr:row>38</xdr:row>
      <xdr:rowOff>133560</xdr:rowOff>
    </xdr:to>
    <xdr:sp>
      <xdr:nvSpPr>
        <xdr:cNvPr id="2" name="Rectangle 24"/>
        <xdr:cNvSpPr/>
      </xdr:nvSpPr>
      <xdr:spPr>
        <a:xfrm>
          <a:off x="8905680" y="6514920"/>
          <a:ext cx="838080" cy="27648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452160</xdr:colOff>
          <xdr:row>37</xdr:row>
          <xdr:rowOff>104760</xdr:rowOff>
        </xdr:from>
        <xdr:to>
          <xdr:col>6</xdr:col>
          <xdr:colOff>545760</xdr:colOff>
          <xdr:row>38</xdr:row>
          <xdr:rowOff>142920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462240</xdr:colOff>
          <xdr:row>40</xdr:row>
          <xdr:rowOff>123840</xdr:rowOff>
        </xdr:from>
        <xdr:to>
          <xdr:col>6</xdr:col>
          <xdr:colOff>525960</xdr:colOff>
          <xdr:row>41</xdr:row>
          <xdr:rowOff>152280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441360</xdr:colOff>
          <xdr:row>43</xdr:row>
          <xdr:rowOff>95400</xdr:rowOff>
        </xdr:from>
        <xdr:to>
          <xdr:col>6</xdr:col>
          <xdr:colOff>505080</xdr:colOff>
          <xdr:row>44</xdr:row>
          <xdr:rowOff>133200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675000</xdr:colOff>
          <xdr:row>37</xdr:row>
          <xdr:rowOff>123840</xdr:rowOff>
        </xdr:from>
        <xdr:to>
          <xdr:col>7</xdr:col>
          <xdr:colOff>988560</xdr:colOff>
          <xdr:row>39</xdr:row>
          <xdr:rowOff>18720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654120</xdr:colOff>
          <xdr:row>40</xdr:row>
          <xdr:rowOff>123840</xdr:rowOff>
        </xdr:from>
        <xdr:to>
          <xdr:col>8</xdr:col>
          <xdr:colOff>11880</xdr:colOff>
          <xdr:row>42</xdr:row>
          <xdr:rowOff>9360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604080</xdr:colOff>
          <xdr:row>43</xdr:row>
          <xdr:rowOff>95400</xdr:rowOff>
        </xdr:from>
        <xdr:to>
          <xdr:col>7</xdr:col>
          <xdr:colOff>957240</xdr:colOff>
          <xdr:row>44</xdr:row>
          <xdr:rowOff>152280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8</xdr:col>
      <xdr:colOff>10080</xdr:colOff>
      <xdr:row>46</xdr:row>
      <xdr:rowOff>28440</xdr:rowOff>
    </xdr:from>
    <xdr:to>
      <xdr:col>9</xdr:col>
      <xdr:colOff>230040</xdr:colOff>
      <xdr:row>47</xdr:row>
      <xdr:rowOff>133200</xdr:rowOff>
    </xdr:to>
    <xdr:sp>
      <xdr:nvSpPr>
        <xdr:cNvPr id="3" name="Rectangle 36"/>
        <xdr:cNvSpPr/>
      </xdr:nvSpPr>
      <xdr:spPr>
        <a:xfrm>
          <a:off x="8905680" y="7981920"/>
          <a:ext cx="858240" cy="26676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441360</xdr:colOff>
          <xdr:row>46</xdr:row>
          <xdr:rowOff>95040</xdr:rowOff>
        </xdr:from>
        <xdr:to>
          <xdr:col>6</xdr:col>
          <xdr:colOff>505080</xdr:colOff>
          <xdr:row>47</xdr:row>
          <xdr:rowOff>104400</xdr:rowOff>
        </xdr:to>
        <xdr:sp>
          <xdr:nvSpPr>
            <xdr:cNvPr id="0" name="Drop Down 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604080</xdr:colOff>
          <xdr:row>46</xdr:row>
          <xdr:rowOff>95040</xdr:rowOff>
        </xdr:from>
        <xdr:to>
          <xdr:col>7</xdr:col>
          <xdr:colOff>957240</xdr:colOff>
          <xdr:row>47</xdr:row>
          <xdr:rowOff>123480</xdr:rowOff>
        </xdr:to>
        <xdr:sp>
          <xdr:nvSpPr>
            <xdr:cNvPr id="0" name="Drop Down 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8</xdr:col>
      <xdr:colOff>10080</xdr:colOff>
      <xdr:row>49</xdr:row>
      <xdr:rowOff>28440</xdr:rowOff>
    </xdr:from>
    <xdr:to>
      <xdr:col>9</xdr:col>
      <xdr:colOff>230040</xdr:colOff>
      <xdr:row>50</xdr:row>
      <xdr:rowOff>133560</xdr:rowOff>
    </xdr:to>
    <xdr:sp>
      <xdr:nvSpPr>
        <xdr:cNvPr id="4" name="Rectangle 42"/>
        <xdr:cNvSpPr/>
      </xdr:nvSpPr>
      <xdr:spPr>
        <a:xfrm>
          <a:off x="8905680" y="8467560"/>
          <a:ext cx="858240" cy="26712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441360</xdr:colOff>
          <xdr:row>49</xdr:row>
          <xdr:rowOff>66600</xdr:rowOff>
        </xdr:from>
        <xdr:to>
          <xdr:col>6</xdr:col>
          <xdr:colOff>505080</xdr:colOff>
          <xdr:row>50</xdr:row>
          <xdr:rowOff>104760</xdr:rowOff>
        </xdr:to>
        <xdr:sp>
          <xdr:nvSpPr>
            <xdr:cNvPr id="0" name="Drop Down 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604080</xdr:colOff>
          <xdr:row>49</xdr:row>
          <xdr:rowOff>66600</xdr:rowOff>
        </xdr:from>
        <xdr:to>
          <xdr:col>7</xdr:col>
          <xdr:colOff>957240</xdr:colOff>
          <xdr:row>50</xdr:row>
          <xdr:rowOff>123840</xdr:rowOff>
        </xdr:to>
        <xdr:sp>
          <xdr:nvSpPr>
            <xdr:cNvPr id="0" name="Drop Down 4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8</xdr:col>
      <xdr:colOff>10080</xdr:colOff>
      <xdr:row>52</xdr:row>
      <xdr:rowOff>28800</xdr:rowOff>
    </xdr:from>
    <xdr:to>
      <xdr:col>9</xdr:col>
      <xdr:colOff>230040</xdr:colOff>
      <xdr:row>53</xdr:row>
      <xdr:rowOff>133560</xdr:rowOff>
    </xdr:to>
    <xdr:sp>
      <xdr:nvSpPr>
        <xdr:cNvPr id="5" name="Rectangle 46"/>
        <xdr:cNvSpPr/>
      </xdr:nvSpPr>
      <xdr:spPr>
        <a:xfrm>
          <a:off x="8905680" y="8953560"/>
          <a:ext cx="858240" cy="26676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441360</xdr:colOff>
          <xdr:row>52</xdr:row>
          <xdr:rowOff>66600</xdr:rowOff>
        </xdr:from>
        <xdr:to>
          <xdr:col>6</xdr:col>
          <xdr:colOff>505080</xdr:colOff>
          <xdr:row>53</xdr:row>
          <xdr:rowOff>104400</xdr:rowOff>
        </xdr:to>
        <xdr:sp>
          <xdr:nvSpPr>
            <xdr:cNvPr id="0" name="Drop Down 4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604080</xdr:colOff>
          <xdr:row>52</xdr:row>
          <xdr:rowOff>66600</xdr:rowOff>
        </xdr:from>
        <xdr:to>
          <xdr:col>7</xdr:col>
          <xdr:colOff>957240</xdr:colOff>
          <xdr:row>53</xdr:row>
          <xdr:rowOff>123480</xdr:rowOff>
        </xdr:to>
        <xdr:sp>
          <xdr:nvSpPr>
            <xdr:cNvPr id="0" name="Drop Down 4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694080</xdr:colOff>
      <xdr:row>60</xdr:row>
      <xdr:rowOff>9720</xdr:rowOff>
    </xdr:from>
    <xdr:to>
      <xdr:col>8</xdr:col>
      <xdr:colOff>720</xdr:colOff>
      <xdr:row>64</xdr:row>
      <xdr:rowOff>28800</xdr:rowOff>
    </xdr:to>
    <xdr:sp>
      <xdr:nvSpPr>
        <xdr:cNvPr id="6" name="Oval 159"/>
        <xdr:cNvSpPr/>
      </xdr:nvSpPr>
      <xdr:spPr>
        <a:xfrm>
          <a:off x="6812280" y="10001520"/>
          <a:ext cx="967320" cy="714240"/>
        </a:xfrm>
        <a:prstGeom prst="ellipse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Purchase Price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150840</xdr:colOff>
      <xdr:row>1</xdr:row>
      <xdr:rowOff>9720</xdr:rowOff>
    </xdr:from>
    <xdr:to>
      <xdr:col>3</xdr:col>
      <xdr:colOff>735480</xdr:colOff>
      <xdr:row>3</xdr:row>
      <xdr:rowOff>142560</xdr:rowOff>
    </xdr:to>
    <xdr:sp>
      <xdr:nvSpPr>
        <xdr:cNvPr id="7" name="Rectangle 160"/>
        <xdr:cNvSpPr/>
      </xdr:nvSpPr>
      <xdr:spPr>
        <a:xfrm>
          <a:off x="3521880" y="247680"/>
          <a:ext cx="584640" cy="49500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513000</xdr:colOff>
      <xdr:row>33</xdr:row>
      <xdr:rowOff>19440</xdr:rowOff>
    </xdr:from>
    <xdr:to>
      <xdr:col>5</xdr:col>
      <xdr:colOff>1080</xdr:colOff>
      <xdr:row>37</xdr:row>
      <xdr:rowOff>38160</xdr:rowOff>
    </xdr:to>
    <xdr:sp>
      <xdr:nvSpPr>
        <xdr:cNvPr id="8" name="Oval 13"/>
        <xdr:cNvSpPr/>
      </xdr:nvSpPr>
      <xdr:spPr>
        <a:xfrm>
          <a:off x="4347000" y="5553360"/>
          <a:ext cx="966960" cy="704520"/>
        </a:xfrm>
        <a:prstGeom prst="ellipse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Purchase Price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895680</xdr:colOff>
      <xdr:row>1</xdr:row>
      <xdr:rowOff>29160</xdr:rowOff>
    </xdr:from>
    <xdr:to>
      <xdr:col>4</xdr:col>
      <xdr:colOff>20880</xdr:colOff>
      <xdr:row>3</xdr:row>
      <xdr:rowOff>133200</xdr:rowOff>
    </xdr:to>
    <xdr:sp>
      <xdr:nvSpPr>
        <xdr:cNvPr id="9" name="Rectangle 14"/>
        <xdr:cNvSpPr/>
      </xdr:nvSpPr>
      <xdr:spPr>
        <a:xfrm>
          <a:off x="3824280" y="267120"/>
          <a:ext cx="865800" cy="46620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523800</xdr:colOff>
      <xdr:row>32</xdr:row>
      <xdr:rowOff>47520</xdr:rowOff>
    </xdr:from>
    <xdr:to>
      <xdr:col>5</xdr:col>
      <xdr:colOff>10800</xdr:colOff>
      <xdr:row>36</xdr:row>
      <xdr:rowOff>37800</xdr:rowOff>
    </xdr:to>
    <xdr:sp>
      <xdr:nvSpPr>
        <xdr:cNvPr id="10" name="Oval 11"/>
        <xdr:cNvSpPr/>
      </xdr:nvSpPr>
      <xdr:spPr>
        <a:xfrm>
          <a:off x="4357800" y="5391000"/>
          <a:ext cx="965880" cy="704880"/>
        </a:xfrm>
        <a:prstGeom prst="ellipse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Purchase Price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845280</xdr:colOff>
      <xdr:row>1</xdr:row>
      <xdr:rowOff>29160</xdr:rowOff>
    </xdr:from>
    <xdr:to>
      <xdr:col>3</xdr:col>
      <xdr:colOff>805680</xdr:colOff>
      <xdr:row>3</xdr:row>
      <xdr:rowOff>114480</xdr:rowOff>
    </xdr:to>
    <xdr:sp>
      <xdr:nvSpPr>
        <xdr:cNvPr id="11" name="Rectangle 12"/>
        <xdr:cNvSpPr/>
      </xdr:nvSpPr>
      <xdr:spPr>
        <a:xfrm>
          <a:off x="3773880" y="267120"/>
          <a:ext cx="865800" cy="44748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503280</xdr:colOff>
      <xdr:row>33</xdr:row>
      <xdr:rowOff>9720</xdr:rowOff>
    </xdr:from>
    <xdr:to>
      <xdr:col>4</xdr:col>
      <xdr:colOff>634320</xdr:colOff>
      <xdr:row>37</xdr:row>
      <xdr:rowOff>28440</xdr:rowOff>
    </xdr:to>
    <xdr:sp>
      <xdr:nvSpPr>
        <xdr:cNvPr id="12" name="Oval 12"/>
        <xdr:cNvSpPr/>
      </xdr:nvSpPr>
      <xdr:spPr>
        <a:xfrm>
          <a:off x="4377960" y="5543640"/>
          <a:ext cx="966240" cy="704520"/>
        </a:xfrm>
        <a:prstGeom prst="ellipse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Purchase Price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110880</xdr:colOff>
      <xdr:row>1</xdr:row>
      <xdr:rowOff>9720</xdr:rowOff>
    </xdr:from>
    <xdr:to>
      <xdr:col>4</xdr:col>
      <xdr:colOff>111240</xdr:colOff>
      <xdr:row>3</xdr:row>
      <xdr:rowOff>152640</xdr:rowOff>
    </xdr:to>
    <xdr:sp>
      <xdr:nvSpPr>
        <xdr:cNvPr id="13" name="Rectangle 14"/>
        <xdr:cNvSpPr/>
      </xdr:nvSpPr>
      <xdr:spPr>
        <a:xfrm>
          <a:off x="3985560" y="247680"/>
          <a:ext cx="835560" cy="50508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503280</xdr:colOff>
      <xdr:row>33</xdr:row>
      <xdr:rowOff>9720</xdr:rowOff>
    </xdr:from>
    <xdr:to>
      <xdr:col>4</xdr:col>
      <xdr:colOff>634320</xdr:colOff>
      <xdr:row>37</xdr:row>
      <xdr:rowOff>28440</xdr:rowOff>
    </xdr:to>
    <xdr:sp>
      <xdr:nvSpPr>
        <xdr:cNvPr id="14" name="Oval 11"/>
        <xdr:cNvSpPr/>
      </xdr:nvSpPr>
      <xdr:spPr>
        <a:xfrm>
          <a:off x="4377960" y="5543640"/>
          <a:ext cx="966240" cy="704520"/>
        </a:xfrm>
        <a:prstGeom prst="ellipse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Purchase Price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110880</xdr:colOff>
      <xdr:row>1</xdr:row>
      <xdr:rowOff>9720</xdr:rowOff>
    </xdr:from>
    <xdr:to>
      <xdr:col>4</xdr:col>
      <xdr:colOff>111240</xdr:colOff>
      <xdr:row>3</xdr:row>
      <xdr:rowOff>152640</xdr:rowOff>
    </xdr:to>
    <xdr:sp>
      <xdr:nvSpPr>
        <xdr:cNvPr id="15" name="Rectangle 12"/>
        <xdr:cNvSpPr/>
      </xdr:nvSpPr>
      <xdr:spPr>
        <a:xfrm>
          <a:off x="3985560" y="247680"/>
          <a:ext cx="835560" cy="50508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503280</xdr:colOff>
      <xdr:row>33</xdr:row>
      <xdr:rowOff>9720</xdr:rowOff>
    </xdr:from>
    <xdr:to>
      <xdr:col>4</xdr:col>
      <xdr:colOff>634320</xdr:colOff>
      <xdr:row>37</xdr:row>
      <xdr:rowOff>28440</xdr:rowOff>
    </xdr:to>
    <xdr:sp>
      <xdr:nvSpPr>
        <xdr:cNvPr id="16" name="Oval 9"/>
        <xdr:cNvSpPr/>
      </xdr:nvSpPr>
      <xdr:spPr>
        <a:xfrm>
          <a:off x="4377960" y="5543640"/>
          <a:ext cx="966240" cy="704520"/>
        </a:xfrm>
        <a:prstGeom prst="ellipse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Purchase Price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110880</xdr:colOff>
      <xdr:row>1</xdr:row>
      <xdr:rowOff>9720</xdr:rowOff>
    </xdr:from>
    <xdr:to>
      <xdr:col>4</xdr:col>
      <xdr:colOff>111240</xdr:colOff>
      <xdr:row>3</xdr:row>
      <xdr:rowOff>152640</xdr:rowOff>
    </xdr:to>
    <xdr:sp>
      <xdr:nvSpPr>
        <xdr:cNvPr id="17" name="Rectangle 10"/>
        <xdr:cNvSpPr/>
      </xdr:nvSpPr>
      <xdr:spPr>
        <a:xfrm>
          <a:off x="3985560" y="247680"/>
          <a:ext cx="835560" cy="50508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503280</xdr:colOff>
      <xdr:row>33</xdr:row>
      <xdr:rowOff>9720</xdr:rowOff>
    </xdr:from>
    <xdr:to>
      <xdr:col>4</xdr:col>
      <xdr:colOff>634320</xdr:colOff>
      <xdr:row>37</xdr:row>
      <xdr:rowOff>28440</xdr:rowOff>
    </xdr:to>
    <xdr:sp>
      <xdr:nvSpPr>
        <xdr:cNvPr id="18" name="Oval 9"/>
        <xdr:cNvSpPr/>
      </xdr:nvSpPr>
      <xdr:spPr>
        <a:xfrm>
          <a:off x="4377960" y="5543640"/>
          <a:ext cx="966240" cy="704520"/>
        </a:xfrm>
        <a:prstGeom prst="ellipse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Purchase Price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110880</xdr:colOff>
      <xdr:row>1</xdr:row>
      <xdr:rowOff>9720</xdr:rowOff>
    </xdr:from>
    <xdr:to>
      <xdr:col>4</xdr:col>
      <xdr:colOff>111240</xdr:colOff>
      <xdr:row>3</xdr:row>
      <xdr:rowOff>152640</xdr:rowOff>
    </xdr:to>
    <xdr:sp>
      <xdr:nvSpPr>
        <xdr:cNvPr id="19" name="Rectangle 10"/>
        <xdr:cNvSpPr/>
      </xdr:nvSpPr>
      <xdr:spPr>
        <a:xfrm>
          <a:off x="3985560" y="247680"/>
          <a:ext cx="835560" cy="50508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:/Corporate/GPGFin/Cfp/JG-ADAMS/1999Cash/BusinessUnitCashFlow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LG&amp;E%20061200v2_r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LG&amp;E%20061200v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Lge/PowerTex0110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QTRActivity"/>
      <sheetName val="DecYTD"/>
      <sheetName val="OctYTD"/>
      <sheetName val="SeptYTD"/>
      <sheetName val="JuneYTD"/>
      <sheetName val="MarchYTD"/>
      <sheetName val="AugustYTD"/>
      <sheetName val="SeptYTDAdj"/>
      <sheetName val="Working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ron Ratios"/>
      <sheetName val="RETURNS"/>
      <sheetName val="CONSOLIDATED"/>
      <sheetName val="Cons. BS"/>
      <sheetName val="Enron"/>
      <sheetName val="Storage"/>
      <sheetName val="Reg Trans (311)"/>
      <sheetName val="Power Tex"/>
      <sheetName val="Agave"/>
      <sheetName val="Llano"/>
      <sheetName val="Antelope Ridge"/>
      <sheetName val="Hobbs"/>
      <sheetName val="Orphans"/>
      <sheetName val="Sale Ranch"/>
      <sheetName val="Other"/>
      <sheetName val="Capex"/>
      <sheetName val="LG&amp;E 061200v2_r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nron Ratios"/>
      <sheetName val="RETURNS"/>
      <sheetName val="CONSOLIDATED"/>
      <sheetName val="Cons. BS"/>
      <sheetName val="Enron"/>
      <sheetName val="Storage"/>
      <sheetName val="Reg Trans (311)"/>
      <sheetName val="Power Tex"/>
      <sheetName val="Agave"/>
      <sheetName val="Llano"/>
      <sheetName val="Antelope Ridge"/>
      <sheetName val="Hobbs"/>
      <sheetName val="Orphans"/>
      <sheetName val="Sale Ranch"/>
      <sheetName val="Other"/>
      <sheetName val="Cap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wer Tex"/>
      <sheetName val="levered"/>
      <sheetName val="Balance Shee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6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7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7" min="6" style="1" width="11.99"/>
    <col collapsed="false" customWidth="false" hidden="false" outlineLevel="0" max="257" min="8" style="1" width="9.14"/>
  </cols>
  <sheetData>
    <row r="2" customFormat="false" ht="12.75" hidden="false" customHeight="false" outlineLevel="0" collapsed="false">
      <c r="J2" s="2" t="s">
        <v>0</v>
      </c>
      <c r="K2" s="2" t="s">
        <v>1</v>
      </c>
    </row>
    <row r="3" customFormat="false" ht="18" hidden="false" customHeight="false" outlineLevel="0" collapsed="false">
      <c r="A3" s="3" t="s">
        <v>2</v>
      </c>
      <c r="G3" s="4" t="s">
        <v>3</v>
      </c>
      <c r="H3" s="5" t="s">
        <v>4</v>
      </c>
      <c r="J3" s="1" t="s">
        <v>5</v>
      </c>
    </row>
    <row r="4" customFormat="false" ht="12.75" hidden="false" customHeight="false" outlineLevel="0" collapsed="false">
      <c r="G4" s="4" t="s">
        <v>6</v>
      </c>
      <c r="H4" s="5" t="s">
        <v>7</v>
      </c>
      <c r="J4" s="1" t="s">
        <v>8</v>
      </c>
    </row>
    <row r="9" customFormat="false" ht="15" hidden="false" customHeight="false" outlineLevel="0" collapsed="false">
      <c r="A9" s="6" t="s">
        <v>9</v>
      </c>
    </row>
    <row r="12" customFormat="false" ht="12.75" hidden="false" customHeight="false" outlineLevel="0" collapsed="false">
      <c r="A12" s="2" t="n">
        <v>1</v>
      </c>
      <c r="B12" s="2" t="s">
        <v>10</v>
      </c>
      <c r="C12" s="2"/>
    </row>
    <row r="13" customFormat="false" ht="12.75" hidden="false" customHeight="false" outlineLevel="0" collapsed="false">
      <c r="B13" s="1" t="s">
        <v>11</v>
      </c>
    </row>
    <row r="14" customFormat="false" ht="12.75" hidden="false" customHeight="false" outlineLevel="0" collapsed="false">
      <c r="B14" s="1" t="s">
        <v>12</v>
      </c>
    </row>
    <row r="15" customFormat="false" ht="12.75" hidden="false" customHeight="false" outlineLevel="0" collapsed="false">
      <c r="B15" s="1" t="s">
        <v>13</v>
      </c>
    </row>
    <row r="17" customFormat="false" ht="12.75" hidden="false" customHeight="false" outlineLevel="0" collapsed="false">
      <c r="A17" s="2" t="n">
        <v>2</v>
      </c>
      <c r="B17" s="2" t="s">
        <v>14</v>
      </c>
      <c r="C17" s="2"/>
    </row>
    <row r="18" customFormat="false" ht="12.75" hidden="false" customHeight="false" outlineLevel="0" collapsed="false">
      <c r="A18" s="7" t="s">
        <v>15</v>
      </c>
      <c r="B18" s="1" t="s">
        <v>16</v>
      </c>
    </row>
    <row r="19" customFormat="false" ht="12.75" hidden="false" customHeight="false" outlineLevel="0" collapsed="false">
      <c r="A19" s="7" t="s">
        <v>17</v>
      </c>
      <c r="B19" s="1" t="s">
        <v>18</v>
      </c>
    </row>
    <row r="20" customFormat="false" ht="12.75" hidden="false" customHeight="false" outlineLevel="0" collapsed="false">
      <c r="A20" s="7" t="s">
        <v>19</v>
      </c>
      <c r="B20" s="1" t="s">
        <v>20</v>
      </c>
    </row>
    <row r="23" customFormat="false" ht="12.75" hidden="false" customHeight="false" outlineLevel="0" collapsed="false">
      <c r="A23" s="2" t="n">
        <v>2</v>
      </c>
      <c r="B23" s="2" t="s">
        <v>21</v>
      </c>
      <c r="C23" s="2"/>
    </row>
    <row r="24" customFormat="false" ht="12.75" hidden="false" customHeight="false" outlineLevel="0" collapsed="false">
      <c r="A24" s="7" t="s">
        <v>15</v>
      </c>
      <c r="B24" s="1" t="s">
        <v>22</v>
      </c>
    </row>
    <row r="25" customFormat="false" ht="12.75" hidden="false" customHeight="false" outlineLevel="0" collapsed="false">
      <c r="A25" s="7"/>
      <c r="B25" s="1" t="s">
        <v>23</v>
      </c>
    </row>
    <row r="26" customFormat="false" ht="12.75" hidden="false" customHeight="false" outlineLevel="0" collapsed="false">
      <c r="A26" s="7" t="s">
        <v>17</v>
      </c>
      <c r="B26" s="1" t="s">
        <v>24</v>
      </c>
    </row>
    <row r="27" customFormat="false" ht="12.75" hidden="false" customHeight="false" outlineLevel="0" collapsed="false">
      <c r="A27" s="7"/>
      <c r="B27" s="1" t="s">
        <v>25</v>
      </c>
    </row>
    <row r="28" customFormat="false" ht="12.75" hidden="false" customHeight="false" outlineLevel="0" collapsed="false">
      <c r="A28" s="7" t="s">
        <v>19</v>
      </c>
      <c r="B28" s="1" t="s">
        <v>26</v>
      </c>
    </row>
    <row r="29" customFormat="false" ht="12.75" hidden="false" customHeight="false" outlineLevel="0" collapsed="false">
      <c r="B29" s="1" t="s">
        <v>27</v>
      </c>
    </row>
    <row r="31" customFormat="false" ht="12.75" hidden="false" customHeight="false" outlineLevel="0" collapsed="false">
      <c r="A31" s="2" t="n">
        <v>3</v>
      </c>
      <c r="B31" s="2" t="s">
        <v>28</v>
      </c>
      <c r="C31" s="2"/>
      <c r="D31" s="2"/>
    </row>
    <row r="32" customFormat="false" ht="12.75" hidden="false" customHeight="false" outlineLevel="0" collapsed="false">
      <c r="A32" s="7" t="s">
        <v>15</v>
      </c>
      <c r="B32" s="1" t="s">
        <v>29</v>
      </c>
    </row>
    <row r="33" customFormat="false" ht="12.75" hidden="false" customHeight="false" outlineLevel="0" collapsed="false">
      <c r="A33" s="7"/>
      <c r="B33" s="1" t="s">
        <v>30</v>
      </c>
    </row>
    <row r="34" customFormat="false" ht="12.75" hidden="false" customHeight="false" outlineLevel="0" collapsed="false">
      <c r="A34" s="7" t="s">
        <v>17</v>
      </c>
      <c r="B34" s="1" t="s">
        <v>31</v>
      </c>
    </row>
    <row r="35" customFormat="false" ht="12.75" hidden="false" customHeight="false" outlineLevel="0" collapsed="false">
      <c r="B35" s="1" t="s">
        <v>32</v>
      </c>
    </row>
    <row r="36" customFormat="false" ht="12.75" hidden="false" customHeight="false" outlineLevel="0" collapsed="false">
      <c r="B36" s="1" t="s">
        <v>33</v>
      </c>
    </row>
    <row r="38" customFormat="false" ht="12.75" hidden="false" customHeight="false" outlineLevel="0" collapsed="false">
      <c r="B38" s="1" t="s">
        <v>34</v>
      </c>
    </row>
    <row r="39" customFormat="false" ht="12.75" hidden="false" customHeight="false" outlineLevel="0" collapsed="false">
      <c r="B39" s="1" t="s">
        <v>35</v>
      </c>
    </row>
    <row r="40" customFormat="false" ht="12.75" hidden="false" customHeight="false" outlineLevel="0" collapsed="false">
      <c r="B40" s="1" t="s">
        <v>36</v>
      </c>
    </row>
    <row r="41" customFormat="false" ht="12.75" hidden="false" customHeight="false" outlineLevel="0" collapsed="false">
      <c r="B41" s="1" t="s">
        <v>37</v>
      </c>
    </row>
    <row r="42" customFormat="false" ht="12.75" hidden="false" customHeight="false" outlineLevel="0" collapsed="false">
      <c r="B42" s="1" t="s">
        <v>38</v>
      </c>
    </row>
    <row r="43" customFormat="false" ht="12.75" hidden="false" customHeight="false" outlineLevel="0" collapsed="false">
      <c r="B43" s="1" t="s">
        <v>39</v>
      </c>
    </row>
    <row r="44" customFormat="false" ht="12.75" hidden="false" customHeight="false" outlineLevel="0" collapsed="false">
      <c r="B44" s="1" t="s">
        <v>40</v>
      </c>
    </row>
    <row r="46" customFormat="false" ht="12.75" hidden="false" customHeight="false" outlineLevel="0" collapsed="false">
      <c r="B46" s="1" t="s">
        <v>41</v>
      </c>
    </row>
    <row r="48" customFormat="false" ht="12.75" hidden="false" customHeight="false" outlineLevel="0" collapsed="false">
      <c r="A48" s="7" t="s">
        <v>19</v>
      </c>
      <c r="B48" s="1" t="s">
        <v>42</v>
      </c>
    </row>
    <row r="49" customFormat="false" ht="12.75" hidden="false" customHeight="false" outlineLevel="0" collapsed="false">
      <c r="B49" s="1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"/>
  <sheetViews>
    <sheetView showFormulas="false" showGridLines="true" showRowColHeaders="true" showZeros="true" rightToLeft="false" tabSelected="false" showOutlineSymbols="true" defaultGridColor="true" view="normal" topLeftCell="A34" colorId="64" zoomScale="75" zoomScaleNormal="75" zoomScalePageLayoutView="100" workbookViewId="0">
      <selection pane="topLeft" activeCell="I71" activeCellId="0" sqref="G71:I7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14"/>
    <col collapsed="false" customWidth="true" hidden="false" outlineLevel="0" max="2" min="2" style="0" width="13.99"/>
    <col collapsed="false" customWidth="true" hidden="false" outlineLevel="0" max="3" min="3" style="0" width="12.85"/>
    <col collapsed="false" customWidth="true" hidden="false" outlineLevel="0" max="4" min="4" style="0" width="11.85"/>
    <col collapsed="false" customWidth="true" hidden="false" outlineLevel="0" max="5" min="5" style="27" width="9.14"/>
    <col collapsed="false" customWidth="true" hidden="false" outlineLevel="0" max="6" min="6" style="27" width="12.99"/>
    <col collapsed="false" customWidth="true" hidden="false" outlineLevel="0" max="7" min="7" style="0" width="12.28"/>
    <col collapsed="false" customWidth="true" hidden="false" outlineLevel="0" max="9" min="8" style="0" width="14.14"/>
    <col collapsed="false" customWidth="true" hidden="false" outlineLevel="0" max="11" min="10" style="0" width="12.28"/>
    <col collapsed="false" customWidth="true" hidden="false" outlineLevel="0" max="12" min="12" style="0" width="13.99"/>
    <col collapsed="false" customWidth="true" hidden="false" outlineLevel="0" max="14" min="13" style="0" width="13.41"/>
    <col collapsed="false" customWidth="true" hidden="false" outlineLevel="0" max="17" min="15" style="0" width="12.28"/>
    <col collapsed="false" customWidth="true" hidden="false" outlineLevel="0" max="18" min="18" style="0" width="13.41"/>
  </cols>
  <sheetData>
    <row r="1" customFormat="false" ht="18.75" hidden="false" customHeight="false" outlineLevel="0" collapsed="false">
      <c r="A1" s="155" t="str">
        <f aca="false">Assumptions!D5</f>
        <v>Oneok</v>
      </c>
      <c r="B1" s="21"/>
      <c r="E1" s="264"/>
    </row>
    <row r="2" customFormat="false" ht="15.75" hidden="false" customHeight="false" outlineLevel="0" collapsed="false">
      <c r="A2" s="265" t="s">
        <v>195</v>
      </c>
      <c r="B2" s="266"/>
      <c r="E2" s="36"/>
      <c r="F2" s="267" t="s">
        <v>45</v>
      </c>
      <c r="G2" s="268"/>
      <c r="H2" s="269"/>
      <c r="I2" s="190"/>
      <c r="R2" s="27"/>
    </row>
    <row r="3" customFormat="false" ht="12.75" hidden="false" customHeight="false" outlineLevel="0" collapsed="false">
      <c r="A3" s="270"/>
      <c r="B3" s="266"/>
      <c r="E3" s="36"/>
      <c r="F3" s="271" t="str">
        <f aca="false">IF(Asset5Loop&lt;&gt;0,"Run Macro","")</f>
        <v/>
      </c>
      <c r="G3" s="190"/>
      <c r="H3" s="272"/>
      <c r="I3" s="190"/>
      <c r="R3" s="27"/>
    </row>
    <row r="4" customFormat="false" ht="13.5" hidden="false" customHeight="false" outlineLevel="0" collapsed="false">
      <c r="A4" s="270"/>
      <c r="B4" s="266"/>
      <c r="E4" s="36"/>
      <c r="F4" s="273"/>
      <c r="G4" s="274"/>
      <c r="H4" s="275"/>
      <c r="I4" s="190"/>
      <c r="R4" s="27"/>
    </row>
    <row r="5" customFormat="false" ht="12.75" hidden="false" customHeight="false" outlineLevel="0" collapsed="false">
      <c r="A5" s="270"/>
      <c r="B5" s="266"/>
      <c r="E5" s="36"/>
      <c r="F5" s="344"/>
      <c r="G5" s="190"/>
      <c r="H5" s="190"/>
      <c r="I5" s="190"/>
      <c r="R5" s="27"/>
    </row>
    <row r="6" customFormat="false" ht="12.75" hidden="false" customHeight="false" outlineLevel="0" collapsed="false">
      <c r="A6" s="270"/>
      <c r="B6" s="266"/>
      <c r="E6" s="36"/>
      <c r="G6" s="190"/>
      <c r="H6" s="190"/>
      <c r="I6" s="190"/>
      <c r="R6" s="27"/>
    </row>
    <row r="7" customFormat="false" ht="12.75" hidden="false" customHeight="false" outlineLevel="0" collapsed="false">
      <c r="E7" s="276"/>
      <c r="F7" s="277" t="n">
        <f aca="false">G7-1</f>
        <v>1999</v>
      </c>
      <c r="G7" s="109" t="n">
        <f aca="false">Assumptions!$D$12</f>
        <v>2000</v>
      </c>
      <c r="H7" s="109" t="n">
        <f aca="false">G7+1</f>
        <v>2001</v>
      </c>
      <c r="I7" s="109" t="n">
        <f aca="false">H7+1</f>
        <v>2002</v>
      </c>
      <c r="J7" s="109" t="n">
        <f aca="false">I7+1</f>
        <v>2003</v>
      </c>
      <c r="K7" s="109" t="n">
        <f aca="false">J7+1</f>
        <v>2004</v>
      </c>
      <c r="L7" s="109" t="n">
        <f aca="false">K7+1</f>
        <v>2005</v>
      </c>
      <c r="M7" s="109" t="n">
        <f aca="false">L7+1</f>
        <v>2006</v>
      </c>
      <c r="N7" s="109" t="n">
        <f aca="false">M7+1</f>
        <v>2007</v>
      </c>
      <c r="O7" s="109" t="n">
        <f aca="false">N7+1</f>
        <v>2008</v>
      </c>
      <c r="P7" s="109" t="n">
        <f aca="false">O7+1</f>
        <v>2009</v>
      </c>
      <c r="Q7" s="109" t="n">
        <f aca="false">P7+1</f>
        <v>2010</v>
      </c>
      <c r="R7" s="27"/>
    </row>
    <row r="8" customFormat="false" ht="12.75" hidden="false" customHeight="false" outlineLevel="0" collapsed="false">
      <c r="A8" s="45" t="s">
        <v>151</v>
      </c>
      <c r="E8" s="36"/>
      <c r="F8" s="278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27"/>
    </row>
    <row r="9" customFormat="false" ht="12.75" hidden="false" customHeight="false" outlineLevel="0" collapsed="false">
      <c r="E9" s="36"/>
      <c r="F9" s="278"/>
      <c r="H9" s="32"/>
      <c r="I9" s="32"/>
      <c r="J9" s="32"/>
      <c r="K9" s="32"/>
      <c r="L9" s="32"/>
      <c r="M9" s="32"/>
      <c r="N9" s="32"/>
      <c r="O9" s="32"/>
      <c r="P9" s="32"/>
      <c r="Q9" s="32"/>
      <c r="R9" s="27"/>
    </row>
    <row r="10" customFormat="false" ht="12.75" hidden="false" customHeight="false" outlineLevel="0" collapsed="false">
      <c r="D10" s="279"/>
      <c r="E10" s="36"/>
      <c r="F10" s="278"/>
      <c r="G10" s="232" t="str">
        <f aca="false">IF(C43=1,A46,IF(C43=2,A51,A54))</f>
        <v>1. Base Case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27"/>
    </row>
    <row r="11" customFormat="false" ht="12.75" hidden="false" customHeight="false" outlineLevel="0" collapsed="false">
      <c r="A11" s="280" t="s">
        <v>177</v>
      </c>
      <c r="B11" s="281"/>
      <c r="C11" s="282"/>
      <c r="D11" s="282"/>
      <c r="E11" s="283"/>
      <c r="F11" s="278" t="n">
        <f aca="false">F43</f>
        <v>404384</v>
      </c>
      <c r="G11" s="32" t="n">
        <f aca="false">G43</f>
        <v>404384</v>
      </c>
      <c r="H11" s="32" t="n">
        <f aca="false">H43</f>
        <v>404384</v>
      </c>
      <c r="I11" s="32" t="n">
        <f aca="false">I43</f>
        <v>404384</v>
      </c>
      <c r="J11" s="32" t="n">
        <f aca="false">J43</f>
        <v>404384</v>
      </c>
      <c r="K11" s="32" t="n">
        <f aca="false">K43</f>
        <v>404384</v>
      </c>
      <c r="L11" s="32" t="n">
        <f aca="false">L43</f>
        <v>404384</v>
      </c>
      <c r="M11" s="32" t="n">
        <f aca="false">M43</f>
        <v>404384</v>
      </c>
      <c r="N11" s="32" t="n">
        <f aca="false">N43</f>
        <v>404384</v>
      </c>
      <c r="O11" s="32" t="n">
        <f aca="false">O43</f>
        <v>404384</v>
      </c>
      <c r="P11" s="32" t="n">
        <f aca="false">P43</f>
        <v>404384</v>
      </c>
      <c r="Q11" s="32" t="n">
        <f aca="false">Q43</f>
        <v>404384</v>
      </c>
      <c r="R11" s="27"/>
    </row>
    <row r="12" customFormat="false" ht="12.75" hidden="false" customHeight="false" outlineLevel="0" collapsed="false">
      <c r="E12" s="36"/>
      <c r="F12" s="284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27"/>
    </row>
    <row r="13" customFormat="false" ht="12.75" hidden="false" customHeight="false" outlineLevel="0" collapsed="false">
      <c r="D13" s="279"/>
      <c r="E13" s="285"/>
      <c r="F13" s="278"/>
      <c r="G13" s="232" t="str">
        <f aca="false">IF(C60=1,A63,IF(C60=2,A68,A71))</f>
        <v>1. Base Case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27"/>
    </row>
    <row r="14" customFormat="false" ht="12.75" hidden="false" customHeight="false" outlineLevel="0" collapsed="false">
      <c r="A14" s="21" t="s">
        <v>178</v>
      </c>
      <c r="B14" s="286"/>
      <c r="C14" s="21"/>
      <c r="D14" s="282"/>
      <c r="E14" s="287"/>
      <c r="F14" s="278" t="n">
        <f aca="false">F60</f>
        <v>230868</v>
      </c>
      <c r="G14" s="32" t="n">
        <f aca="false">G60</f>
        <v>230868</v>
      </c>
      <c r="H14" s="32" t="n">
        <f aca="false">H60</f>
        <v>230868</v>
      </c>
      <c r="I14" s="32" t="n">
        <f aca="false">I60</f>
        <v>230868</v>
      </c>
      <c r="J14" s="32" t="n">
        <f aca="false">J60</f>
        <v>230868</v>
      </c>
      <c r="K14" s="32" t="n">
        <f aca="false">K60</f>
        <v>230868</v>
      </c>
      <c r="L14" s="32" t="n">
        <f aca="false">L60</f>
        <v>230868</v>
      </c>
      <c r="M14" s="32" t="n">
        <f aca="false">M60</f>
        <v>230868</v>
      </c>
      <c r="N14" s="32" t="n">
        <f aca="false">N60</f>
        <v>230868</v>
      </c>
      <c r="O14" s="32" t="n">
        <f aca="false">O60</f>
        <v>230868</v>
      </c>
      <c r="P14" s="32" t="n">
        <f aca="false">P60</f>
        <v>230868</v>
      </c>
      <c r="Q14" s="32" t="n">
        <f aca="false">Q60</f>
        <v>230868</v>
      </c>
      <c r="R14" s="27"/>
    </row>
    <row r="15" customFormat="false" ht="12.75" hidden="false" customHeight="false" outlineLevel="0" collapsed="false">
      <c r="A15" s="12" t="s">
        <v>156</v>
      </c>
      <c r="B15" s="12"/>
      <c r="C15" s="12"/>
      <c r="D15" s="192"/>
      <c r="E15" s="288"/>
      <c r="F15" s="289" t="n">
        <f aca="false">F11/F14</f>
        <v>1.75158099000295</v>
      </c>
      <c r="G15" s="195" t="n">
        <f aca="false">G11/G14</f>
        <v>1.75158099000295</v>
      </c>
      <c r="H15" s="195" t="n">
        <f aca="false">H11/H14</f>
        <v>1.75158099000295</v>
      </c>
      <c r="I15" s="195" t="n">
        <f aca="false">I11/I14</f>
        <v>1.75158099000295</v>
      </c>
      <c r="J15" s="195" t="n">
        <f aca="false">J11/J14</f>
        <v>1.75158099000295</v>
      </c>
      <c r="K15" s="195" t="n">
        <f aca="false">K11/K14</f>
        <v>1.75158099000295</v>
      </c>
      <c r="L15" s="195" t="n">
        <f aca="false">L11/L14</f>
        <v>1.75158099000295</v>
      </c>
      <c r="M15" s="195" t="n">
        <f aca="false">M11/M14</f>
        <v>1.75158099000295</v>
      </c>
      <c r="N15" s="195" t="n">
        <f aca="false">N11/N14</f>
        <v>1.75158099000295</v>
      </c>
      <c r="O15" s="195" t="n">
        <f aca="false">O11/O14</f>
        <v>1.75158099000295</v>
      </c>
      <c r="P15" s="195" t="n">
        <f aca="false">P11/P14</f>
        <v>1.75158099000295</v>
      </c>
      <c r="Q15" s="195" t="n">
        <f aca="false">Q11/Q14</f>
        <v>1.75158099000295</v>
      </c>
      <c r="R15" s="27"/>
    </row>
    <row r="16" customFormat="false" ht="12.75" hidden="false" customHeight="false" outlineLevel="0" collapsed="false">
      <c r="A16" s="113" t="s">
        <v>119</v>
      </c>
      <c r="B16" s="114"/>
      <c r="C16" s="114"/>
      <c r="D16" s="114"/>
      <c r="E16" s="290"/>
      <c r="F16" s="291" t="n">
        <f aca="false">(F11-F14)</f>
        <v>173516</v>
      </c>
      <c r="G16" s="115" t="n">
        <f aca="false">(G11-G14)</f>
        <v>173516</v>
      </c>
      <c r="H16" s="115" t="n">
        <f aca="false">(H11-H14)</f>
        <v>173516</v>
      </c>
      <c r="I16" s="115" t="n">
        <f aca="false">(I11-I14)</f>
        <v>173516</v>
      </c>
      <c r="J16" s="115" t="n">
        <f aca="false">(J11-J14)</f>
        <v>173516</v>
      </c>
      <c r="K16" s="115" t="n">
        <f aca="false">(K11-K14)</f>
        <v>173516</v>
      </c>
      <c r="L16" s="115" t="n">
        <f aca="false">(L11-L14)</f>
        <v>173516</v>
      </c>
      <c r="M16" s="115" t="n">
        <f aca="false">(M11-M14)</f>
        <v>173516</v>
      </c>
      <c r="N16" s="115" t="n">
        <f aca="false">(N11-N14)</f>
        <v>173516</v>
      </c>
      <c r="O16" s="115" t="n">
        <f aca="false">(O11-O14)</f>
        <v>173516</v>
      </c>
      <c r="P16" s="115" t="n">
        <f aca="false">(P11-P14)</f>
        <v>173516</v>
      </c>
      <c r="Q16" s="117" t="n">
        <f aca="false">(Q11-Q14)</f>
        <v>173516</v>
      </c>
      <c r="R16" s="27"/>
    </row>
    <row r="17" customFormat="false" ht="12.75" hidden="false" customHeight="false" outlineLevel="0" collapsed="false">
      <c r="E17" s="36"/>
      <c r="F17" s="278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27"/>
    </row>
    <row r="18" customFormat="false" ht="12.75" hidden="false" customHeight="false" outlineLevel="0" collapsed="false">
      <c r="A18" s="0" t="s">
        <v>157</v>
      </c>
      <c r="B18" s="201"/>
      <c r="E18" s="36"/>
      <c r="F18" s="278" t="n">
        <v>0</v>
      </c>
      <c r="G18" s="120" t="n">
        <f aca="false">G83</f>
        <v>24654.4336360973</v>
      </c>
      <c r="H18" s="120" t="n">
        <f aca="false">H83</f>
        <v>29588.6836360973</v>
      </c>
      <c r="I18" s="120" t="n">
        <f aca="false">I83</f>
        <v>34522.9336360973</v>
      </c>
      <c r="J18" s="120" t="n">
        <f aca="false">J83</f>
        <v>39457.1836360973</v>
      </c>
      <c r="K18" s="120" t="n">
        <f aca="false">K83</f>
        <v>44391.4336360973</v>
      </c>
      <c r="L18" s="120" t="n">
        <f aca="false">L83</f>
        <v>49325.6836360973</v>
      </c>
      <c r="M18" s="120" t="n">
        <f aca="false">M83</f>
        <v>54259.9336360973</v>
      </c>
      <c r="N18" s="120" t="n">
        <f aca="false">N83</f>
        <v>59194.1836360973</v>
      </c>
      <c r="O18" s="120" t="n">
        <f aca="false">O83</f>
        <v>64128.4336360973</v>
      </c>
      <c r="P18" s="120" t="n">
        <f aca="false">P83</f>
        <v>69062.6836360973</v>
      </c>
      <c r="Q18" s="120" t="n">
        <f aca="false">Q83</f>
        <v>73996.9336360973</v>
      </c>
      <c r="R18" s="27"/>
    </row>
    <row r="19" customFormat="false" ht="12.75" hidden="false" customHeight="false" outlineLevel="0" collapsed="false">
      <c r="E19" s="36"/>
      <c r="F19" s="278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7"/>
    </row>
    <row r="20" customFormat="false" ht="12.75" hidden="false" customHeight="false" outlineLevel="0" collapsed="false">
      <c r="A20" s="113" t="s">
        <v>122</v>
      </c>
      <c r="B20" s="114"/>
      <c r="C20" s="114"/>
      <c r="D20" s="114"/>
      <c r="E20" s="290"/>
      <c r="F20" s="291" t="n">
        <f aca="false">F16-F18</f>
        <v>173516</v>
      </c>
      <c r="G20" s="115" t="n">
        <f aca="false">G16-G18</f>
        <v>148861.566363903</v>
      </c>
      <c r="H20" s="115" t="n">
        <f aca="false">H16-H18</f>
        <v>143927.316363903</v>
      </c>
      <c r="I20" s="115" t="n">
        <f aca="false">I16-I18</f>
        <v>138993.066363903</v>
      </c>
      <c r="J20" s="115" t="n">
        <f aca="false">J16-J18</f>
        <v>134058.816363903</v>
      </c>
      <c r="K20" s="115" t="n">
        <f aca="false">K16-K18</f>
        <v>129124.566363903</v>
      </c>
      <c r="L20" s="115" t="n">
        <f aca="false">L16-L18</f>
        <v>124190.316363903</v>
      </c>
      <c r="M20" s="115" t="n">
        <f aca="false">M16-M18</f>
        <v>119256.066363903</v>
      </c>
      <c r="N20" s="115" t="n">
        <f aca="false">N16-N18</f>
        <v>114321.816363903</v>
      </c>
      <c r="O20" s="115" t="n">
        <f aca="false">O16-O18</f>
        <v>109387.566363903</v>
      </c>
      <c r="P20" s="115" t="n">
        <f aca="false">P16-P18</f>
        <v>104453.316363903</v>
      </c>
      <c r="Q20" s="117" t="n">
        <f aca="false">Q16-Q18</f>
        <v>99519.0663639027</v>
      </c>
      <c r="R20" s="27"/>
    </row>
    <row r="21" customFormat="false" ht="12.75" hidden="false" customHeight="false" outlineLevel="0" collapsed="false">
      <c r="E21" s="36"/>
      <c r="F21" s="278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27"/>
    </row>
    <row r="22" customFormat="false" ht="12.75" hidden="false" customHeight="false" outlineLevel="0" collapsed="false">
      <c r="A22" s="32" t="s">
        <v>159</v>
      </c>
      <c r="E22" s="216"/>
      <c r="F22" s="278"/>
      <c r="G22" s="32" t="n">
        <f aca="false">$B$24*(G16-G88)</f>
        <v>57311.7030501025</v>
      </c>
      <c r="H22" s="32" t="n">
        <f aca="false">$B$24*(H16-H88)</f>
        <v>46869.2555451948</v>
      </c>
      <c r="I22" s="32" t="n">
        <f aca="false">$B$24*(I16-I88)</f>
        <v>45063.3234906753</v>
      </c>
      <c r="J22" s="32" t="n">
        <f aca="false">$B$24*(J16-J88)</f>
        <v>43428.4926846579</v>
      </c>
      <c r="K22" s="32" t="n">
        <f aca="false">$B$24*(K16-K88)</f>
        <v>41964.7372299421</v>
      </c>
      <c r="L22" s="32" t="n">
        <f aca="false">$B$24*(L16-L88)</f>
        <v>40660.6460604277</v>
      </c>
      <c r="M22" s="32" t="n">
        <f aca="false">$B$24*(M16-M88)</f>
        <v>38920.106151621</v>
      </c>
      <c r="N22" s="32" t="n">
        <f aca="false">$B$24*(N16-N88)</f>
        <v>36678.476376621</v>
      </c>
      <c r="O22" s="32" t="n">
        <f aca="false">$B$24*(O16-O88)</f>
        <v>34417.8626877212</v>
      </c>
      <c r="P22" s="32" t="n">
        <f aca="false">$B$24*(P16-P88)</f>
        <v>32191.417454121</v>
      </c>
      <c r="Q22" s="32" t="n">
        <f aca="false">$B$24*(Q16-Q88)</f>
        <v>29930.8037652212</v>
      </c>
      <c r="R22" s="27"/>
    </row>
    <row r="23" customFormat="false" ht="15" hidden="false" customHeight="false" outlineLevel="0" collapsed="false">
      <c r="A23" s="32" t="s">
        <v>160</v>
      </c>
      <c r="E23" s="292"/>
      <c r="F23" s="293"/>
      <c r="G23" s="116" t="n">
        <f aca="false">G24-G22</f>
        <v>0</v>
      </c>
      <c r="H23" s="116" t="n">
        <f aca="false">H24-H22</f>
        <v>8542.76125490772</v>
      </c>
      <c r="I23" s="116" t="n">
        <f aca="false">I24-I22</f>
        <v>8449.0070594272</v>
      </c>
      <c r="J23" s="116" t="n">
        <f aca="false">J24-J22</f>
        <v>8184.15161544464</v>
      </c>
      <c r="K23" s="116" t="n">
        <f aca="false">K24-K22</f>
        <v>7748.22082016043</v>
      </c>
      <c r="L23" s="116" t="n">
        <f aca="false">L24-L22</f>
        <v>7152.62573967478</v>
      </c>
      <c r="M23" s="116" t="n">
        <f aca="false">M24-M22</f>
        <v>6993.47939848154</v>
      </c>
      <c r="N23" s="116" t="n">
        <f aca="false">N24-N22</f>
        <v>7335.42292348154</v>
      </c>
      <c r="O23" s="116" t="n">
        <f aca="false">O24-O22</f>
        <v>7696.35036238135</v>
      </c>
      <c r="P23" s="116" t="n">
        <f aca="false">P24-P22</f>
        <v>8023.10934598155</v>
      </c>
      <c r="Q23" s="116" t="n">
        <f aca="false">Q24-Q22</f>
        <v>8384.03678488134</v>
      </c>
      <c r="R23" s="27"/>
    </row>
    <row r="24" customFormat="false" ht="12.75" hidden="false" customHeight="false" outlineLevel="0" collapsed="false">
      <c r="A24" s="209" t="s">
        <v>154</v>
      </c>
      <c r="B24" s="294" t="n">
        <f aca="false">Assumptions!D19</f>
        <v>0.385</v>
      </c>
      <c r="E24" s="216"/>
      <c r="F24" s="278" t="n">
        <v>0</v>
      </c>
      <c r="G24" s="32" t="n">
        <f aca="false">$B$24*G20</f>
        <v>57311.7030501025</v>
      </c>
      <c r="H24" s="32" t="n">
        <f aca="false">$B$24*H20</f>
        <v>55412.0168001025</v>
      </c>
      <c r="I24" s="32" t="n">
        <f aca="false">$B$24*I20</f>
        <v>53512.3305501025</v>
      </c>
      <c r="J24" s="32" t="n">
        <f aca="false">$B$24*J20</f>
        <v>51612.6443001025</v>
      </c>
      <c r="K24" s="32" t="n">
        <f aca="false">$B$24*K20</f>
        <v>49712.9580501025</v>
      </c>
      <c r="L24" s="32" t="n">
        <f aca="false">$B$24*L20</f>
        <v>47813.2718001025</v>
      </c>
      <c r="M24" s="32" t="n">
        <f aca="false">$B$24*M20</f>
        <v>45913.5855501025</v>
      </c>
      <c r="N24" s="32" t="n">
        <f aca="false">$B$24*N20</f>
        <v>44013.8993001025</v>
      </c>
      <c r="O24" s="32" t="n">
        <f aca="false">$B$24*O20</f>
        <v>42114.2130501025</v>
      </c>
      <c r="P24" s="32" t="n">
        <f aca="false">$B$24*P20</f>
        <v>40214.5268001025</v>
      </c>
      <c r="Q24" s="32" t="n">
        <f aca="false">$B$24*Q20</f>
        <v>38314.8405501025</v>
      </c>
      <c r="R24" s="27"/>
    </row>
    <row r="25" customFormat="false" ht="12.75" hidden="false" customHeight="false" outlineLevel="0" collapsed="false">
      <c r="A25" s="32"/>
      <c r="B25" s="54"/>
      <c r="E25" s="36"/>
      <c r="F25" s="278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27"/>
    </row>
    <row r="26" customFormat="false" ht="12.75" hidden="false" customHeight="false" outlineLevel="0" collapsed="false">
      <c r="A26" s="295" t="s">
        <v>126</v>
      </c>
      <c r="B26" s="124"/>
      <c r="C26" s="114"/>
      <c r="D26" s="114"/>
      <c r="E26" s="296"/>
      <c r="F26" s="291" t="n">
        <f aca="false">F20-F24</f>
        <v>173516</v>
      </c>
      <c r="G26" s="115" t="n">
        <f aca="false">G20-G24</f>
        <v>91549.8633138002</v>
      </c>
      <c r="H26" s="115" t="n">
        <f aca="false">H20-H24</f>
        <v>88515.2995638001</v>
      </c>
      <c r="I26" s="115" t="n">
        <f aca="false">I20-I24</f>
        <v>85480.7358138001</v>
      </c>
      <c r="J26" s="115" t="n">
        <f aca="false">J20-J24</f>
        <v>82446.1720638001</v>
      </c>
      <c r="K26" s="115" t="n">
        <f aca="false">K20-K24</f>
        <v>79411.6083138001</v>
      </c>
      <c r="L26" s="115" t="n">
        <f aca="false">L20-L24</f>
        <v>76377.0445638002</v>
      </c>
      <c r="M26" s="115" t="n">
        <f aca="false">M20-M24</f>
        <v>73342.4808138002</v>
      </c>
      <c r="N26" s="115" t="n">
        <f aca="false">N20-N24</f>
        <v>70307.9170638002</v>
      </c>
      <c r="O26" s="115" t="n">
        <f aca="false">O20-O24</f>
        <v>67273.3533138002</v>
      </c>
      <c r="P26" s="115" t="n">
        <f aca="false">P20-P24</f>
        <v>64238.7895638001</v>
      </c>
      <c r="Q26" s="117" t="n">
        <f aca="false">Q20-Q24</f>
        <v>61204.2258138001</v>
      </c>
      <c r="R26" s="217" t="s">
        <v>119</v>
      </c>
    </row>
    <row r="27" customFormat="false" ht="12.75" hidden="false" customHeight="false" outlineLevel="0" collapsed="false">
      <c r="A27" s="32"/>
      <c r="B27" s="54"/>
      <c r="E27" s="36"/>
      <c r="F27" s="278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217" t="s">
        <v>162</v>
      </c>
    </row>
    <row r="28" customFormat="false" ht="12.75" hidden="false" customHeight="false" outlineLevel="0" collapsed="false">
      <c r="A28" s="32" t="s">
        <v>161</v>
      </c>
      <c r="B28" s="54"/>
      <c r="E28" s="36"/>
      <c r="F28" s="278" t="n">
        <f aca="false">F26+F23+F18</f>
        <v>173516</v>
      </c>
      <c r="G28" s="32" t="n">
        <f aca="false">G26+G23+G18</f>
        <v>116204.296949897</v>
      </c>
      <c r="H28" s="32" t="n">
        <f aca="false">H26+H23+H18</f>
        <v>126646.744454805</v>
      </c>
      <c r="I28" s="32" t="n">
        <f aca="false">I26+I23+I18</f>
        <v>128452.676509325</v>
      </c>
      <c r="J28" s="32" t="n">
        <f aca="false">J26+J23+J18</f>
        <v>130087.507315342</v>
      </c>
      <c r="K28" s="32" t="n">
        <f aca="false">K26+K23+K18</f>
        <v>131551.262770058</v>
      </c>
      <c r="L28" s="32" t="n">
        <f aca="false">L26+L23+L18</f>
        <v>132855.353939572</v>
      </c>
      <c r="M28" s="32" t="n">
        <f aca="false">M26+M23+M18</f>
        <v>134595.893848379</v>
      </c>
      <c r="N28" s="32" t="n">
        <f aca="false">N26+N23+N18</f>
        <v>136837.523623379</v>
      </c>
      <c r="O28" s="32" t="n">
        <f aca="false">O26+O23+O18</f>
        <v>139098.137312279</v>
      </c>
      <c r="P28" s="32" t="n">
        <f aca="false">P26+P23+P18</f>
        <v>141324.582545879</v>
      </c>
      <c r="Q28" s="32" t="n">
        <f aca="false">Q26+Q23+Q18</f>
        <v>143585.196234779</v>
      </c>
      <c r="R28" s="217" t="s">
        <v>163</v>
      </c>
    </row>
    <row r="29" customFormat="false" ht="12.75" hidden="false" customHeight="false" outlineLevel="0" collapsed="false">
      <c r="A29" s="32" t="s">
        <v>132</v>
      </c>
      <c r="B29" s="297" t="n">
        <f aca="false">Assumptions!C50</f>
        <v>1</v>
      </c>
      <c r="E29" s="36"/>
      <c r="F29" s="278" t="n">
        <f aca="false">F77</f>
        <v>98685</v>
      </c>
      <c r="G29" s="32" t="n">
        <f aca="false">G77</f>
        <v>98685</v>
      </c>
      <c r="H29" s="32" t="n">
        <f aca="false">H77</f>
        <v>98685</v>
      </c>
      <c r="I29" s="32" t="n">
        <f aca="false">I77</f>
        <v>98685</v>
      </c>
      <c r="J29" s="32" t="n">
        <f aca="false">J77</f>
        <v>98685</v>
      </c>
      <c r="K29" s="32" t="n">
        <f aca="false">K77</f>
        <v>98685</v>
      </c>
      <c r="L29" s="32" t="n">
        <f aca="false">L77</f>
        <v>98685</v>
      </c>
      <c r="M29" s="32" t="n">
        <f aca="false">M77</f>
        <v>98685</v>
      </c>
      <c r="N29" s="32" t="n">
        <f aca="false">N77</f>
        <v>98685</v>
      </c>
      <c r="O29" s="32" t="n">
        <f aca="false">O77</f>
        <v>98685</v>
      </c>
      <c r="P29" s="32" t="n">
        <f aca="false">P77</f>
        <v>98685</v>
      </c>
      <c r="Q29" s="32" t="n">
        <f aca="false">Q77</f>
        <v>98685</v>
      </c>
      <c r="R29" s="345" t="n">
        <f aca="false">Assumptions!E49</f>
        <v>5</v>
      </c>
    </row>
    <row r="30" customFormat="false" ht="12.75" hidden="false" customHeight="false" outlineLevel="0" collapsed="false">
      <c r="A30" s="299" t="s">
        <v>164</v>
      </c>
      <c r="B30" s="114"/>
      <c r="C30" s="114"/>
      <c r="D30" s="114"/>
      <c r="E30" s="290"/>
      <c r="F30" s="291" t="n">
        <f aca="false">F28-F29</f>
        <v>74831</v>
      </c>
      <c r="G30" s="115" t="n">
        <f aca="false">G28-G29</f>
        <v>17519.2969498975</v>
      </c>
      <c r="H30" s="115" t="n">
        <f aca="false">H28-H29</f>
        <v>27961.7444548052</v>
      </c>
      <c r="I30" s="115" t="n">
        <f aca="false">I28-I29</f>
        <v>29767.6765093247</v>
      </c>
      <c r="J30" s="115" t="n">
        <f aca="false">J28-J29</f>
        <v>31402.5073153421</v>
      </c>
      <c r="K30" s="115" t="n">
        <f aca="false">K28-K29</f>
        <v>32866.2627700579</v>
      </c>
      <c r="L30" s="115" t="n">
        <f aca="false">L28-L29</f>
        <v>34170.3539395723</v>
      </c>
      <c r="M30" s="115" t="n">
        <f aca="false">M28-M29</f>
        <v>35910.893848379</v>
      </c>
      <c r="N30" s="115" t="n">
        <f aca="false">N28-N29</f>
        <v>38152.523623379</v>
      </c>
      <c r="O30" s="115" t="n">
        <f aca="false">O28-O29</f>
        <v>40413.1373122788</v>
      </c>
      <c r="P30" s="115" t="n">
        <f aca="false">P28-P29</f>
        <v>42639.582545879</v>
      </c>
      <c r="Q30" s="115" t="n">
        <f aca="false">Q28-Q29</f>
        <v>44900.1962347788</v>
      </c>
      <c r="R30" s="117" t="n">
        <f aca="false">Q16*R29</f>
        <v>867580</v>
      </c>
    </row>
    <row r="31" customFormat="false" ht="12.75" hidden="false" customHeight="false" outlineLevel="0" collapsed="false">
      <c r="A31" s="209"/>
      <c r="E31" s="36"/>
      <c r="F31" s="278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</row>
    <row r="32" customFormat="false" ht="13.5" hidden="false" customHeight="false" outlineLevel="0" collapsed="false">
      <c r="R32" s="32"/>
    </row>
    <row r="33" customFormat="false" ht="15" hidden="false" customHeight="false" outlineLevel="0" collapsed="false">
      <c r="F33" s="0"/>
      <c r="G33" s="301" t="s">
        <v>169</v>
      </c>
      <c r="H33" s="302" t="str">
        <f aca="false">(Assumptions!D12-1&amp;" EBITDA")</f>
        <v>1999 EBITDA</v>
      </c>
      <c r="I33" s="302" t="s">
        <v>179</v>
      </c>
      <c r="J33" s="303"/>
      <c r="K33" s="304" t="s">
        <v>170</v>
      </c>
      <c r="L33" s="304"/>
      <c r="M33" s="304"/>
      <c r="P33" s="32"/>
      <c r="Q33" s="32"/>
      <c r="R33" s="32"/>
    </row>
    <row r="34" customFormat="false" ht="15" hidden="false" customHeight="false" outlineLevel="0" collapsed="false">
      <c r="F34" s="0"/>
      <c r="G34" s="305" t="s">
        <v>171</v>
      </c>
      <c r="H34" s="306" t="s">
        <v>172</v>
      </c>
      <c r="I34" s="306" t="s">
        <v>180</v>
      </c>
      <c r="J34" s="307"/>
      <c r="K34" s="308" t="n">
        <f aca="false">Asset5DRate-0.025</f>
        <v>0.1</v>
      </c>
      <c r="L34" s="308" t="n">
        <f aca="false">Assumptions!H43</f>
        <v>0.125</v>
      </c>
      <c r="M34" s="309" t="n">
        <f aca="false">Asset5DRate+0.025</f>
        <v>0.15</v>
      </c>
      <c r="P34" s="32"/>
      <c r="Q34" s="32"/>
      <c r="R34" s="32"/>
    </row>
    <row r="35" customFormat="false" ht="12.75" hidden="false" customHeight="false" outlineLevel="0" collapsed="false">
      <c r="F35" s="52" t="s">
        <v>174</v>
      </c>
      <c r="G35" s="248"/>
      <c r="H35" s="310"/>
      <c r="I35" s="310"/>
      <c r="J35" s="249"/>
      <c r="K35" s="249"/>
      <c r="L35" s="249"/>
      <c r="M35" s="251"/>
      <c r="P35" s="32"/>
      <c r="Q35" s="32"/>
      <c r="R35" s="32"/>
    </row>
    <row r="36" customFormat="false" ht="13.5" hidden="false" customHeight="false" outlineLevel="0" collapsed="false">
      <c r="F36" s="0" t="n">
        <f aca="false">IF(ABS(G36-L36)&lt;0.05,0,1)</f>
        <v>0</v>
      </c>
      <c r="G36" s="311" t="n">
        <v>394403.672721947</v>
      </c>
      <c r="H36" s="312" t="n">
        <f aca="false">G36/F16</f>
        <v>2.27301040089644</v>
      </c>
      <c r="I36" s="313" t="str">
        <f aca="false">Assumptions!D40</f>
        <v>ETS</v>
      </c>
      <c r="J36" s="314"/>
      <c r="K36" s="342" t="n">
        <f aca="false">NPV(K34,$G$30:$R$30)</f>
        <v>484524.272076654</v>
      </c>
      <c r="L36" s="343" t="n">
        <f aca="false">NPV(L34,$G$30:$R$30)</f>
        <v>394403.689156692</v>
      </c>
      <c r="M36" s="257" t="n">
        <f aca="false">NPV(M34,$G$30:$R$30)</f>
        <v>324825.661029414</v>
      </c>
      <c r="P36" s="32"/>
      <c r="Q36" s="32"/>
      <c r="R36" s="32"/>
    </row>
    <row r="37" customFormat="false" ht="12.75" hidden="false" customHeight="false" outlineLevel="0" collapsed="false">
      <c r="F37" s="0"/>
      <c r="G37" s="32"/>
      <c r="H37" s="318"/>
      <c r="I37" s="318"/>
      <c r="J37" s="32"/>
      <c r="K37" s="32"/>
      <c r="L37" s="32"/>
      <c r="M37" s="32"/>
      <c r="P37" s="32"/>
      <c r="Q37" s="32"/>
      <c r="R37" s="32"/>
    </row>
    <row r="38" customFormat="false" ht="12.75" hidden="false" customHeight="false" outlineLevel="0" collapsed="false">
      <c r="F38" s="32"/>
      <c r="G38" s="32"/>
      <c r="H38" s="32"/>
      <c r="I38" s="32"/>
      <c r="J38" s="32"/>
      <c r="K38" s="32"/>
      <c r="L38" s="32"/>
      <c r="N38" s="32"/>
      <c r="O38" s="32"/>
      <c r="P38" s="32"/>
      <c r="Q38" s="32"/>
    </row>
    <row r="39" customFormat="false" ht="12.75" hidden="false" customHeight="false" outlineLevel="0" collapsed="false">
      <c r="E39" s="32"/>
      <c r="F39" s="32"/>
      <c r="G39" s="32"/>
      <c r="I39" s="27"/>
      <c r="J39" s="27"/>
      <c r="K39" s="27"/>
      <c r="L39" s="27"/>
      <c r="M39" s="27"/>
      <c r="N39" s="27"/>
      <c r="O39" s="27"/>
      <c r="P39" s="27"/>
      <c r="Q39" s="27"/>
    </row>
    <row r="40" customFormat="false" ht="12.75" hidden="false" customHeight="false" outlineLevel="0" collapsed="false">
      <c r="E40" s="32"/>
      <c r="F40" s="32"/>
      <c r="G40" s="32"/>
      <c r="H40" s="32"/>
      <c r="I40" s="27"/>
      <c r="J40" s="27"/>
      <c r="K40" s="27"/>
      <c r="L40" s="27"/>
      <c r="M40" s="27"/>
      <c r="N40" s="27"/>
      <c r="O40" s="27"/>
      <c r="P40" s="27"/>
      <c r="Q40" s="27"/>
    </row>
    <row r="41" customFormat="false" ht="13.5" hidden="false" customHeight="false" outlineLevel="0" collapsed="false">
      <c r="A41" s="13" t="s">
        <v>181</v>
      </c>
    </row>
    <row r="42" customFormat="false" ht="13.5" hidden="false" customHeight="false" outlineLevel="0" collapsed="false">
      <c r="B42" s="319" t="s">
        <v>182</v>
      </c>
      <c r="C42" s="320" t="s">
        <v>183</v>
      </c>
      <c r="F42" s="321" t="n">
        <f aca="false">G42-1</f>
        <v>1999</v>
      </c>
      <c r="G42" s="13" t="n">
        <f aca="false">Assumptions!D12</f>
        <v>2000</v>
      </c>
      <c r="H42" s="13" t="n">
        <f aca="false">G42+1</f>
        <v>2001</v>
      </c>
      <c r="I42" s="13" t="n">
        <f aca="false">H42+1</f>
        <v>2002</v>
      </c>
      <c r="J42" s="13" t="n">
        <f aca="false">I42+1</f>
        <v>2003</v>
      </c>
      <c r="K42" s="13" t="n">
        <f aca="false">J42+1</f>
        <v>2004</v>
      </c>
      <c r="L42" s="13" t="n">
        <f aca="false">K42+1</f>
        <v>2005</v>
      </c>
      <c r="M42" s="13" t="n">
        <f aca="false">L42+1</f>
        <v>2006</v>
      </c>
      <c r="N42" s="13" t="n">
        <f aca="false">M42+1</f>
        <v>2007</v>
      </c>
      <c r="O42" s="13" t="n">
        <f aca="false">N42+1</f>
        <v>2008</v>
      </c>
      <c r="P42" s="13" t="n">
        <f aca="false">O42+1</f>
        <v>2009</v>
      </c>
      <c r="Q42" s="13" t="n">
        <f aca="false">P42+1</f>
        <v>2010</v>
      </c>
    </row>
    <row r="43" customFormat="false" ht="13.5" hidden="false" customHeight="false" outlineLevel="0" collapsed="false">
      <c r="A43" s="322" t="str">
        <f aca="false">A2</f>
        <v>  Distribution - Cash Flow Analysis</v>
      </c>
      <c r="B43" s="323" t="n">
        <f aca="false">Assumptions!C50</f>
        <v>1</v>
      </c>
      <c r="C43" s="324" t="n">
        <v>1</v>
      </c>
      <c r="D43" s="114"/>
      <c r="E43" s="325"/>
      <c r="F43" s="291" t="n">
        <f aca="false">F48*$B$43</f>
        <v>404384</v>
      </c>
      <c r="G43" s="115" t="n">
        <f aca="false">CHOOSE($C$43,G48,G51,G54)*$B$43+G44</f>
        <v>404384</v>
      </c>
      <c r="H43" s="115" t="n">
        <f aca="false">CHOOSE($C$43,H48,H51,H54)*$B$43+H44</f>
        <v>404384</v>
      </c>
      <c r="I43" s="115" t="n">
        <f aca="false">CHOOSE($C$43,I48,I51,I54)*$B$43+I44</f>
        <v>404384</v>
      </c>
      <c r="J43" s="115" t="n">
        <f aca="false">CHOOSE($C$43,J48,J51,J54)*$B$43+J44</f>
        <v>404384</v>
      </c>
      <c r="K43" s="115" t="n">
        <f aca="false">CHOOSE($C$43,K48,K51,K54)*$B$43+K44</f>
        <v>404384</v>
      </c>
      <c r="L43" s="115" t="n">
        <f aca="false">CHOOSE($C$43,L48,L51,L54)*$B$43+L44</f>
        <v>404384</v>
      </c>
      <c r="M43" s="115" t="n">
        <f aca="false">CHOOSE($C$43,M48,M51,M54)*$B$43+M44</f>
        <v>404384</v>
      </c>
      <c r="N43" s="115" t="n">
        <f aca="false">CHOOSE($C$43,N48,N51,N54)*$B$43+N44</f>
        <v>404384</v>
      </c>
      <c r="O43" s="115" t="n">
        <f aca="false">CHOOSE($C$43,O48,O51,O54)*$B$43+O44</f>
        <v>404384</v>
      </c>
      <c r="P43" s="115" t="n">
        <f aca="false">CHOOSE($C$43,P48,P51,P54)*$B$43+P44</f>
        <v>404384</v>
      </c>
      <c r="Q43" s="117" t="n">
        <f aca="false">CHOOSE($C$43,Q48,Q51,Q54)*$B$43+Q44</f>
        <v>404384</v>
      </c>
    </row>
    <row r="44" customFormat="false" ht="12.75" hidden="false" customHeight="false" outlineLevel="0" collapsed="false">
      <c r="C44" s="326"/>
      <c r="F44" s="284" t="s">
        <v>184</v>
      </c>
      <c r="G44" s="32" t="n">
        <v>0</v>
      </c>
      <c r="H44" s="32" t="n">
        <v>0</v>
      </c>
      <c r="I44" s="32" t="n">
        <v>0</v>
      </c>
      <c r="J44" s="32" t="n">
        <v>0</v>
      </c>
      <c r="K44" s="32" t="n">
        <v>0</v>
      </c>
      <c r="L44" s="32" t="n">
        <v>0</v>
      </c>
      <c r="M44" s="32" t="n">
        <v>0</v>
      </c>
      <c r="N44" s="32" t="n">
        <v>0</v>
      </c>
      <c r="O44" s="32" t="n">
        <v>0</v>
      </c>
      <c r="P44" s="32" t="n">
        <v>0</v>
      </c>
      <c r="Q44" s="32" t="n">
        <v>0</v>
      </c>
    </row>
    <row r="45" customFormat="false" ht="12.75" hidden="false" customHeight="false" outlineLevel="0" collapsed="false">
      <c r="C45" s="327"/>
      <c r="D45" s="279"/>
      <c r="F45" s="209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customFormat="false" ht="12.75" hidden="false" customHeight="false" outlineLevel="0" collapsed="false">
      <c r="A46" s="12" t="str">
        <f aca="false">Assumptions!B58</f>
        <v>1. Base Case</v>
      </c>
      <c r="C46" s="327" t="n">
        <v>1</v>
      </c>
    </row>
    <row r="47" customFormat="false" ht="15" hidden="false" customHeight="false" outlineLevel="0" collapsed="false">
      <c r="A47" s="0" t="s">
        <v>185</v>
      </c>
      <c r="C47" s="327"/>
      <c r="D47" s="328"/>
      <c r="E47" s="36"/>
      <c r="F47" s="293" t="n">
        <v>404384</v>
      </c>
      <c r="G47" s="116" t="n">
        <f aca="false">F47</f>
        <v>404384</v>
      </c>
      <c r="H47" s="116" t="n">
        <f aca="false">G47</f>
        <v>404384</v>
      </c>
      <c r="I47" s="116" t="n">
        <f aca="false">H47</f>
        <v>404384</v>
      </c>
      <c r="J47" s="116" t="n">
        <f aca="false">I47</f>
        <v>404384</v>
      </c>
      <c r="K47" s="116" t="n">
        <f aca="false">J47</f>
        <v>404384</v>
      </c>
      <c r="L47" s="116" t="n">
        <f aca="false">K47</f>
        <v>404384</v>
      </c>
      <c r="M47" s="116" t="n">
        <f aca="false">L47</f>
        <v>404384</v>
      </c>
      <c r="N47" s="116" t="n">
        <f aca="false">M47</f>
        <v>404384</v>
      </c>
      <c r="O47" s="116" t="n">
        <f aca="false">N47</f>
        <v>404384</v>
      </c>
      <c r="P47" s="116" t="n">
        <f aca="false">O47</f>
        <v>404384</v>
      </c>
      <c r="Q47" s="116" t="n">
        <f aca="false">P47</f>
        <v>404384</v>
      </c>
    </row>
    <row r="48" customFormat="false" ht="12.75" hidden="false" customHeight="false" outlineLevel="0" collapsed="false">
      <c r="A48" s="190" t="s">
        <v>154</v>
      </c>
      <c r="B48" s="329" t="n">
        <v>1</v>
      </c>
      <c r="C48" s="327"/>
      <c r="D48" s="282"/>
      <c r="E48" s="283"/>
      <c r="F48" s="278" t="n">
        <f aca="false">SUM(F47)*$B$48</f>
        <v>404384</v>
      </c>
      <c r="G48" s="32" t="n">
        <f aca="false">SUM(G47)*$B$48+G49</f>
        <v>404384</v>
      </c>
      <c r="H48" s="32" t="n">
        <f aca="false">SUM(H47)*$B$48+H49</f>
        <v>404384</v>
      </c>
      <c r="I48" s="32" t="n">
        <f aca="false">SUM(I47)*$B$48+I49</f>
        <v>404384</v>
      </c>
      <c r="J48" s="32" t="n">
        <f aca="false">SUM(J47)*$B$48+J49</f>
        <v>404384</v>
      </c>
      <c r="K48" s="32" t="n">
        <f aca="false">SUM(K47)*$B$48+K49</f>
        <v>404384</v>
      </c>
      <c r="L48" s="32" t="n">
        <f aca="false">SUM(L47)*$B$48+L49</f>
        <v>404384</v>
      </c>
      <c r="M48" s="32" t="n">
        <f aca="false">SUM(M47)*$B$48+M49</f>
        <v>404384</v>
      </c>
      <c r="N48" s="32" t="n">
        <f aca="false">SUM(N47)*$B$48+N49</f>
        <v>404384</v>
      </c>
      <c r="O48" s="32" t="n">
        <f aca="false">SUM(O47)*$B$48+O49</f>
        <v>404384</v>
      </c>
      <c r="P48" s="32" t="n">
        <f aca="false">SUM(P47)*$B$48+P49</f>
        <v>404384</v>
      </c>
      <c r="Q48" s="32" t="n">
        <f aca="false">SUM(Q47)*$B$48+Q49</f>
        <v>404384</v>
      </c>
    </row>
    <row r="49" customFormat="false" ht="12.75" hidden="false" customHeight="false" outlineLevel="0" collapsed="false">
      <c r="C49" s="327"/>
      <c r="F49" s="284" t="s">
        <v>184</v>
      </c>
      <c r="G49" s="32" t="n">
        <v>0</v>
      </c>
      <c r="H49" s="32" t="n">
        <v>0</v>
      </c>
      <c r="I49" s="32" t="n">
        <f aca="false">H49</f>
        <v>0</v>
      </c>
      <c r="J49" s="32" t="n">
        <f aca="false">I49</f>
        <v>0</v>
      </c>
      <c r="K49" s="32" t="n">
        <f aca="false">J49</f>
        <v>0</v>
      </c>
      <c r="L49" s="32" t="n">
        <f aca="false">K49</f>
        <v>0</v>
      </c>
      <c r="M49" s="32" t="n">
        <f aca="false">L49</f>
        <v>0</v>
      </c>
      <c r="N49" s="32" t="n">
        <f aca="false">M49</f>
        <v>0</v>
      </c>
      <c r="O49" s="32" t="n">
        <f aca="false">N49</f>
        <v>0</v>
      </c>
      <c r="P49" s="32" t="n">
        <f aca="false">O49</f>
        <v>0</v>
      </c>
      <c r="Q49" s="32" t="n">
        <f aca="false">P49</f>
        <v>0</v>
      </c>
    </row>
    <row r="50" customFormat="false" ht="12.75" hidden="false" customHeight="false" outlineLevel="0" collapsed="false">
      <c r="C50" s="327"/>
    </row>
    <row r="51" customFormat="false" ht="12.75" hidden="false" customHeight="false" outlineLevel="0" collapsed="false">
      <c r="A51" s="12" t="str">
        <f aca="false">Assumptions!B59</f>
        <v>2. Optimistic</v>
      </c>
      <c r="B51" s="329" t="n">
        <v>1.02</v>
      </c>
      <c r="C51" s="327" t="n">
        <v>2</v>
      </c>
      <c r="D51" s="282"/>
      <c r="F51" s="278" t="n">
        <f aca="false">F48</f>
        <v>404384</v>
      </c>
      <c r="G51" s="133" t="n">
        <f aca="false">F51*$B$51+G52</f>
        <v>412471.68</v>
      </c>
      <c r="H51" s="133" t="n">
        <f aca="false">G51*$B$51+H52</f>
        <v>420721.1136</v>
      </c>
      <c r="I51" s="133" t="n">
        <f aca="false">H51*$B$51+I52</f>
        <v>429135.535872</v>
      </c>
      <c r="J51" s="133" t="n">
        <f aca="false">I51*$B$51+J52</f>
        <v>437718.24658944</v>
      </c>
      <c r="K51" s="133" t="n">
        <f aca="false">J51*$B$51+K52</f>
        <v>446472.611521229</v>
      </c>
      <c r="L51" s="133" t="n">
        <f aca="false">K51*$B$51+L52</f>
        <v>455402.063751653</v>
      </c>
      <c r="M51" s="133" t="n">
        <f aca="false">L51*$B$51+M52</f>
        <v>464510.105026686</v>
      </c>
      <c r="N51" s="133" t="n">
        <f aca="false">M51*$B$51+N52</f>
        <v>473800.30712722</v>
      </c>
      <c r="O51" s="133" t="n">
        <f aca="false">N51*$B$51+O52</f>
        <v>483276.313269765</v>
      </c>
      <c r="P51" s="133" t="n">
        <f aca="false">O51*$B$51+P52</f>
        <v>492941.83953516</v>
      </c>
      <c r="Q51" s="133" t="n">
        <f aca="false">P51*$B$51+Q52</f>
        <v>502800.676325863</v>
      </c>
    </row>
    <row r="52" customFormat="false" ht="12.75" hidden="false" customHeight="false" outlineLevel="0" collapsed="false">
      <c r="A52" s="12"/>
      <c r="C52" s="327"/>
      <c r="F52" s="284" t="s">
        <v>184</v>
      </c>
      <c r="G52" s="32" t="n">
        <v>0</v>
      </c>
      <c r="H52" s="32" t="n">
        <v>0</v>
      </c>
      <c r="I52" s="32" t="n">
        <f aca="false">H52</f>
        <v>0</v>
      </c>
      <c r="J52" s="32" t="n">
        <f aca="false">I52</f>
        <v>0</v>
      </c>
      <c r="K52" s="32" t="n">
        <f aca="false">J52</f>
        <v>0</v>
      </c>
      <c r="L52" s="32" t="n">
        <f aca="false">K52</f>
        <v>0</v>
      </c>
      <c r="M52" s="32" t="n">
        <f aca="false">L52</f>
        <v>0</v>
      </c>
      <c r="N52" s="32" t="n">
        <f aca="false">M52</f>
        <v>0</v>
      </c>
      <c r="O52" s="32" t="n">
        <f aca="false">N52</f>
        <v>0</v>
      </c>
      <c r="P52" s="32" t="n">
        <f aca="false">O52</f>
        <v>0</v>
      </c>
      <c r="Q52" s="32" t="n">
        <f aca="false">P52</f>
        <v>0</v>
      </c>
    </row>
    <row r="53" customFormat="false" ht="12.75" hidden="false" customHeight="false" outlineLevel="0" collapsed="false">
      <c r="A53" s="12"/>
      <c r="C53" s="327"/>
    </row>
    <row r="54" customFormat="false" ht="12.75" hidden="false" customHeight="false" outlineLevel="0" collapsed="false">
      <c r="A54" s="12" t="str">
        <f aca="false">Assumptions!B60</f>
        <v>3. Pessimistic</v>
      </c>
      <c r="B54" s="329" t="n">
        <v>0.99</v>
      </c>
      <c r="C54" s="327" t="n">
        <v>3</v>
      </c>
      <c r="D54" s="282"/>
      <c r="F54" s="278" t="n">
        <f aca="false">F48</f>
        <v>404384</v>
      </c>
      <c r="G54" s="133" t="n">
        <f aca="false">F54*$B$54+G55</f>
        <v>400340.16</v>
      </c>
      <c r="H54" s="133" t="n">
        <f aca="false">G54*$B$54+H55</f>
        <v>396336.7584</v>
      </c>
      <c r="I54" s="133" t="n">
        <f aca="false">H54*$B$54+I55</f>
        <v>392373.390816</v>
      </c>
      <c r="J54" s="133" t="n">
        <f aca="false">I54*$B$54+J55</f>
        <v>388449.65690784</v>
      </c>
      <c r="K54" s="133" t="n">
        <f aca="false">J54*$B$54+K55</f>
        <v>384565.160338762</v>
      </c>
      <c r="L54" s="133" t="n">
        <f aca="false">K54*$B$54+L55</f>
        <v>380719.508735374</v>
      </c>
      <c r="M54" s="133" t="n">
        <f aca="false">L54*$B$54+M55</f>
        <v>376912.31364802</v>
      </c>
      <c r="N54" s="133" t="n">
        <f aca="false">M54*$B$54+N55</f>
        <v>373143.19051154</v>
      </c>
      <c r="O54" s="133" t="n">
        <f aca="false">N54*$B$54+O55</f>
        <v>369411.758606425</v>
      </c>
      <c r="P54" s="133" t="n">
        <f aca="false">O54*$B$54+P55</f>
        <v>365717.64102036</v>
      </c>
      <c r="Q54" s="133" t="n">
        <f aca="false">P54*$B$54+Q55</f>
        <v>362060.464610157</v>
      </c>
    </row>
    <row r="55" customFormat="false" ht="13.5" hidden="false" customHeight="false" outlineLevel="0" collapsed="false">
      <c r="C55" s="330"/>
      <c r="F55" s="284" t="s">
        <v>184</v>
      </c>
      <c r="G55" s="32" t="n">
        <v>0</v>
      </c>
      <c r="H55" s="32" t="n">
        <v>0</v>
      </c>
      <c r="I55" s="32" t="n">
        <f aca="false">H55</f>
        <v>0</v>
      </c>
      <c r="J55" s="32" t="n">
        <f aca="false">I55</f>
        <v>0</v>
      </c>
      <c r="K55" s="32" t="n">
        <f aca="false">J55</f>
        <v>0</v>
      </c>
      <c r="L55" s="32" t="n">
        <f aca="false">K55</f>
        <v>0</v>
      </c>
      <c r="M55" s="32" t="n">
        <f aca="false">L55</f>
        <v>0</v>
      </c>
      <c r="N55" s="32" t="n">
        <f aca="false">M55</f>
        <v>0</v>
      </c>
      <c r="O55" s="32" t="n">
        <f aca="false">N55</f>
        <v>0</v>
      </c>
      <c r="P55" s="32" t="n">
        <f aca="false">O55</f>
        <v>0</v>
      </c>
      <c r="Q55" s="32" t="n">
        <f aca="false">P55</f>
        <v>0</v>
      </c>
    </row>
    <row r="58" customFormat="false" ht="13.5" hidden="false" customHeight="false" outlineLevel="0" collapsed="false">
      <c r="A58" s="13" t="s">
        <v>186</v>
      </c>
    </row>
    <row r="59" customFormat="false" ht="13.5" hidden="false" customHeight="false" outlineLevel="0" collapsed="false">
      <c r="B59" s="319" t="s">
        <v>182</v>
      </c>
      <c r="C59" s="320" t="s">
        <v>183</v>
      </c>
      <c r="F59" s="321" t="n">
        <f aca="false">G59-1</f>
        <v>1999</v>
      </c>
      <c r="G59" s="13" t="n">
        <f aca="false">Assumptions!D12</f>
        <v>2000</v>
      </c>
      <c r="H59" s="13" t="n">
        <f aca="false">G59+1</f>
        <v>2001</v>
      </c>
      <c r="I59" s="13" t="n">
        <f aca="false">H59+1</f>
        <v>2002</v>
      </c>
      <c r="J59" s="13" t="n">
        <f aca="false">I59+1</f>
        <v>2003</v>
      </c>
      <c r="K59" s="13" t="n">
        <f aca="false">J59+1</f>
        <v>2004</v>
      </c>
      <c r="L59" s="13" t="n">
        <f aca="false">K59+1</f>
        <v>2005</v>
      </c>
      <c r="M59" s="13" t="n">
        <f aca="false">L59+1</f>
        <v>2006</v>
      </c>
      <c r="N59" s="13" t="n">
        <f aca="false">M59+1</f>
        <v>2007</v>
      </c>
      <c r="O59" s="13" t="n">
        <f aca="false">N59+1</f>
        <v>2008</v>
      </c>
      <c r="P59" s="13" t="n">
        <f aca="false">O59+1</f>
        <v>2009</v>
      </c>
      <c r="Q59" s="13" t="n">
        <f aca="false">P59+1</f>
        <v>2010</v>
      </c>
    </row>
    <row r="60" customFormat="false" ht="13.5" hidden="false" customHeight="false" outlineLevel="0" collapsed="false">
      <c r="A60" s="322" t="str">
        <f aca="false">A2</f>
        <v>  Distribution - Cash Flow Analysis</v>
      </c>
      <c r="B60" s="323" t="n">
        <f aca="false">Assumptions!C50</f>
        <v>1</v>
      </c>
      <c r="C60" s="331" t="n">
        <v>1</v>
      </c>
      <c r="D60" s="114"/>
      <c r="E60" s="325"/>
      <c r="F60" s="332" t="n">
        <f aca="false">F65*$B$60</f>
        <v>230868</v>
      </c>
      <c r="G60" s="115" t="n">
        <f aca="false">CHOOSE($C$60,G65,G68,G71)*$B$60+G61</f>
        <v>230868</v>
      </c>
      <c r="H60" s="115" t="n">
        <f aca="false">CHOOSE($C$60,H65,H68,H71)*$B$60+H61</f>
        <v>230868</v>
      </c>
      <c r="I60" s="115" t="n">
        <f aca="false">CHOOSE($C$60,I65,I68,I71)*$B$60+I61</f>
        <v>230868</v>
      </c>
      <c r="J60" s="115" t="n">
        <f aca="false">CHOOSE($C$60,J65,J68,J71)*$B$60+J61</f>
        <v>230868</v>
      </c>
      <c r="K60" s="115" t="n">
        <f aca="false">CHOOSE($C$60,K65,K68,K71)*$B$60+K61</f>
        <v>230868</v>
      </c>
      <c r="L60" s="115" t="n">
        <f aca="false">CHOOSE($C$60,L65,L68,L71)*$B$60+L61</f>
        <v>230868</v>
      </c>
      <c r="M60" s="115" t="n">
        <f aca="false">CHOOSE($C$60,M65,M68,M71)*$B$60+M61</f>
        <v>230868</v>
      </c>
      <c r="N60" s="115" t="n">
        <f aca="false">CHOOSE($C$60,N65,N68,N71)*$B$60+N61</f>
        <v>230868</v>
      </c>
      <c r="O60" s="115" t="n">
        <f aca="false">CHOOSE($C$60,O65,O68,O71)*$B$60+O61</f>
        <v>230868</v>
      </c>
      <c r="P60" s="115" t="n">
        <f aca="false">CHOOSE($C$60,P65,P68,P71)*$B$60+P61</f>
        <v>230868</v>
      </c>
      <c r="Q60" s="117" t="n">
        <f aca="false">CHOOSE($C$60,Q65,Q68,Q71)*$B$60+Q61</f>
        <v>230868</v>
      </c>
    </row>
    <row r="61" customFormat="false" ht="12.75" hidden="false" customHeight="false" outlineLevel="0" collapsed="false">
      <c r="C61" s="333"/>
      <c r="F61" s="284" t="s">
        <v>184</v>
      </c>
      <c r="G61" s="32" t="n">
        <v>0</v>
      </c>
      <c r="H61" s="32" t="n">
        <v>0</v>
      </c>
      <c r="I61" s="32" t="n">
        <v>0</v>
      </c>
      <c r="J61" s="32" t="n">
        <v>0</v>
      </c>
      <c r="K61" s="32" t="n">
        <v>0</v>
      </c>
      <c r="L61" s="32" t="n">
        <v>0</v>
      </c>
      <c r="M61" s="32" t="n">
        <v>0</v>
      </c>
      <c r="N61" s="32" t="n">
        <v>0</v>
      </c>
      <c r="O61" s="32" t="n">
        <v>0</v>
      </c>
      <c r="P61" s="32" t="n">
        <v>0</v>
      </c>
      <c r="Q61" s="32" t="n">
        <v>0</v>
      </c>
    </row>
    <row r="62" customFormat="false" ht="12.75" hidden="false" customHeight="false" outlineLevel="0" collapsed="false">
      <c r="C62" s="334"/>
      <c r="D62" s="279"/>
      <c r="E62" s="285"/>
    </row>
    <row r="63" customFormat="false" ht="12.75" hidden="false" customHeight="false" outlineLevel="0" collapsed="false">
      <c r="A63" s="12" t="str">
        <f aca="false">Assumptions!B64</f>
        <v>1. Base Case</v>
      </c>
      <c r="C63" s="334"/>
    </row>
    <row r="64" customFormat="false" ht="15" hidden="false" customHeight="false" outlineLevel="0" collapsed="false">
      <c r="A64" s="0" t="s">
        <v>185</v>
      </c>
      <c r="C64" s="334"/>
      <c r="D64" s="282"/>
      <c r="E64" s="346"/>
      <c r="F64" s="293" t="n">
        <v>230868</v>
      </c>
      <c r="G64" s="116" t="n">
        <f aca="false">F64</f>
        <v>230868</v>
      </c>
      <c r="H64" s="335" t="n">
        <f aca="false">G64</f>
        <v>230868</v>
      </c>
      <c r="I64" s="335" t="n">
        <f aca="false">H64</f>
        <v>230868</v>
      </c>
      <c r="J64" s="335" t="n">
        <f aca="false">I64</f>
        <v>230868</v>
      </c>
      <c r="K64" s="335" t="n">
        <f aca="false">J64</f>
        <v>230868</v>
      </c>
      <c r="L64" s="335" t="n">
        <f aca="false">K64</f>
        <v>230868</v>
      </c>
      <c r="M64" s="335" t="n">
        <f aca="false">L64</f>
        <v>230868</v>
      </c>
      <c r="N64" s="335" t="n">
        <f aca="false">M64</f>
        <v>230868</v>
      </c>
      <c r="O64" s="335" t="n">
        <f aca="false">N64</f>
        <v>230868</v>
      </c>
      <c r="P64" s="335" t="n">
        <f aca="false">O64</f>
        <v>230868</v>
      </c>
      <c r="Q64" s="335" t="n">
        <f aca="false">P64</f>
        <v>230868</v>
      </c>
    </row>
    <row r="65" customFormat="false" ht="12.75" hidden="false" customHeight="false" outlineLevel="0" collapsed="false">
      <c r="A65" s="190" t="s">
        <v>154</v>
      </c>
      <c r="B65" s="336" t="n">
        <v>1</v>
      </c>
      <c r="C65" s="327" t="n">
        <v>1</v>
      </c>
      <c r="D65" s="282"/>
      <c r="E65" s="26"/>
      <c r="F65" s="337" t="n">
        <f aca="false">SUM(F64)</f>
        <v>230868</v>
      </c>
      <c r="G65" s="131" t="n">
        <f aca="false">SUM(G64)*$B$65+G66</f>
        <v>230868</v>
      </c>
      <c r="H65" s="131" t="n">
        <f aca="false">SUM(H64)*$B$65+H66</f>
        <v>230868</v>
      </c>
      <c r="I65" s="131" t="n">
        <f aca="false">SUM(I64)*$B$65+I66</f>
        <v>230868</v>
      </c>
      <c r="J65" s="131" t="n">
        <f aca="false">SUM(J64)*$B$65+J66</f>
        <v>230868</v>
      </c>
      <c r="K65" s="131" t="n">
        <f aca="false">SUM(K64)*$B$65+K66</f>
        <v>230868</v>
      </c>
      <c r="L65" s="131" t="n">
        <f aca="false">SUM(L64)*$B$65+L66</f>
        <v>230868</v>
      </c>
      <c r="M65" s="131" t="n">
        <f aca="false">SUM(M64)*$B$65+M66</f>
        <v>230868</v>
      </c>
      <c r="N65" s="131" t="n">
        <f aca="false">SUM(N64)*$B$65+N66</f>
        <v>230868</v>
      </c>
      <c r="O65" s="131" t="n">
        <f aca="false">SUM(O64)*$B$65+O66</f>
        <v>230868</v>
      </c>
      <c r="P65" s="131" t="n">
        <f aca="false">SUM(P64)*$B$65+P66</f>
        <v>230868</v>
      </c>
      <c r="Q65" s="131" t="n">
        <f aca="false">SUM(Q64)*$B$65+Q66</f>
        <v>230868</v>
      </c>
    </row>
    <row r="66" customFormat="false" ht="12.75" hidden="false" customHeight="false" outlineLevel="0" collapsed="false">
      <c r="C66" s="334"/>
      <c r="F66" s="284" t="s">
        <v>184</v>
      </c>
      <c r="G66" s="32" t="n">
        <v>0</v>
      </c>
      <c r="H66" s="32" t="n">
        <v>0</v>
      </c>
      <c r="I66" s="32" t="n">
        <v>0</v>
      </c>
      <c r="J66" s="32" t="n">
        <v>0</v>
      </c>
      <c r="K66" s="32" t="n">
        <v>0</v>
      </c>
      <c r="L66" s="32" t="n">
        <v>0</v>
      </c>
      <c r="M66" s="32" t="n">
        <v>0</v>
      </c>
      <c r="N66" s="32" t="n">
        <v>0</v>
      </c>
      <c r="O66" s="32" t="n">
        <v>0</v>
      </c>
      <c r="P66" s="32" t="n">
        <v>0</v>
      </c>
      <c r="Q66" s="32" t="n">
        <v>0</v>
      </c>
    </row>
    <row r="67" customFormat="false" ht="12.75" hidden="false" customHeight="false" outlineLevel="0" collapsed="false">
      <c r="C67" s="334"/>
    </row>
    <row r="68" customFormat="false" ht="12.75" hidden="false" customHeight="false" outlineLevel="0" collapsed="false">
      <c r="A68" s="12" t="str">
        <f aca="false">Assumptions!B65</f>
        <v>2. Optimistic</v>
      </c>
      <c r="B68" s="336" t="n">
        <v>0.99</v>
      </c>
      <c r="C68" s="327" t="n">
        <v>2</v>
      </c>
      <c r="D68" s="282"/>
      <c r="F68" s="337" t="n">
        <f aca="false">F65</f>
        <v>230868</v>
      </c>
      <c r="G68" s="133" t="n">
        <f aca="false">F68*$B$68+G69</f>
        <v>228559.32</v>
      </c>
      <c r="H68" s="133" t="n">
        <f aca="false">G68*$B$68+H69</f>
        <v>226273.7268</v>
      </c>
      <c r="I68" s="133" t="n">
        <f aca="false">H68*$B$68+I69</f>
        <v>224010.989532</v>
      </c>
      <c r="J68" s="133" t="n">
        <f aca="false">I68*$B$68+J69</f>
        <v>221770.87963668</v>
      </c>
      <c r="K68" s="133" t="n">
        <f aca="false">J68*$B$68+K69</f>
        <v>219553.170840313</v>
      </c>
      <c r="L68" s="133" t="n">
        <f aca="false">K68*$B$68+L69</f>
        <v>217357.63913191</v>
      </c>
      <c r="M68" s="133" t="n">
        <f aca="false">L68*$B$68+M69</f>
        <v>215184.062740591</v>
      </c>
      <c r="N68" s="133" t="n">
        <f aca="false">M68*$B$68+N69</f>
        <v>213032.222113185</v>
      </c>
      <c r="O68" s="133" t="n">
        <f aca="false">N68*$B$68+O69</f>
        <v>210901.899892053</v>
      </c>
      <c r="P68" s="133" t="n">
        <f aca="false">O68*$B$68+P69</f>
        <v>208792.880893133</v>
      </c>
      <c r="Q68" s="133" t="n">
        <f aca="false">P68*$B$68+Q69</f>
        <v>206704.952084201</v>
      </c>
    </row>
    <row r="69" customFormat="false" ht="12.75" hidden="false" customHeight="false" outlineLevel="0" collapsed="false">
      <c r="A69" s="12"/>
      <c r="C69" s="338"/>
      <c r="F69" s="284" t="s">
        <v>184</v>
      </c>
      <c r="G69" s="32" t="n">
        <v>0</v>
      </c>
      <c r="H69" s="32" t="n">
        <v>0</v>
      </c>
      <c r="I69" s="32" t="n">
        <f aca="false">H69</f>
        <v>0</v>
      </c>
      <c r="J69" s="32" t="n">
        <f aca="false">I69</f>
        <v>0</v>
      </c>
      <c r="K69" s="32" t="n">
        <f aca="false">J69</f>
        <v>0</v>
      </c>
      <c r="L69" s="32" t="n">
        <f aca="false">K69</f>
        <v>0</v>
      </c>
      <c r="M69" s="32" t="n">
        <f aca="false">L69</f>
        <v>0</v>
      </c>
      <c r="N69" s="32" t="n">
        <f aca="false">M69</f>
        <v>0</v>
      </c>
      <c r="O69" s="32" t="n">
        <f aca="false">N69</f>
        <v>0</v>
      </c>
      <c r="P69" s="32" t="n">
        <f aca="false">O69</f>
        <v>0</v>
      </c>
      <c r="Q69" s="32" t="n">
        <f aca="false">P69</f>
        <v>0</v>
      </c>
    </row>
    <row r="70" customFormat="false" ht="12.75" hidden="false" customHeight="false" outlineLevel="0" collapsed="false">
      <c r="A70" s="12"/>
      <c r="C70" s="338"/>
    </row>
    <row r="71" customFormat="false" ht="12.75" hidden="false" customHeight="false" outlineLevel="0" collapsed="false">
      <c r="A71" s="12" t="str">
        <f aca="false">Assumptions!B66</f>
        <v>3. Pessimistic</v>
      </c>
      <c r="B71" s="336" t="n">
        <v>1.01</v>
      </c>
      <c r="C71" s="327" t="n">
        <v>3</v>
      </c>
      <c r="D71" s="282"/>
      <c r="F71" s="337" t="n">
        <f aca="false">F65</f>
        <v>230868</v>
      </c>
      <c r="G71" s="133" t="n">
        <f aca="false">F71*$B$71+G72</f>
        <v>233176.68</v>
      </c>
      <c r="H71" s="133" t="n">
        <f aca="false">G71*$B$71+H72</f>
        <v>235508.4468</v>
      </c>
      <c r="I71" s="133" t="n">
        <f aca="false">H71*$B$71+I72</f>
        <v>237863.531268</v>
      </c>
      <c r="J71" s="133" t="n">
        <f aca="false">I71*$B$71+J72</f>
        <v>240242.16658068</v>
      </c>
      <c r="K71" s="133" t="n">
        <f aca="false">J71*$B$71+K72</f>
        <v>242644.588246487</v>
      </c>
      <c r="L71" s="133" t="n">
        <f aca="false">K71*$B$71+L72</f>
        <v>245071.034128952</v>
      </c>
      <c r="M71" s="133" t="n">
        <f aca="false">L71*$B$71+M72</f>
        <v>247521.744470241</v>
      </c>
      <c r="N71" s="133" t="n">
        <f aca="false">M71*$B$71+N72</f>
        <v>249996.961914944</v>
      </c>
      <c r="O71" s="133" t="n">
        <f aca="false">N71*$B$71+O72</f>
        <v>252496.931534093</v>
      </c>
      <c r="P71" s="133" t="n">
        <f aca="false">O71*$B$71+P72</f>
        <v>255021.900849434</v>
      </c>
      <c r="Q71" s="133" t="n">
        <f aca="false">P71*$B$71+Q72</f>
        <v>257572.119857928</v>
      </c>
    </row>
    <row r="72" customFormat="false" ht="13.5" hidden="false" customHeight="false" outlineLevel="0" collapsed="false">
      <c r="C72" s="330"/>
      <c r="F72" s="284" t="s">
        <v>184</v>
      </c>
      <c r="G72" s="32" t="n">
        <v>0</v>
      </c>
      <c r="H72" s="32" t="n">
        <v>0</v>
      </c>
      <c r="I72" s="32" t="n">
        <f aca="false">H72</f>
        <v>0</v>
      </c>
      <c r="J72" s="32" t="n">
        <f aca="false">I72</f>
        <v>0</v>
      </c>
      <c r="K72" s="32" t="n">
        <f aca="false">J72</f>
        <v>0</v>
      </c>
      <c r="L72" s="32" t="n">
        <f aca="false">K72</f>
        <v>0</v>
      </c>
      <c r="M72" s="32" t="n">
        <f aca="false">L72</f>
        <v>0</v>
      </c>
      <c r="N72" s="32" t="n">
        <f aca="false">M72</f>
        <v>0</v>
      </c>
      <c r="O72" s="32" t="n">
        <f aca="false">N72</f>
        <v>0</v>
      </c>
      <c r="P72" s="32" t="n">
        <f aca="false">O72</f>
        <v>0</v>
      </c>
      <c r="Q72" s="32" t="n">
        <f aca="false">P72</f>
        <v>0</v>
      </c>
    </row>
    <row r="74" customFormat="false" ht="12.75" hidden="false" customHeight="false" outlineLevel="0" collapsed="false">
      <c r="A74" s="13" t="s">
        <v>132</v>
      </c>
    </row>
    <row r="75" customFormat="false" ht="12.75" hidden="false" customHeight="false" outlineLevel="0" collapsed="false">
      <c r="A75" s="0" t="s">
        <v>187</v>
      </c>
    </row>
    <row r="76" customFormat="false" ht="12.75" hidden="false" customHeight="false" outlineLevel="0" collapsed="false">
      <c r="A76" s="0" t="s">
        <v>193</v>
      </c>
    </row>
    <row r="77" customFormat="false" ht="12.75" hidden="false" customHeight="false" outlineLevel="0" collapsed="false">
      <c r="A77" s="52" t="s">
        <v>154</v>
      </c>
      <c r="F77" s="32" t="n">
        <v>98685</v>
      </c>
      <c r="G77" s="131" t="n">
        <f aca="false">F77</f>
        <v>98685</v>
      </c>
      <c r="H77" s="131" t="n">
        <f aca="false">G77</f>
        <v>98685</v>
      </c>
      <c r="I77" s="131" t="n">
        <f aca="false">H77</f>
        <v>98685</v>
      </c>
      <c r="J77" s="131" t="n">
        <f aca="false">I77</f>
        <v>98685</v>
      </c>
      <c r="K77" s="131" t="n">
        <f aca="false">J77</f>
        <v>98685</v>
      </c>
      <c r="L77" s="131" t="n">
        <f aca="false">K77</f>
        <v>98685</v>
      </c>
      <c r="M77" s="131" t="n">
        <f aca="false">L77</f>
        <v>98685</v>
      </c>
      <c r="N77" s="131" t="n">
        <f aca="false">M77</f>
        <v>98685</v>
      </c>
      <c r="O77" s="131" t="n">
        <f aca="false">N77</f>
        <v>98685</v>
      </c>
      <c r="P77" s="131" t="n">
        <f aca="false">O77</f>
        <v>98685</v>
      </c>
      <c r="Q77" s="131" t="n">
        <f aca="false">P77</f>
        <v>98685</v>
      </c>
    </row>
    <row r="78" customFormat="false" ht="12.75" hidden="false" customHeight="false" outlineLevel="0" collapsed="false">
      <c r="A78" s="52"/>
    </row>
    <row r="79" customFormat="false" ht="12.75" hidden="false" customHeight="false" outlineLevel="0" collapsed="false">
      <c r="A79" s="13" t="s">
        <v>189</v>
      </c>
    </row>
    <row r="80" customFormat="false" ht="12.75" hidden="false" customHeight="false" outlineLevel="0" collapsed="false">
      <c r="A80" s="225" t="s">
        <v>165</v>
      </c>
      <c r="B80" s="54" t="n">
        <f aca="false">Assumptions!D20</f>
        <v>20</v>
      </c>
      <c r="C80" s="227" t="n">
        <f aca="false">Asset5PurPrice</f>
        <v>394403.672721947</v>
      </c>
      <c r="D80" s="32"/>
      <c r="E80" s="36"/>
      <c r="F80" s="278"/>
      <c r="G80" s="339" t="n">
        <f aca="false">1/B80</f>
        <v>0.05</v>
      </c>
      <c r="H80" s="228" t="n">
        <f aca="false">G80</f>
        <v>0.05</v>
      </c>
      <c r="I80" s="228" t="n">
        <f aca="false">H80</f>
        <v>0.05</v>
      </c>
      <c r="J80" s="228" t="n">
        <f aca="false">I80</f>
        <v>0.05</v>
      </c>
      <c r="K80" s="228" t="n">
        <f aca="false">J80</f>
        <v>0.05</v>
      </c>
      <c r="L80" s="228" t="n">
        <f aca="false">K80</f>
        <v>0.05</v>
      </c>
      <c r="M80" s="228" t="n">
        <f aca="false">L80</f>
        <v>0.05</v>
      </c>
      <c r="N80" s="228" t="n">
        <f aca="false">M80</f>
        <v>0.05</v>
      </c>
      <c r="O80" s="228" t="n">
        <f aca="false">N80</f>
        <v>0.05</v>
      </c>
      <c r="P80" s="228" t="n">
        <f aca="false">O80</f>
        <v>0.05</v>
      </c>
      <c r="Q80" s="229" t="n">
        <f aca="false">P80</f>
        <v>0.05</v>
      </c>
    </row>
    <row r="81" customFormat="false" ht="12.75" hidden="false" customHeight="false" outlineLevel="0" collapsed="false">
      <c r="A81" s="32" t="s">
        <v>166</v>
      </c>
      <c r="C81" s="26"/>
      <c r="D81" s="26"/>
      <c r="E81" s="36"/>
      <c r="F81" s="278"/>
      <c r="G81" s="120" t="n">
        <f aca="false">C80/B80</f>
        <v>19720.1836360973</v>
      </c>
      <c r="H81" s="120" t="n">
        <f aca="false">+G81</f>
        <v>19720.1836360973</v>
      </c>
      <c r="I81" s="120" t="n">
        <f aca="false">+H81</f>
        <v>19720.1836360973</v>
      </c>
      <c r="J81" s="120" t="n">
        <f aca="false">+I81</f>
        <v>19720.1836360973</v>
      </c>
      <c r="K81" s="120" t="n">
        <f aca="false">+J81</f>
        <v>19720.1836360973</v>
      </c>
      <c r="L81" s="120" t="n">
        <f aca="false">+K81</f>
        <v>19720.1836360973</v>
      </c>
      <c r="M81" s="120" t="n">
        <f aca="false">+L81</f>
        <v>19720.1836360973</v>
      </c>
      <c r="N81" s="120" t="n">
        <f aca="false">+M81</f>
        <v>19720.1836360973</v>
      </c>
      <c r="O81" s="120" t="n">
        <f aca="false">+N81</f>
        <v>19720.1836360973</v>
      </c>
      <c r="P81" s="120" t="n">
        <f aca="false">+O81</f>
        <v>19720.1836360973</v>
      </c>
      <c r="Q81" s="120" t="n">
        <f aca="false">+P81</f>
        <v>19720.1836360973</v>
      </c>
    </row>
    <row r="82" customFormat="false" ht="15" hidden="false" customHeight="false" outlineLevel="0" collapsed="false">
      <c r="A82" s="32" t="s">
        <v>167</v>
      </c>
      <c r="E82" s="36"/>
      <c r="F82" s="278"/>
      <c r="G82" s="116" t="n">
        <f aca="false">($G$29*G80)</f>
        <v>4934.25</v>
      </c>
      <c r="H82" s="116" t="n">
        <f aca="false">($G$29*H80)+($H$29*G80)</f>
        <v>9868.5</v>
      </c>
      <c r="I82" s="116" t="n">
        <f aca="false">($G$29*I80)+($H$29*H80)+($I$29*G80)</f>
        <v>14802.75</v>
      </c>
      <c r="J82" s="116" t="n">
        <f aca="false">($G$29*J80)+($H$29*I80)+($I$29*H80)+($J$29*G80)</f>
        <v>19737</v>
      </c>
      <c r="K82" s="116" t="n">
        <f aca="false">($G$29*K80)+($H$29*J80)+($I$29*I80)+($J$29*H80)+($K$29*G80)</f>
        <v>24671.25</v>
      </c>
      <c r="L82" s="116" t="n">
        <f aca="false">($G$29*L80)+($H$29*K80)+($I$29*J80)+($J$29*I80)+($K$29*H80)+($L$29*G80)</f>
        <v>29605.5</v>
      </c>
      <c r="M82" s="116" t="n">
        <f aca="false">($G$29*M80)+($H$29*L80)+($I$29*K80)+($J$29*J80)+($K$29*I80)+($L$29*H80)+($M$29*G80)</f>
        <v>34539.75</v>
      </c>
      <c r="N82" s="116" t="n">
        <f aca="false">($G$29*N80)+($H$29*M80)+($I$29*L80)+($J$29*K80)+($K$29*J80)+($L$29*I80)+($M$29*H80)+($N$29*G80)</f>
        <v>39474</v>
      </c>
      <c r="O82" s="116" t="n">
        <f aca="false">($G$29*O80)+($H$29*N80)+($I$29*M80)+($J$29*L80)+($K$29*K80)+($L$29*J80)+($M$29*I80)+($N$29*H80)+($O$29*G80)</f>
        <v>44408.25</v>
      </c>
      <c r="P82" s="116" t="n">
        <f aca="false">($G$29*P80)+($H$29*O80)+($I$29*N80)+($J$29*M80)+($K$29*L80)+($L$29*K80)+($M$29*J80)+($N$29*I80)+($O$29*H80)+($P$29*G80)</f>
        <v>49342.5</v>
      </c>
      <c r="Q82" s="116" t="n">
        <f aca="false">($G$29*Q80)+($H$29*P80)+($I$29*O80)+($J$29*N80)+($K$29*M80)+($L$29*L80)+($M$29*K80)+($N$29*J80)+($O$29*I80)+($P$29*H80)+($Q$29*G80)</f>
        <v>54276.75</v>
      </c>
    </row>
    <row r="83" customFormat="false" ht="12.75" hidden="false" customHeight="false" outlineLevel="0" collapsed="false">
      <c r="A83" s="52" t="s">
        <v>154</v>
      </c>
      <c r="E83" s="36"/>
      <c r="F83" s="278"/>
      <c r="G83" s="32" t="n">
        <f aca="false">SUM(G81:G82)</f>
        <v>24654.4336360973</v>
      </c>
      <c r="H83" s="32" t="n">
        <f aca="false">SUM(H81:H82)</f>
        <v>29588.6836360973</v>
      </c>
      <c r="I83" s="32" t="n">
        <f aca="false">SUM(I81:I82)</f>
        <v>34522.9336360973</v>
      </c>
      <c r="J83" s="32" t="n">
        <f aca="false">SUM(J81:J82)</f>
        <v>39457.1836360973</v>
      </c>
      <c r="K83" s="32" t="n">
        <f aca="false">SUM(K81:K82)</f>
        <v>44391.4336360973</v>
      </c>
      <c r="L83" s="32" t="n">
        <f aca="false">SUM(L81:L82)</f>
        <v>49325.6836360973</v>
      </c>
      <c r="M83" s="32" t="n">
        <f aca="false">SUM(M81:M82)</f>
        <v>54259.9336360973</v>
      </c>
      <c r="N83" s="32" t="n">
        <f aca="false">SUM(N81:N82)</f>
        <v>59194.1836360973</v>
      </c>
      <c r="O83" s="32" t="n">
        <f aca="false">SUM(O81:O82)</f>
        <v>64128.4336360973</v>
      </c>
      <c r="P83" s="32" t="n">
        <f aca="false">SUM(P81:P82)</f>
        <v>69062.6836360973</v>
      </c>
      <c r="Q83" s="32" t="n">
        <f aca="false">SUM(Q81:Q82)</f>
        <v>73996.9336360973</v>
      </c>
    </row>
    <row r="84" customFormat="false" ht="12.75" hidden="false" customHeight="false" outlineLevel="0" collapsed="false">
      <c r="A84" s="32"/>
      <c r="E84" s="36"/>
      <c r="F84" s="278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</row>
    <row r="85" customFormat="false" ht="12.75" hidden="false" customHeight="false" outlineLevel="0" collapsed="false">
      <c r="A85" s="96" t="s">
        <v>168</v>
      </c>
      <c r="E85" s="36"/>
      <c r="F85" s="278"/>
      <c r="G85" s="233" t="n">
        <v>0.05</v>
      </c>
      <c r="H85" s="234" t="n">
        <v>0.095</v>
      </c>
      <c r="I85" s="234" t="n">
        <v>0.0855</v>
      </c>
      <c r="J85" s="234" t="n">
        <v>0.077</v>
      </c>
      <c r="K85" s="234" t="n">
        <v>0.0693</v>
      </c>
      <c r="L85" s="234" t="n">
        <v>0.0623</v>
      </c>
      <c r="M85" s="234" t="n">
        <v>0.059</v>
      </c>
      <c r="N85" s="234" t="n">
        <v>0.059</v>
      </c>
      <c r="O85" s="234" t="n">
        <v>0.0591</v>
      </c>
      <c r="P85" s="234" t="n">
        <v>0.059</v>
      </c>
      <c r="Q85" s="235" t="n">
        <v>0.0591</v>
      </c>
    </row>
    <row r="86" customFormat="false" ht="12.75" hidden="false" customHeight="false" outlineLevel="0" collapsed="false">
      <c r="A86" s="32" t="s">
        <v>166</v>
      </c>
      <c r="B86" s="236"/>
      <c r="E86" s="36"/>
      <c r="F86" s="278"/>
      <c r="G86" s="32" t="n">
        <f aca="false">G85*$C$80</f>
        <v>19720.1836360973</v>
      </c>
      <c r="H86" s="32" t="n">
        <f aca="false">H85*$C$80</f>
        <v>37468.3489085849</v>
      </c>
      <c r="I86" s="32" t="n">
        <f aca="false">I85*$C$80</f>
        <v>33721.5140177264</v>
      </c>
      <c r="J86" s="32" t="n">
        <f aca="false">J85*$C$80</f>
        <v>30369.0827995899</v>
      </c>
      <c r="K86" s="32" t="n">
        <f aca="false">K85*$C$80</f>
        <v>27332.1745196309</v>
      </c>
      <c r="L86" s="32" t="n">
        <f aca="false">L85*$C$80</f>
        <v>24571.3488105773</v>
      </c>
      <c r="M86" s="32" t="n">
        <f aca="false">M85*$C$80</f>
        <v>23269.8166905948</v>
      </c>
      <c r="N86" s="32" t="n">
        <f aca="false">N85*$C$80</f>
        <v>23269.8166905948</v>
      </c>
      <c r="O86" s="32" t="n">
        <f aca="false">O85*$C$80</f>
        <v>23309.257057867</v>
      </c>
      <c r="P86" s="32" t="n">
        <f aca="false">P85*$C$80</f>
        <v>23269.8166905948</v>
      </c>
      <c r="Q86" s="32" t="n">
        <f aca="false">Q85*$C$80</f>
        <v>23309.257057867</v>
      </c>
    </row>
    <row r="87" customFormat="false" ht="15" hidden="false" customHeight="false" outlineLevel="0" collapsed="false">
      <c r="A87" s="32" t="s">
        <v>167</v>
      </c>
      <c r="B87" s="201"/>
      <c r="E87" s="216"/>
      <c r="F87" s="278"/>
      <c r="G87" s="116" t="n">
        <f aca="false">($G$29*G$85)</f>
        <v>4934.25</v>
      </c>
      <c r="H87" s="116" t="n">
        <f aca="false">($G$29*H85)+($H$29*G85)</f>
        <v>14309.325</v>
      </c>
      <c r="I87" s="116" t="n">
        <f aca="false">($G$29*I85)+($H$29*H85)+($I$29*G85)</f>
        <v>22746.8925</v>
      </c>
      <c r="J87" s="116" t="n">
        <f aca="false">($G$29*J85)+($H$29*I85)+($I$29*H85)+($J$29*G85)</f>
        <v>30345.6375</v>
      </c>
      <c r="K87" s="116" t="n">
        <f aca="false">($G$29*K85)+($H$29*J85)+($I$29*I85)+($J$29*H85)+($K$29*G85)</f>
        <v>37184.508</v>
      </c>
      <c r="L87" s="116" t="n">
        <f aca="false">($G$29*L85)+($H$29*K85)+($I$29*J85)+($J$29*I85)+($K$29*H85)+($L$29*G85)</f>
        <v>43332.5835</v>
      </c>
      <c r="M87" s="116" t="n">
        <f aca="false">($G$29*M85)+($H$29*L85)+($I$29*K85)+($J$29*J85)+($K$29*I85)+($L$29*H85)+($M$29*G85)</f>
        <v>49154.9985</v>
      </c>
      <c r="N87" s="116" t="n">
        <f aca="false">($G$29*N85)+($H$29*M85)+($I$29*L85)+($J$29*K85)+($K$29*J85)+($L$29*I85)+($M$29*H85)+($N$29*G85)</f>
        <v>54977.4135</v>
      </c>
      <c r="O87" s="116" t="n">
        <f aca="false">($G$29*O85)+($H$29*N85)+($I$29*M85)+($J$29*L85)+($K$29*K85)+($L$29*J85)+($M$29*I85)+($N$29*H85)+($O$29*G85)</f>
        <v>60809.697</v>
      </c>
      <c r="P87" s="116" t="n">
        <f aca="false">($G$29*P85)+($H$29*O85)+($I$29*N85)+($J$29*M85)+($K$29*L85)+($L$29*K85)+($M$29*J85)+($N$29*I85)+($O$29*H85)+($P$29*G85)</f>
        <v>66632.112</v>
      </c>
      <c r="Q87" s="116" t="n">
        <f aca="false">($G$29*Q85)+($H$29*P85)+($I$29*O85)+($J$29*N85)+($K$29*M85)+($L$29*L85)+($M$29*K85)+($N$29*J85)+($O$29*I85)+($P$29*H85)+($Q$29*G85)</f>
        <v>72464.3955</v>
      </c>
    </row>
    <row r="88" customFormat="false" ht="12.75" hidden="false" customHeight="false" outlineLevel="0" collapsed="false">
      <c r="A88" s="52" t="s">
        <v>154</v>
      </c>
      <c r="E88" s="36"/>
      <c r="F88" s="278"/>
      <c r="G88" s="32" t="n">
        <f aca="false">SUM(G86:G87)</f>
        <v>24654.4336360973</v>
      </c>
      <c r="H88" s="32" t="n">
        <f aca="false">SUM(H86:H87)</f>
        <v>51777.6739085849</v>
      </c>
      <c r="I88" s="32" t="n">
        <f aca="false">SUM(I86:I87)</f>
        <v>56468.4065177264</v>
      </c>
      <c r="J88" s="32" t="n">
        <f aca="false">SUM(J86:J87)</f>
        <v>60714.7202995899</v>
      </c>
      <c r="K88" s="32" t="n">
        <f aca="false">SUM(K86:K87)</f>
        <v>64516.6825196309</v>
      </c>
      <c r="L88" s="32" t="n">
        <f aca="false">SUM(L86:L87)</f>
        <v>67903.9323105773</v>
      </c>
      <c r="M88" s="32" t="n">
        <f aca="false">SUM(M86:M87)</f>
        <v>72424.8151905949</v>
      </c>
      <c r="N88" s="32" t="n">
        <f aca="false">SUM(N86:N87)</f>
        <v>78247.2301905948</v>
      </c>
      <c r="O88" s="32" t="n">
        <f aca="false">SUM(O86:O87)</f>
        <v>84118.954057867</v>
      </c>
      <c r="P88" s="32" t="n">
        <f aca="false">SUM(P86:P87)</f>
        <v>89901.9286905948</v>
      </c>
      <c r="Q88" s="32" t="n">
        <f aca="false">SUM(Q86:Q87)</f>
        <v>95773.652557867</v>
      </c>
    </row>
  </sheetData>
  <mergeCells count="1">
    <mergeCell ref="K33:M33"/>
  </mergeCells>
  <conditionalFormatting sqref="D68 D71 D54 D51 C11:D11 D14:D15 D47:D48 D64:D65">
    <cfRule type="cellIs" priority="2" operator="notBetween" aboveAverage="0" equalAverage="0" bottom="0" percent="0" rank="0" text="" dxfId="6">
      <formula>0.25</formula>
      <formula>-0.25</formula>
    </cfRule>
  </conditionalFormatting>
  <printOptions headings="false" gridLines="false" gridLinesSet="true" horizontalCentered="false" verticalCentered="false"/>
  <pageMargins left="0.5" right="0.5" top="0.75" bottom="0.75" header="0.511811023622047" footer="0.5"/>
  <pageSetup paperSize="1" scale="4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rowBreaks count="1" manualBreakCount="1">
    <brk id="39" man="true" max="16383" min="0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"/>
  <sheetViews>
    <sheetView showFormulas="false" showGridLines="true" showRowColHeaders="true" showZeros="true" rightToLeft="false" tabSelected="false" showOutlineSymbols="true" defaultGridColor="true" view="normal" topLeftCell="A33" colorId="64" zoomScale="75" zoomScaleNormal="75" zoomScalePageLayoutView="100" workbookViewId="0">
      <selection pane="topLeft" activeCell="G36" activeCellId="0" sqref="G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14"/>
    <col collapsed="false" customWidth="true" hidden="false" outlineLevel="0" max="2" min="2" style="0" width="13.99"/>
    <col collapsed="false" customWidth="true" hidden="false" outlineLevel="0" max="3" min="3" style="0" width="12.85"/>
    <col collapsed="false" customWidth="true" hidden="false" outlineLevel="0" max="4" min="4" style="0" width="11.85"/>
    <col collapsed="false" customWidth="true" hidden="false" outlineLevel="0" max="5" min="5" style="27" width="9.14"/>
    <col collapsed="false" customWidth="true" hidden="false" outlineLevel="0" max="6" min="6" style="27" width="12.99"/>
    <col collapsed="false" customWidth="true" hidden="false" outlineLevel="0" max="7" min="7" style="0" width="12.28"/>
    <col collapsed="false" customWidth="true" hidden="false" outlineLevel="0" max="9" min="8" style="0" width="14.14"/>
    <col collapsed="false" customWidth="true" hidden="false" outlineLevel="0" max="11" min="10" style="0" width="12.28"/>
    <col collapsed="false" customWidth="true" hidden="false" outlineLevel="0" max="12" min="12" style="0" width="13.99"/>
    <col collapsed="false" customWidth="true" hidden="false" outlineLevel="0" max="14" min="13" style="0" width="13.41"/>
    <col collapsed="false" customWidth="true" hidden="false" outlineLevel="0" max="17" min="15" style="0" width="12.28"/>
    <col collapsed="false" customWidth="true" hidden="false" outlineLevel="0" max="18" min="18" style="0" width="13.41"/>
  </cols>
  <sheetData>
    <row r="1" customFormat="false" ht="18.75" hidden="false" customHeight="false" outlineLevel="0" collapsed="false">
      <c r="A1" s="155" t="str">
        <f aca="false">Assumptions!D5</f>
        <v>Oneok</v>
      </c>
      <c r="B1" s="21"/>
      <c r="E1" s="264"/>
    </row>
    <row r="2" customFormat="false" ht="15.75" hidden="false" customHeight="false" outlineLevel="0" collapsed="false">
      <c r="A2" s="265" t="s">
        <v>196</v>
      </c>
      <c r="B2" s="266"/>
      <c r="E2" s="36"/>
      <c r="F2" s="267" t="s">
        <v>45</v>
      </c>
      <c r="G2" s="268"/>
      <c r="H2" s="269"/>
      <c r="I2" s="190"/>
      <c r="R2" s="27"/>
    </row>
    <row r="3" customFormat="false" ht="12.75" hidden="false" customHeight="false" outlineLevel="0" collapsed="false">
      <c r="A3" s="270"/>
      <c r="B3" s="266"/>
      <c r="E3" s="36"/>
      <c r="F3" s="271" t="str">
        <f aca="false">IF(Asset6Loop&lt;&gt;0,"Run Macro","")</f>
        <v/>
      </c>
      <c r="G3" s="190"/>
      <c r="H3" s="272"/>
      <c r="I3" s="190"/>
      <c r="R3" s="27"/>
    </row>
    <row r="4" customFormat="false" ht="13.5" hidden="false" customHeight="false" outlineLevel="0" collapsed="false">
      <c r="A4" s="270"/>
      <c r="B4" s="266"/>
      <c r="E4" s="36"/>
      <c r="F4" s="273"/>
      <c r="G4" s="274"/>
      <c r="H4" s="275"/>
      <c r="I4" s="190"/>
      <c r="R4" s="27"/>
    </row>
    <row r="5" customFormat="false" ht="12.75" hidden="false" customHeight="false" outlineLevel="0" collapsed="false">
      <c r="A5" s="270"/>
      <c r="B5" s="266"/>
      <c r="E5" s="36"/>
      <c r="F5" s="344"/>
      <c r="G5" s="190"/>
      <c r="H5" s="190"/>
      <c r="I5" s="190"/>
      <c r="R5" s="27"/>
    </row>
    <row r="6" customFormat="false" ht="12.75" hidden="false" customHeight="false" outlineLevel="0" collapsed="false">
      <c r="A6" s="270"/>
      <c r="B6" s="266"/>
      <c r="E6" s="36"/>
      <c r="G6" s="190"/>
      <c r="H6" s="190"/>
      <c r="I6" s="190"/>
      <c r="R6" s="27"/>
    </row>
    <row r="7" customFormat="false" ht="12.75" hidden="false" customHeight="false" outlineLevel="0" collapsed="false">
      <c r="E7" s="276"/>
      <c r="F7" s="277" t="n">
        <f aca="false">G7-1</f>
        <v>1999</v>
      </c>
      <c r="G7" s="109" t="n">
        <f aca="false">Assumptions!$D$12</f>
        <v>2000</v>
      </c>
      <c r="H7" s="109" t="n">
        <f aca="false">G7+1</f>
        <v>2001</v>
      </c>
      <c r="I7" s="109" t="n">
        <f aca="false">H7+1</f>
        <v>2002</v>
      </c>
      <c r="J7" s="109" t="n">
        <f aca="false">I7+1</f>
        <v>2003</v>
      </c>
      <c r="K7" s="109" t="n">
        <f aca="false">J7+1</f>
        <v>2004</v>
      </c>
      <c r="L7" s="109" t="n">
        <f aca="false">K7+1</f>
        <v>2005</v>
      </c>
      <c r="M7" s="109" t="n">
        <f aca="false">L7+1</f>
        <v>2006</v>
      </c>
      <c r="N7" s="109" t="n">
        <f aca="false">M7+1</f>
        <v>2007</v>
      </c>
      <c r="O7" s="109" t="n">
        <f aca="false">N7+1</f>
        <v>2008</v>
      </c>
      <c r="P7" s="109" t="n">
        <f aca="false">O7+1</f>
        <v>2009</v>
      </c>
      <c r="Q7" s="109" t="n">
        <f aca="false">P7+1</f>
        <v>2010</v>
      </c>
      <c r="R7" s="27"/>
    </row>
    <row r="8" customFormat="false" ht="12.75" hidden="false" customHeight="false" outlineLevel="0" collapsed="false">
      <c r="A8" s="45" t="s">
        <v>151</v>
      </c>
      <c r="E8" s="36"/>
      <c r="F8" s="278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27"/>
    </row>
    <row r="9" customFormat="false" ht="12.75" hidden="false" customHeight="false" outlineLevel="0" collapsed="false">
      <c r="E9" s="36"/>
      <c r="F9" s="278"/>
      <c r="H9" s="32"/>
      <c r="I9" s="32"/>
      <c r="J9" s="32"/>
      <c r="K9" s="32"/>
      <c r="L9" s="32"/>
      <c r="M9" s="32"/>
      <c r="N9" s="32"/>
      <c r="O9" s="32"/>
      <c r="P9" s="32"/>
      <c r="Q9" s="32"/>
      <c r="R9" s="27"/>
    </row>
    <row r="10" customFormat="false" ht="12.75" hidden="false" customHeight="false" outlineLevel="0" collapsed="false">
      <c r="D10" s="279"/>
      <c r="E10" s="36"/>
      <c r="F10" s="278"/>
      <c r="G10" s="232" t="str">
        <f aca="false">IF(C43=1,A46,IF(C43=2,A51,A54))</f>
        <v>1. Base Case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27"/>
    </row>
    <row r="11" customFormat="false" ht="12.75" hidden="false" customHeight="false" outlineLevel="0" collapsed="false">
      <c r="A11" s="280" t="s">
        <v>177</v>
      </c>
      <c r="B11" s="281"/>
      <c r="C11" s="282"/>
      <c r="D11" s="282"/>
      <c r="E11" s="283"/>
      <c r="F11" s="278" t="n">
        <f aca="false">F43</f>
        <v>-15471</v>
      </c>
      <c r="G11" s="32" t="n">
        <f aca="false">G43</f>
        <v>-15471</v>
      </c>
      <c r="H11" s="32" t="n">
        <f aca="false">H43</f>
        <v>-15471</v>
      </c>
      <c r="I11" s="32" t="n">
        <f aca="false">I43</f>
        <v>-15471</v>
      </c>
      <c r="J11" s="32" t="n">
        <f aca="false">J43</f>
        <v>-15471</v>
      </c>
      <c r="K11" s="32" t="n">
        <f aca="false">K43</f>
        <v>-15471</v>
      </c>
      <c r="L11" s="32" t="n">
        <f aca="false">L43</f>
        <v>-15471</v>
      </c>
      <c r="M11" s="32" t="n">
        <f aca="false">M43</f>
        <v>-15471</v>
      </c>
      <c r="N11" s="32" t="n">
        <f aca="false">N43</f>
        <v>-15471</v>
      </c>
      <c r="O11" s="32" t="n">
        <f aca="false">O43</f>
        <v>-15471</v>
      </c>
      <c r="P11" s="32" t="n">
        <f aca="false">P43</f>
        <v>-15471</v>
      </c>
      <c r="Q11" s="32" t="n">
        <f aca="false">Q43</f>
        <v>-15471</v>
      </c>
      <c r="R11" s="27"/>
    </row>
    <row r="12" customFormat="false" ht="12.75" hidden="false" customHeight="false" outlineLevel="0" collapsed="false">
      <c r="E12" s="36"/>
      <c r="F12" s="284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27"/>
    </row>
    <row r="13" customFormat="false" ht="12.75" hidden="false" customHeight="false" outlineLevel="0" collapsed="false">
      <c r="D13" s="279"/>
      <c r="E13" s="285"/>
      <c r="F13" s="278"/>
      <c r="G13" s="232" t="str">
        <f aca="false">IF(C60=1,A63,IF(C60=2,A68,A71))</f>
        <v>1. Base Case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27"/>
    </row>
    <row r="14" customFormat="false" ht="12.75" hidden="false" customHeight="false" outlineLevel="0" collapsed="false">
      <c r="A14" s="21" t="s">
        <v>178</v>
      </c>
      <c r="B14" s="286"/>
      <c r="C14" s="21"/>
      <c r="D14" s="282"/>
      <c r="E14" s="287"/>
      <c r="F14" s="278" t="n">
        <f aca="false">F60</f>
        <v>-19146</v>
      </c>
      <c r="G14" s="32" t="n">
        <f aca="false">G60</f>
        <v>-19146</v>
      </c>
      <c r="H14" s="32" t="n">
        <f aca="false">H60</f>
        <v>-19146</v>
      </c>
      <c r="I14" s="32" t="n">
        <f aca="false">I60</f>
        <v>-19146</v>
      </c>
      <c r="J14" s="32" t="n">
        <f aca="false">J60</f>
        <v>-19146</v>
      </c>
      <c r="K14" s="32" t="n">
        <f aca="false">K60</f>
        <v>-19146</v>
      </c>
      <c r="L14" s="32" t="n">
        <f aca="false">L60</f>
        <v>-19146</v>
      </c>
      <c r="M14" s="32" t="n">
        <f aca="false">M60</f>
        <v>-19146</v>
      </c>
      <c r="N14" s="32" t="n">
        <f aca="false">N60</f>
        <v>-19146</v>
      </c>
      <c r="O14" s="32" t="n">
        <f aca="false">O60</f>
        <v>-19146</v>
      </c>
      <c r="P14" s="32" t="n">
        <f aca="false">P60</f>
        <v>-19146</v>
      </c>
      <c r="Q14" s="32" t="n">
        <f aca="false">Q60</f>
        <v>-19146</v>
      </c>
      <c r="R14" s="27"/>
    </row>
    <row r="15" customFormat="false" ht="12.75" hidden="false" customHeight="false" outlineLevel="0" collapsed="false">
      <c r="A15" s="12" t="s">
        <v>156</v>
      </c>
      <c r="B15" s="12"/>
      <c r="C15" s="12"/>
      <c r="D15" s="192"/>
      <c r="E15" s="288"/>
      <c r="F15" s="289" t="n">
        <f aca="false">F11/F14</f>
        <v>0.808053901598245</v>
      </c>
      <c r="G15" s="195" t="n">
        <f aca="false">G11/G14</f>
        <v>0.808053901598245</v>
      </c>
      <c r="H15" s="195" t="n">
        <f aca="false">H11/H14</f>
        <v>0.808053901598245</v>
      </c>
      <c r="I15" s="195" t="n">
        <f aca="false">I11/I14</f>
        <v>0.808053901598245</v>
      </c>
      <c r="J15" s="195" t="n">
        <f aca="false">J11/J14</f>
        <v>0.808053901598245</v>
      </c>
      <c r="K15" s="195" t="n">
        <f aca="false">K11/K14</f>
        <v>0.808053901598245</v>
      </c>
      <c r="L15" s="195" t="n">
        <f aca="false">L11/L14</f>
        <v>0.808053901598245</v>
      </c>
      <c r="M15" s="195" t="n">
        <f aca="false">M11/M14</f>
        <v>0.808053901598245</v>
      </c>
      <c r="N15" s="195" t="n">
        <f aca="false">N11/N14</f>
        <v>0.808053901598245</v>
      </c>
      <c r="O15" s="195" t="n">
        <f aca="false">O11/O14</f>
        <v>0.808053901598245</v>
      </c>
      <c r="P15" s="195" t="n">
        <f aca="false">P11/P14</f>
        <v>0.808053901598245</v>
      </c>
      <c r="Q15" s="195" t="n">
        <f aca="false">Q11/Q14</f>
        <v>0.808053901598245</v>
      </c>
      <c r="R15" s="27"/>
    </row>
    <row r="16" customFormat="false" ht="12.75" hidden="false" customHeight="false" outlineLevel="0" collapsed="false">
      <c r="A16" s="113" t="s">
        <v>119</v>
      </c>
      <c r="B16" s="114"/>
      <c r="C16" s="114"/>
      <c r="D16" s="114"/>
      <c r="E16" s="290"/>
      <c r="F16" s="291" t="n">
        <f aca="false">(F11-F14)</f>
        <v>3675</v>
      </c>
      <c r="G16" s="115" t="n">
        <f aca="false">(G11-G14)</f>
        <v>3675</v>
      </c>
      <c r="H16" s="115" t="n">
        <f aca="false">(H11-H14)</f>
        <v>3675</v>
      </c>
      <c r="I16" s="115" t="n">
        <f aca="false">(I11-I14)</f>
        <v>3675</v>
      </c>
      <c r="J16" s="115" t="n">
        <f aca="false">(J11-J14)</f>
        <v>3675</v>
      </c>
      <c r="K16" s="115" t="n">
        <f aca="false">(K11-K14)</f>
        <v>3675</v>
      </c>
      <c r="L16" s="115" t="n">
        <f aca="false">(L11-L14)</f>
        <v>3675</v>
      </c>
      <c r="M16" s="115" t="n">
        <f aca="false">(M11-M14)</f>
        <v>3675</v>
      </c>
      <c r="N16" s="115" t="n">
        <f aca="false">(N11-N14)</f>
        <v>3675</v>
      </c>
      <c r="O16" s="115" t="n">
        <f aca="false">(O11-O14)</f>
        <v>3675</v>
      </c>
      <c r="P16" s="115" t="n">
        <f aca="false">(P11-P14)</f>
        <v>3675</v>
      </c>
      <c r="Q16" s="117" t="n">
        <f aca="false">(Q11-Q14)</f>
        <v>3675</v>
      </c>
      <c r="R16" s="27"/>
    </row>
    <row r="17" customFormat="false" ht="12.75" hidden="false" customHeight="false" outlineLevel="0" collapsed="false">
      <c r="E17" s="36"/>
      <c r="F17" s="278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27"/>
    </row>
    <row r="18" customFormat="false" ht="12.75" hidden="false" customHeight="false" outlineLevel="0" collapsed="false">
      <c r="A18" s="0" t="s">
        <v>157</v>
      </c>
      <c r="B18" s="201"/>
      <c r="E18" s="36"/>
      <c r="F18" s="278" t="n">
        <v>0</v>
      </c>
      <c r="G18" s="120" t="n">
        <f aca="false">G83</f>
        <v>31.5984308423483</v>
      </c>
      <c r="H18" s="120" t="n">
        <f aca="false">H83</f>
        <v>234.998430842348</v>
      </c>
      <c r="I18" s="120" t="n">
        <f aca="false">I83</f>
        <v>438.398430842348</v>
      </c>
      <c r="J18" s="120" t="n">
        <f aca="false">J83</f>
        <v>641.798430842348</v>
      </c>
      <c r="K18" s="120" t="n">
        <f aca="false">K83</f>
        <v>845.198430842348</v>
      </c>
      <c r="L18" s="120" t="n">
        <f aca="false">L83</f>
        <v>1048.59843084235</v>
      </c>
      <c r="M18" s="120" t="n">
        <f aca="false">M83</f>
        <v>1251.99843084235</v>
      </c>
      <c r="N18" s="120" t="n">
        <f aca="false">N83</f>
        <v>1455.39843084235</v>
      </c>
      <c r="O18" s="120" t="n">
        <f aca="false">O83</f>
        <v>1658.79843084235</v>
      </c>
      <c r="P18" s="120" t="n">
        <f aca="false">P83</f>
        <v>1862.19843084235</v>
      </c>
      <c r="Q18" s="120" t="n">
        <f aca="false">Q83</f>
        <v>2065.59843084235</v>
      </c>
      <c r="R18" s="27"/>
    </row>
    <row r="19" customFormat="false" ht="12.75" hidden="false" customHeight="false" outlineLevel="0" collapsed="false">
      <c r="E19" s="36"/>
      <c r="F19" s="278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7"/>
    </row>
    <row r="20" customFormat="false" ht="12.75" hidden="false" customHeight="false" outlineLevel="0" collapsed="false">
      <c r="A20" s="113" t="s">
        <v>122</v>
      </c>
      <c r="B20" s="114"/>
      <c r="C20" s="114"/>
      <c r="D20" s="114"/>
      <c r="E20" s="290"/>
      <c r="F20" s="291" t="n">
        <f aca="false">F16-F18</f>
        <v>3675</v>
      </c>
      <c r="G20" s="115" t="n">
        <f aca="false">G16-G18</f>
        <v>3643.40156915765</v>
      </c>
      <c r="H20" s="115" t="n">
        <f aca="false">H16-H18</f>
        <v>3440.00156915765</v>
      </c>
      <c r="I20" s="115" t="n">
        <f aca="false">I16-I18</f>
        <v>3236.60156915765</v>
      </c>
      <c r="J20" s="115" t="n">
        <f aca="false">J16-J18</f>
        <v>3033.20156915765</v>
      </c>
      <c r="K20" s="115" t="n">
        <f aca="false">K16-K18</f>
        <v>2829.80156915765</v>
      </c>
      <c r="L20" s="115" t="n">
        <f aca="false">L16-L18</f>
        <v>2626.40156915765</v>
      </c>
      <c r="M20" s="115" t="n">
        <f aca="false">M16-M18</f>
        <v>2423.00156915765</v>
      </c>
      <c r="N20" s="115" t="n">
        <f aca="false">N16-N18</f>
        <v>2219.60156915765</v>
      </c>
      <c r="O20" s="115" t="n">
        <f aca="false">O16-O18</f>
        <v>2016.20156915765</v>
      </c>
      <c r="P20" s="115" t="n">
        <f aca="false">P16-P18</f>
        <v>1812.80156915765</v>
      </c>
      <c r="Q20" s="117" t="n">
        <f aca="false">Q16-Q18</f>
        <v>1609.40156915765</v>
      </c>
      <c r="R20" s="27"/>
    </row>
    <row r="21" customFormat="false" ht="12.75" hidden="false" customHeight="false" outlineLevel="0" collapsed="false">
      <c r="E21" s="36"/>
      <c r="F21" s="278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27"/>
    </row>
    <row r="22" customFormat="false" ht="12.75" hidden="false" customHeight="false" outlineLevel="0" collapsed="false">
      <c r="A22" s="32" t="s">
        <v>159</v>
      </c>
      <c r="E22" s="216"/>
      <c r="F22" s="278"/>
      <c r="G22" s="32" t="n">
        <f aca="false">$B$24*(G16-G88)</f>
        <v>1402.7096041257</v>
      </c>
      <c r="H22" s="32" t="n">
        <f aca="false">$B$24*(H16-H88)</f>
        <v>1313.45174783882</v>
      </c>
      <c r="I22" s="32" t="n">
        <f aca="false">$B$24*(I16-I88)</f>
        <v>1166.97607305494</v>
      </c>
      <c r="J22" s="32" t="n">
        <f aca="false">$B$24*(J16-J88)</f>
        <v>1035.13580035357</v>
      </c>
      <c r="K22" s="32" t="n">
        <f aca="false">$B$24*(K16-K88)</f>
        <v>916.413411318215</v>
      </c>
      <c r="L22" s="32" t="n">
        <f aca="false">$B$24*(L16-L88)</f>
        <v>809.580292740617</v>
      </c>
      <c r="M22" s="32" t="n">
        <f aca="false">$B$24*(M16-M88)</f>
        <v>712.810194868321</v>
      </c>
      <c r="N22" s="32" t="n">
        <f aca="false">$B$24*(N16-N88)</f>
        <v>620.405574868321</v>
      </c>
      <c r="O22" s="32" t="n">
        <f aca="false">$B$24*(O16-O88)</f>
        <v>527.976624076573</v>
      </c>
      <c r="P22" s="32" t="n">
        <f aca="false">$B$24*(P16-P88)</f>
        <v>435.439716868321</v>
      </c>
      <c r="Q22" s="32" t="n">
        <f aca="false">$B$24*(Q16-Q88)</f>
        <v>343.010766076573</v>
      </c>
      <c r="R22" s="27"/>
    </row>
    <row r="23" customFormat="false" ht="15" hidden="false" customHeight="false" outlineLevel="0" collapsed="false">
      <c r="A23" s="32" t="s">
        <v>160</v>
      </c>
      <c r="E23" s="292"/>
      <c r="F23" s="293"/>
      <c r="G23" s="116" t="n">
        <f aca="false">G24-G22</f>
        <v>0</v>
      </c>
      <c r="H23" s="116" t="n">
        <f aca="false">H24-H22</f>
        <v>10.9488562868737</v>
      </c>
      <c r="I23" s="116" t="n">
        <f aca="false">I24-I22</f>
        <v>79.1155310707561</v>
      </c>
      <c r="J23" s="116" t="n">
        <f aca="false">J24-J22</f>
        <v>132.646803772124</v>
      </c>
      <c r="K23" s="116" t="n">
        <f aca="false">K24-K22</f>
        <v>173.060192807481</v>
      </c>
      <c r="L23" s="116" t="n">
        <f aca="false">L24-L22</f>
        <v>201.584311385079</v>
      </c>
      <c r="M23" s="116" t="n">
        <f aca="false">M24-M22</f>
        <v>220.045409257375</v>
      </c>
      <c r="N23" s="116" t="n">
        <f aca="false">N24-N22</f>
        <v>234.141029257375</v>
      </c>
      <c r="O23" s="116" t="n">
        <f aca="false">O24-O22</f>
        <v>248.260980049123</v>
      </c>
      <c r="P23" s="116" t="n">
        <f aca="false">P24-P22</f>
        <v>262.488887257375</v>
      </c>
      <c r="Q23" s="116" t="n">
        <f aca="false">Q24-Q22</f>
        <v>276.608838049123</v>
      </c>
      <c r="R23" s="27"/>
    </row>
    <row r="24" customFormat="false" ht="12.75" hidden="false" customHeight="false" outlineLevel="0" collapsed="false">
      <c r="A24" s="209" t="s">
        <v>154</v>
      </c>
      <c r="B24" s="294" t="n">
        <f aca="false">Assumptions!D19</f>
        <v>0.385</v>
      </c>
      <c r="E24" s="216"/>
      <c r="F24" s="278" t="n">
        <v>0</v>
      </c>
      <c r="G24" s="32" t="n">
        <f aca="false">$B$24*G20</f>
        <v>1402.7096041257</v>
      </c>
      <c r="H24" s="32" t="n">
        <f aca="false">$B$24*H20</f>
        <v>1324.4006041257</v>
      </c>
      <c r="I24" s="32" t="n">
        <f aca="false">$B$24*I20</f>
        <v>1246.0916041257</v>
      </c>
      <c r="J24" s="32" t="n">
        <f aca="false">$B$24*J20</f>
        <v>1167.7826041257</v>
      </c>
      <c r="K24" s="32" t="n">
        <f aca="false">$B$24*K20</f>
        <v>1089.4736041257</v>
      </c>
      <c r="L24" s="32" t="n">
        <f aca="false">$B$24*L20</f>
        <v>1011.1646041257</v>
      </c>
      <c r="M24" s="32" t="n">
        <f aca="false">$B$24*M20</f>
        <v>932.855604125696</v>
      </c>
      <c r="N24" s="32" t="n">
        <f aca="false">$B$24*N20</f>
        <v>854.546604125696</v>
      </c>
      <c r="O24" s="32" t="n">
        <f aca="false">$B$24*O20</f>
        <v>776.237604125696</v>
      </c>
      <c r="P24" s="32" t="n">
        <f aca="false">$B$24*P20</f>
        <v>697.928604125696</v>
      </c>
      <c r="Q24" s="32" t="n">
        <f aca="false">$B$24*Q20</f>
        <v>619.619604125696</v>
      </c>
      <c r="R24" s="27"/>
    </row>
    <row r="25" customFormat="false" ht="12.75" hidden="false" customHeight="false" outlineLevel="0" collapsed="false">
      <c r="A25" s="32"/>
      <c r="B25" s="54"/>
      <c r="E25" s="36"/>
      <c r="F25" s="278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27"/>
    </row>
    <row r="26" customFormat="false" ht="12.75" hidden="false" customHeight="false" outlineLevel="0" collapsed="false">
      <c r="A26" s="295" t="s">
        <v>126</v>
      </c>
      <c r="B26" s="124"/>
      <c r="C26" s="114"/>
      <c r="D26" s="114"/>
      <c r="E26" s="296"/>
      <c r="F26" s="291" t="n">
        <f aca="false">F20-F24</f>
        <v>3675</v>
      </c>
      <c r="G26" s="115" t="n">
        <f aca="false">G20-G24</f>
        <v>2240.69196503196</v>
      </c>
      <c r="H26" s="115" t="n">
        <f aca="false">H20-H24</f>
        <v>2115.60096503196</v>
      </c>
      <c r="I26" s="115" t="n">
        <f aca="false">I20-I24</f>
        <v>1990.50996503196</v>
      </c>
      <c r="J26" s="115" t="n">
        <f aca="false">J20-J24</f>
        <v>1865.41896503196</v>
      </c>
      <c r="K26" s="115" t="n">
        <f aca="false">K20-K24</f>
        <v>1740.32796503196</v>
      </c>
      <c r="L26" s="115" t="n">
        <f aca="false">L20-L24</f>
        <v>1615.23696503196</v>
      </c>
      <c r="M26" s="115" t="n">
        <f aca="false">M20-M24</f>
        <v>1490.14596503196</v>
      </c>
      <c r="N26" s="115" t="n">
        <f aca="false">N20-N24</f>
        <v>1365.05496503196</v>
      </c>
      <c r="O26" s="115" t="n">
        <f aca="false">O20-O24</f>
        <v>1239.96396503196</v>
      </c>
      <c r="P26" s="115" t="n">
        <f aca="false">P20-P24</f>
        <v>1114.87296503196</v>
      </c>
      <c r="Q26" s="117" t="n">
        <f aca="false">Q20-Q24</f>
        <v>989.781965031955</v>
      </c>
      <c r="R26" s="217" t="s">
        <v>119</v>
      </c>
    </row>
    <row r="27" customFormat="false" ht="12.75" hidden="false" customHeight="false" outlineLevel="0" collapsed="false">
      <c r="A27" s="32"/>
      <c r="B27" s="54"/>
      <c r="E27" s="36"/>
      <c r="F27" s="278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217" t="s">
        <v>162</v>
      </c>
    </row>
    <row r="28" customFormat="false" ht="12.75" hidden="false" customHeight="false" outlineLevel="0" collapsed="false">
      <c r="A28" s="32" t="s">
        <v>161</v>
      </c>
      <c r="B28" s="54"/>
      <c r="E28" s="36"/>
      <c r="F28" s="278" t="n">
        <f aca="false">F26+F23+F18</f>
        <v>3675</v>
      </c>
      <c r="G28" s="32" t="n">
        <f aca="false">G26+G23+G18</f>
        <v>2272.2903958743</v>
      </c>
      <c r="H28" s="32" t="n">
        <f aca="false">H26+H23+H18</f>
        <v>2361.54825216118</v>
      </c>
      <c r="I28" s="32" t="n">
        <f aca="false">I26+I23+I18</f>
        <v>2508.02392694506</v>
      </c>
      <c r="J28" s="32" t="n">
        <f aca="false">J26+J23+J18</f>
        <v>2639.86419964643</v>
      </c>
      <c r="K28" s="32" t="n">
        <f aca="false">K26+K23+K18</f>
        <v>2758.58658868179</v>
      </c>
      <c r="L28" s="32" t="n">
        <f aca="false">L26+L23+L18</f>
        <v>2865.41970725938</v>
      </c>
      <c r="M28" s="32" t="n">
        <f aca="false">M26+M23+M18</f>
        <v>2962.18980513168</v>
      </c>
      <c r="N28" s="32" t="n">
        <f aca="false">N26+N23+N18</f>
        <v>3054.59442513168</v>
      </c>
      <c r="O28" s="32" t="n">
        <f aca="false">O26+O23+O18</f>
        <v>3147.02337592343</v>
      </c>
      <c r="P28" s="32" t="n">
        <f aca="false">P26+P23+P18</f>
        <v>3239.56028313168</v>
      </c>
      <c r="Q28" s="32" t="n">
        <f aca="false">Q26+Q23+Q18</f>
        <v>3331.98923392343</v>
      </c>
      <c r="R28" s="217" t="s">
        <v>163</v>
      </c>
    </row>
    <row r="29" customFormat="false" ht="12.75" hidden="false" customHeight="false" outlineLevel="0" collapsed="false">
      <c r="A29" s="32" t="s">
        <v>132</v>
      </c>
      <c r="B29" s="297" t="n">
        <f aca="false">Assumptions!C53</f>
        <v>1</v>
      </c>
      <c r="E29" s="36"/>
      <c r="F29" s="278" t="n">
        <f aca="false">F77</f>
        <v>4068</v>
      </c>
      <c r="G29" s="32" t="n">
        <f aca="false">G77</f>
        <v>4068</v>
      </c>
      <c r="H29" s="32" t="n">
        <f aca="false">H77</f>
        <v>4068</v>
      </c>
      <c r="I29" s="32" t="n">
        <f aca="false">I77</f>
        <v>4068</v>
      </c>
      <c r="J29" s="32" t="n">
        <f aca="false">J77</f>
        <v>4068</v>
      </c>
      <c r="K29" s="32" t="n">
        <f aca="false">K77</f>
        <v>4068</v>
      </c>
      <c r="L29" s="32" t="n">
        <f aca="false">L77</f>
        <v>4068</v>
      </c>
      <c r="M29" s="32" t="n">
        <f aca="false">M77</f>
        <v>4068</v>
      </c>
      <c r="N29" s="32" t="n">
        <f aca="false">N77</f>
        <v>4068</v>
      </c>
      <c r="O29" s="32" t="n">
        <f aca="false">O77</f>
        <v>4068</v>
      </c>
      <c r="P29" s="32" t="n">
        <f aca="false">P77</f>
        <v>4068</v>
      </c>
      <c r="Q29" s="32" t="n">
        <f aca="false">Q77</f>
        <v>4068</v>
      </c>
      <c r="R29" s="345" t="n">
        <f aca="false">Assumptions!E52</f>
        <v>5</v>
      </c>
    </row>
    <row r="30" customFormat="false" ht="12.75" hidden="false" customHeight="false" outlineLevel="0" collapsed="false">
      <c r="A30" s="299" t="s">
        <v>164</v>
      </c>
      <c r="B30" s="114"/>
      <c r="C30" s="114"/>
      <c r="D30" s="114"/>
      <c r="E30" s="290"/>
      <c r="F30" s="291" t="n">
        <f aca="false">F28-F29</f>
        <v>-393</v>
      </c>
      <c r="G30" s="115" t="n">
        <f aca="false">G28-G29</f>
        <v>-1795.7096041257</v>
      </c>
      <c r="H30" s="115" t="n">
        <f aca="false">H28-H29</f>
        <v>-1706.45174783882</v>
      </c>
      <c r="I30" s="115" t="n">
        <f aca="false">I28-I29</f>
        <v>-1559.97607305494</v>
      </c>
      <c r="J30" s="115" t="n">
        <f aca="false">J28-J29</f>
        <v>-1428.13580035357</v>
      </c>
      <c r="K30" s="115" t="n">
        <f aca="false">K28-K29</f>
        <v>-1309.41341131821</v>
      </c>
      <c r="L30" s="115" t="n">
        <f aca="false">L28-L29</f>
        <v>-1202.58029274062</v>
      </c>
      <c r="M30" s="115" t="n">
        <f aca="false">M28-M29</f>
        <v>-1105.81019486832</v>
      </c>
      <c r="N30" s="115" t="n">
        <f aca="false">N28-N29</f>
        <v>-1013.40557486832</v>
      </c>
      <c r="O30" s="115" t="n">
        <f aca="false">O28-O29</f>
        <v>-920.976624076573</v>
      </c>
      <c r="P30" s="115" t="n">
        <f aca="false">P28-P29</f>
        <v>-828.439716868321</v>
      </c>
      <c r="Q30" s="115" t="n">
        <f aca="false">Q28-Q29</f>
        <v>-736.010766076573</v>
      </c>
      <c r="R30" s="117" t="n">
        <f aca="false">Q16*R29</f>
        <v>18375</v>
      </c>
    </row>
    <row r="31" customFormat="false" ht="12.75" hidden="false" customHeight="false" outlineLevel="0" collapsed="false">
      <c r="A31" s="209"/>
      <c r="E31" s="36"/>
      <c r="F31" s="278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</row>
    <row r="32" customFormat="false" ht="13.5" hidden="false" customHeight="false" outlineLevel="0" collapsed="false">
      <c r="R32" s="32"/>
    </row>
    <row r="33" customFormat="false" ht="15" hidden="false" customHeight="false" outlineLevel="0" collapsed="false">
      <c r="F33" s="0"/>
      <c r="G33" s="301" t="s">
        <v>169</v>
      </c>
      <c r="H33" s="302" t="str">
        <f aca="false">(Assumptions!D12-1&amp;" EBITDA")</f>
        <v>1999 EBITDA</v>
      </c>
      <c r="I33" s="302" t="s">
        <v>179</v>
      </c>
      <c r="J33" s="303"/>
      <c r="K33" s="304" t="s">
        <v>170</v>
      </c>
      <c r="L33" s="304"/>
      <c r="M33" s="304"/>
      <c r="P33" s="32"/>
      <c r="Q33" s="32"/>
      <c r="R33" s="32"/>
    </row>
    <row r="34" customFormat="false" ht="15" hidden="false" customHeight="false" outlineLevel="0" collapsed="false">
      <c r="F34" s="0"/>
      <c r="G34" s="305" t="s">
        <v>171</v>
      </c>
      <c r="H34" s="306" t="s">
        <v>172</v>
      </c>
      <c r="I34" s="306" t="s">
        <v>180</v>
      </c>
      <c r="J34" s="307"/>
      <c r="K34" s="308" t="n">
        <f aca="false">Asset5DRate-0.025</f>
        <v>0.1</v>
      </c>
      <c r="L34" s="308" t="n">
        <f aca="false">Assumptions!H43</f>
        <v>0.125</v>
      </c>
      <c r="M34" s="309" t="n">
        <f aca="false">Asset5DRate+0.025</f>
        <v>0.15</v>
      </c>
      <c r="P34" s="32"/>
      <c r="Q34" s="32"/>
      <c r="R34" s="32"/>
    </row>
    <row r="35" customFormat="false" ht="12.75" hidden="false" customHeight="false" outlineLevel="0" collapsed="false">
      <c r="F35" s="52" t="s">
        <v>174</v>
      </c>
      <c r="G35" s="248"/>
      <c r="H35" s="310"/>
      <c r="I35" s="310"/>
      <c r="J35" s="249"/>
      <c r="K35" s="249"/>
      <c r="L35" s="249"/>
      <c r="M35" s="251"/>
      <c r="P35" s="32"/>
      <c r="Q35" s="32"/>
      <c r="R35" s="32"/>
    </row>
    <row r="36" customFormat="false" ht="13.5" hidden="false" customHeight="false" outlineLevel="0" collapsed="false">
      <c r="F36" s="0" t="n">
        <f aca="false">IF(ABS(G36-L36)&lt;0.05,0,1)</f>
        <v>0</v>
      </c>
      <c r="G36" s="311" t="n">
        <v>-3436.03138315303</v>
      </c>
      <c r="H36" s="312" t="n">
        <f aca="false">G36/F16</f>
        <v>-0.934974526028037</v>
      </c>
      <c r="I36" s="313" t="str">
        <f aca="false">Assumptions!D40</f>
        <v>ETS</v>
      </c>
      <c r="J36" s="314"/>
      <c r="K36" s="342" t="n">
        <f aca="false">NPV(K34,$G$30:$R$30)</f>
        <v>-2835.41702243379</v>
      </c>
      <c r="L36" s="343" t="n">
        <f aca="false">NPV(L34,$G$30:$R$30)</f>
        <v>-3436.07049755987</v>
      </c>
      <c r="M36" s="257" t="n">
        <f aca="false">NPV(M34,$G$30:$R$30)</f>
        <v>-3802.33609334932</v>
      </c>
      <c r="P36" s="32"/>
      <c r="Q36" s="32"/>
      <c r="R36" s="32"/>
    </row>
    <row r="37" customFormat="false" ht="12.75" hidden="false" customHeight="false" outlineLevel="0" collapsed="false">
      <c r="F37" s="0"/>
      <c r="G37" s="32"/>
      <c r="H37" s="318"/>
      <c r="I37" s="318"/>
      <c r="J37" s="32"/>
      <c r="K37" s="32"/>
      <c r="L37" s="32"/>
      <c r="M37" s="32"/>
      <c r="P37" s="32"/>
      <c r="Q37" s="32"/>
      <c r="R37" s="32"/>
    </row>
    <row r="38" customFormat="false" ht="12.75" hidden="false" customHeight="false" outlineLevel="0" collapsed="false">
      <c r="F38" s="32"/>
      <c r="G38" s="32"/>
      <c r="H38" s="32"/>
      <c r="I38" s="32"/>
      <c r="J38" s="32"/>
      <c r="K38" s="32"/>
      <c r="L38" s="32"/>
      <c r="N38" s="32"/>
      <c r="O38" s="32"/>
      <c r="P38" s="32"/>
      <c r="Q38" s="32"/>
    </row>
    <row r="39" customFormat="false" ht="12.75" hidden="false" customHeight="false" outlineLevel="0" collapsed="false">
      <c r="E39" s="32"/>
      <c r="F39" s="32"/>
      <c r="G39" s="32"/>
      <c r="I39" s="27"/>
      <c r="J39" s="27"/>
      <c r="K39" s="27"/>
      <c r="L39" s="27"/>
      <c r="M39" s="27"/>
      <c r="N39" s="27"/>
      <c r="O39" s="27"/>
      <c r="P39" s="27"/>
      <c r="Q39" s="27"/>
    </row>
    <row r="40" customFormat="false" ht="12.75" hidden="false" customHeight="false" outlineLevel="0" collapsed="false">
      <c r="E40" s="32"/>
      <c r="F40" s="32"/>
      <c r="G40" s="32"/>
      <c r="H40" s="32"/>
      <c r="I40" s="27"/>
      <c r="J40" s="27"/>
      <c r="K40" s="27"/>
      <c r="L40" s="27"/>
      <c r="M40" s="27"/>
      <c r="N40" s="27"/>
      <c r="O40" s="27"/>
      <c r="P40" s="27"/>
      <c r="Q40" s="27"/>
    </row>
    <row r="41" customFormat="false" ht="13.5" hidden="false" customHeight="false" outlineLevel="0" collapsed="false">
      <c r="A41" s="13" t="s">
        <v>181</v>
      </c>
    </row>
    <row r="42" customFormat="false" ht="13.5" hidden="false" customHeight="false" outlineLevel="0" collapsed="false">
      <c r="B42" s="319" t="s">
        <v>182</v>
      </c>
      <c r="C42" s="320" t="s">
        <v>183</v>
      </c>
      <c r="F42" s="321" t="n">
        <f aca="false">G42-1</f>
        <v>1999</v>
      </c>
      <c r="G42" s="13" t="n">
        <f aca="false">Assumptions!D12</f>
        <v>2000</v>
      </c>
      <c r="H42" s="13" t="n">
        <f aca="false">G42+1</f>
        <v>2001</v>
      </c>
      <c r="I42" s="13" t="n">
        <f aca="false">H42+1</f>
        <v>2002</v>
      </c>
      <c r="J42" s="13" t="n">
        <f aca="false">I42+1</f>
        <v>2003</v>
      </c>
      <c r="K42" s="13" t="n">
        <f aca="false">J42+1</f>
        <v>2004</v>
      </c>
      <c r="L42" s="13" t="n">
        <f aca="false">K42+1</f>
        <v>2005</v>
      </c>
      <c r="M42" s="13" t="n">
        <f aca="false">L42+1</f>
        <v>2006</v>
      </c>
      <c r="N42" s="13" t="n">
        <f aca="false">M42+1</f>
        <v>2007</v>
      </c>
      <c r="O42" s="13" t="n">
        <f aca="false">N42+1</f>
        <v>2008</v>
      </c>
      <c r="P42" s="13" t="n">
        <f aca="false">O42+1</f>
        <v>2009</v>
      </c>
      <c r="Q42" s="13" t="n">
        <f aca="false">P42+1</f>
        <v>2010</v>
      </c>
    </row>
    <row r="43" customFormat="false" ht="13.5" hidden="false" customHeight="false" outlineLevel="0" collapsed="false">
      <c r="A43" s="322" t="str">
        <f aca="false">A2</f>
        <v>  Other - Cash Flow Analysis</v>
      </c>
      <c r="B43" s="323" t="n">
        <f aca="false">Assumptions!C53</f>
        <v>1</v>
      </c>
      <c r="C43" s="324" t="n">
        <v>1</v>
      </c>
      <c r="D43" s="114"/>
      <c r="E43" s="325"/>
      <c r="F43" s="291" t="n">
        <f aca="false">F48*$B$43</f>
        <v>-15471</v>
      </c>
      <c r="G43" s="115" t="n">
        <f aca="false">CHOOSE($C$43,G48,G51,G54)*$B$43+G44</f>
        <v>-15471</v>
      </c>
      <c r="H43" s="115" t="n">
        <f aca="false">CHOOSE($C$43,H48,H51,H54)*$B$43+H44</f>
        <v>-15471</v>
      </c>
      <c r="I43" s="115" t="n">
        <f aca="false">CHOOSE($C$43,I48,I51,I54)*$B$43+I44</f>
        <v>-15471</v>
      </c>
      <c r="J43" s="115" t="n">
        <f aca="false">CHOOSE($C$43,J48,J51,J54)*$B$43+J44</f>
        <v>-15471</v>
      </c>
      <c r="K43" s="115" t="n">
        <f aca="false">CHOOSE($C$43,K48,K51,K54)*$B$43+K44</f>
        <v>-15471</v>
      </c>
      <c r="L43" s="115" t="n">
        <f aca="false">CHOOSE($C$43,L48,L51,L54)*$B$43+L44</f>
        <v>-15471</v>
      </c>
      <c r="M43" s="115" t="n">
        <f aca="false">CHOOSE($C$43,M48,M51,M54)*$B$43+M44</f>
        <v>-15471</v>
      </c>
      <c r="N43" s="115" t="n">
        <f aca="false">CHOOSE($C$43,N48,N51,N54)*$B$43+N44</f>
        <v>-15471</v>
      </c>
      <c r="O43" s="115" t="n">
        <f aca="false">CHOOSE($C$43,O48,O51,O54)*$B$43+O44</f>
        <v>-15471</v>
      </c>
      <c r="P43" s="115" t="n">
        <f aca="false">CHOOSE($C$43,P48,P51,P54)*$B$43+P44</f>
        <v>-15471</v>
      </c>
      <c r="Q43" s="117" t="n">
        <f aca="false">CHOOSE($C$43,Q48,Q51,Q54)*$B$43+Q44</f>
        <v>-15471</v>
      </c>
    </row>
    <row r="44" customFormat="false" ht="12.75" hidden="false" customHeight="false" outlineLevel="0" collapsed="false">
      <c r="C44" s="326"/>
      <c r="F44" s="284" t="s">
        <v>184</v>
      </c>
      <c r="G44" s="32" t="n">
        <v>0</v>
      </c>
      <c r="H44" s="32" t="n">
        <v>0</v>
      </c>
      <c r="I44" s="32" t="n">
        <v>0</v>
      </c>
      <c r="J44" s="32" t="n">
        <v>0</v>
      </c>
      <c r="K44" s="32" t="n">
        <v>0</v>
      </c>
      <c r="L44" s="32" t="n">
        <v>0</v>
      </c>
      <c r="M44" s="32" t="n">
        <v>0</v>
      </c>
      <c r="N44" s="32" t="n">
        <v>0</v>
      </c>
      <c r="O44" s="32" t="n">
        <v>0</v>
      </c>
      <c r="P44" s="32" t="n">
        <v>0</v>
      </c>
      <c r="Q44" s="32" t="n">
        <v>0</v>
      </c>
    </row>
    <row r="45" customFormat="false" ht="12.75" hidden="false" customHeight="false" outlineLevel="0" collapsed="false">
      <c r="C45" s="327"/>
      <c r="D45" s="279"/>
      <c r="F45" s="209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customFormat="false" ht="12.75" hidden="false" customHeight="false" outlineLevel="0" collapsed="false">
      <c r="A46" s="12" t="str">
        <f aca="false">Assumptions!B58</f>
        <v>1. Base Case</v>
      </c>
      <c r="C46" s="327" t="n">
        <v>1</v>
      </c>
    </row>
    <row r="47" customFormat="false" ht="15" hidden="false" customHeight="false" outlineLevel="0" collapsed="false">
      <c r="A47" s="0" t="s">
        <v>185</v>
      </c>
      <c r="C47" s="327"/>
      <c r="D47" s="328"/>
      <c r="E47" s="36"/>
      <c r="F47" s="293" t="n">
        <v>-15471</v>
      </c>
      <c r="G47" s="116" t="n">
        <f aca="false">F47</f>
        <v>-15471</v>
      </c>
      <c r="H47" s="116" t="n">
        <f aca="false">G47</f>
        <v>-15471</v>
      </c>
      <c r="I47" s="116" t="n">
        <f aca="false">H47</f>
        <v>-15471</v>
      </c>
      <c r="J47" s="116" t="n">
        <f aca="false">I47</f>
        <v>-15471</v>
      </c>
      <c r="K47" s="116" t="n">
        <f aca="false">J47</f>
        <v>-15471</v>
      </c>
      <c r="L47" s="116" t="n">
        <f aca="false">K47</f>
        <v>-15471</v>
      </c>
      <c r="M47" s="116" t="n">
        <f aca="false">L47</f>
        <v>-15471</v>
      </c>
      <c r="N47" s="116" t="n">
        <f aca="false">M47</f>
        <v>-15471</v>
      </c>
      <c r="O47" s="116" t="n">
        <f aca="false">N47</f>
        <v>-15471</v>
      </c>
      <c r="P47" s="116" t="n">
        <f aca="false">O47</f>
        <v>-15471</v>
      </c>
      <c r="Q47" s="116" t="n">
        <f aca="false">P47</f>
        <v>-15471</v>
      </c>
    </row>
    <row r="48" customFormat="false" ht="12.75" hidden="false" customHeight="false" outlineLevel="0" collapsed="false">
      <c r="A48" s="190" t="s">
        <v>154</v>
      </c>
      <c r="B48" s="329" t="n">
        <v>1</v>
      </c>
      <c r="C48" s="327"/>
      <c r="D48" s="282"/>
      <c r="E48" s="283"/>
      <c r="F48" s="278" t="n">
        <f aca="false">SUM(F47)*$B$48</f>
        <v>-15471</v>
      </c>
      <c r="G48" s="32" t="n">
        <f aca="false">SUM(G47)*$B$48+G49</f>
        <v>-15471</v>
      </c>
      <c r="H48" s="32" t="n">
        <f aca="false">SUM(H47)*$B$48+H49</f>
        <v>-15471</v>
      </c>
      <c r="I48" s="32" t="n">
        <f aca="false">SUM(I47)*$B$48+I49</f>
        <v>-15471</v>
      </c>
      <c r="J48" s="32" t="n">
        <f aca="false">SUM(J47)*$B$48+J49</f>
        <v>-15471</v>
      </c>
      <c r="K48" s="32" t="n">
        <f aca="false">SUM(K47)*$B$48+K49</f>
        <v>-15471</v>
      </c>
      <c r="L48" s="32" t="n">
        <f aca="false">SUM(L47)*$B$48+L49</f>
        <v>-15471</v>
      </c>
      <c r="M48" s="32" t="n">
        <f aca="false">SUM(M47)*$B$48+M49</f>
        <v>-15471</v>
      </c>
      <c r="N48" s="32" t="n">
        <f aca="false">SUM(N47)*$B$48+N49</f>
        <v>-15471</v>
      </c>
      <c r="O48" s="32" t="n">
        <f aca="false">SUM(O47)*$B$48+O49</f>
        <v>-15471</v>
      </c>
      <c r="P48" s="32" t="n">
        <f aca="false">SUM(P47)*$B$48+P49</f>
        <v>-15471</v>
      </c>
      <c r="Q48" s="32" t="n">
        <f aca="false">SUM(Q47)*$B$48+Q49</f>
        <v>-15471</v>
      </c>
    </row>
    <row r="49" customFormat="false" ht="12.75" hidden="false" customHeight="false" outlineLevel="0" collapsed="false">
      <c r="C49" s="327"/>
      <c r="F49" s="284" t="s">
        <v>184</v>
      </c>
      <c r="G49" s="32" t="n">
        <v>0</v>
      </c>
      <c r="H49" s="32" t="n">
        <v>0</v>
      </c>
      <c r="I49" s="32" t="n">
        <f aca="false">H49</f>
        <v>0</v>
      </c>
      <c r="J49" s="32" t="n">
        <f aca="false">I49</f>
        <v>0</v>
      </c>
      <c r="K49" s="32" t="n">
        <f aca="false">J49</f>
        <v>0</v>
      </c>
      <c r="L49" s="32" t="n">
        <f aca="false">K49</f>
        <v>0</v>
      </c>
      <c r="M49" s="32" t="n">
        <f aca="false">L49</f>
        <v>0</v>
      </c>
      <c r="N49" s="32" t="n">
        <f aca="false">M49</f>
        <v>0</v>
      </c>
      <c r="O49" s="32" t="n">
        <f aca="false">N49</f>
        <v>0</v>
      </c>
      <c r="P49" s="32" t="n">
        <f aca="false">O49</f>
        <v>0</v>
      </c>
      <c r="Q49" s="32" t="n">
        <f aca="false">P49</f>
        <v>0</v>
      </c>
    </row>
    <row r="50" customFormat="false" ht="12.75" hidden="false" customHeight="false" outlineLevel="0" collapsed="false">
      <c r="C50" s="327"/>
    </row>
    <row r="51" customFormat="false" ht="12.75" hidden="false" customHeight="false" outlineLevel="0" collapsed="false">
      <c r="A51" s="12" t="str">
        <f aca="false">Assumptions!B59</f>
        <v>2. Optimistic</v>
      </c>
      <c r="B51" s="329" t="n">
        <v>1.02</v>
      </c>
      <c r="C51" s="327" t="n">
        <v>2</v>
      </c>
      <c r="D51" s="282"/>
      <c r="F51" s="278" t="n">
        <f aca="false">F48</f>
        <v>-15471</v>
      </c>
      <c r="G51" s="133" t="n">
        <f aca="false">F51*$B$51+G52</f>
        <v>-15780.42</v>
      </c>
      <c r="H51" s="133" t="n">
        <f aca="false">G51*$B$51+H52</f>
        <v>-16096.0284</v>
      </c>
      <c r="I51" s="133" t="n">
        <f aca="false">H51*$B$51+I52</f>
        <v>-16417.948968</v>
      </c>
      <c r="J51" s="133" t="n">
        <f aca="false">I51*$B$51+J52</f>
        <v>-16746.30794736</v>
      </c>
      <c r="K51" s="133" t="n">
        <f aca="false">J51*$B$51+K52</f>
        <v>-17081.2341063072</v>
      </c>
      <c r="L51" s="133" t="n">
        <f aca="false">K51*$B$51+L52</f>
        <v>-17422.8587884333</v>
      </c>
      <c r="M51" s="133" t="n">
        <f aca="false">L51*$B$51+M52</f>
        <v>-17771.315964202</v>
      </c>
      <c r="N51" s="133" t="n">
        <f aca="false">M51*$B$51+N52</f>
        <v>-18126.7422834861</v>
      </c>
      <c r="O51" s="133" t="n">
        <f aca="false">N51*$B$51+O52</f>
        <v>-18489.2771291558</v>
      </c>
      <c r="P51" s="133" t="n">
        <f aca="false">O51*$B$51+P52</f>
        <v>-18859.0626717389</v>
      </c>
      <c r="Q51" s="133" t="n">
        <f aca="false">P51*$B$51+Q52</f>
        <v>-19236.2439251737</v>
      </c>
    </row>
    <row r="52" customFormat="false" ht="12.75" hidden="false" customHeight="false" outlineLevel="0" collapsed="false">
      <c r="A52" s="12"/>
      <c r="C52" s="327"/>
      <c r="F52" s="284" t="s">
        <v>184</v>
      </c>
      <c r="G52" s="32" t="n">
        <v>0</v>
      </c>
      <c r="H52" s="32" t="n">
        <v>0</v>
      </c>
      <c r="I52" s="32" t="n">
        <f aca="false">H52</f>
        <v>0</v>
      </c>
      <c r="J52" s="32" t="n">
        <f aca="false">I52</f>
        <v>0</v>
      </c>
      <c r="K52" s="32" t="n">
        <f aca="false">J52</f>
        <v>0</v>
      </c>
      <c r="L52" s="32" t="n">
        <f aca="false">K52</f>
        <v>0</v>
      </c>
      <c r="M52" s="32" t="n">
        <f aca="false">L52</f>
        <v>0</v>
      </c>
      <c r="N52" s="32" t="n">
        <f aca="false">M52</f>
        <v>0</v>
      </c>
      <c r="O52" s="32" t="n">
        <f aca="false">N52</f>
        <v>0</v>
      </c>
      <c r="P52" s="32" t="n">
        <f aca="false">O52</f>
        <v>0</v>
      </c>
      <c r="Q52" s="32" t="n">
        <f aca="false">P52</f>
        <v>0</v>
      </c>
    </row>
    <row r="53" customFormat="false" ht="12.75" hidden="false" customHeight="false" outlineLevel="0" collapsed="false">
      <c r="A53" s="12"/>
      <c r="C53" s="327"/>
    </row>
    <row r="54" customFormat="false" ht="12.75" hidden="false" customHeight="false" outlineLevel="0" collapsed="false">
      <c r="A54" s="12" t="str">
        <f aca="false">Assumptions!B60</f>
        <v>3. Pessimistic</v>
      </c>
      <c r="B54" s="329" t="n">
        <v>0.99</v>
      </c>
      <c r="C54" s="327" t="n">
        <v>3</v>
      </c>
      <c r="D54" s="282"/>
      <c r="F54" s="278" t="n">
        <f aca="false">F48</f>
        <v>-15471</v>
      </c>
      <c r="G54" s="133" t="n">
        <f aca="false">F54*$B$54+G55</f>
        <v>-15316.29</v>
      </c>
      <c r="H54" s="133" t="n">
        <f aca="false">G54*$B$54+H55</f>
        <v>-15163.1271</v>
      </c>
      <c r="I54" s="133" t="n">
        <f aca="false">H54*$B$54+I55</f>
        <v>-15011.495829</v>
      </c>
      <c r="J54" s="133" t="n">
        <f aca="false">I54*$B$54+J55</f>
        <v>-14861.38087071</v>
      </c>
      <c r="K54" s="133" t="n">
        <f aca="false">J54*$B$54+K55</f>
        <v>-14712.7670620029</v>
      </c>
      <c r="L54" s="133" t="n">
        <f aca="false">K54*$B$54+L55</f>
        <v>-14565.6393913829</v>
      </c>
      <c r="M54" s="133" t="n">
        <f aca="false">L54*$B$54+M55</f>
        <v>-14419.982997469</v>
      </c>
      <c r="N54" s="133" t="n">
        <f aca="false">M54*$B$54+N55</f>
        <v>-14275.7831674944</v>
      </c>
      <c r="O54" s="133" t="n">
        <f aca="false">N54*$B$54+O55</f>
        <v>-14133.0253358194</v>
      </c>
      <c r="P54" s="133" t="n">
        <f aca="false">O54*$B$54+P55</f>
        <v>-13991.6950824612</v>
      </c>
      <c r="Q54" s="133" t="n">
        <f aca="false">P54*$B$54+Q55</f>
        <v>-13851.7781316366</v>
      </c>
    </row>
    <row r="55" customFormat="false" ht="13.5" hidden="false" customHeight="false" outlineLevel="0" collapsed="false">
      <c r="C55" s="330"/>
      <c r="F55" s="284" t="s">
        <v>184</v>
      </c>
      <c r="G55" s="32" t="n">
        <v>0</v>
      </c>
      <c r="H55" s="32" t="n">
        <v>0</v>
      </c>
      <c r="I55" s="32" t="n">
        <f aca="false">H55</f>
        <v>0</v>
      </c>
      <c r="J55" s="32" t="n">
        <f aca="false">I55</f>
        <v>0</v>
      </c>
      <c r="K55" s="32" t="n">
        <f aca="false">J55</f>
        <v>0</v>
      </c>
      <c r="L55" s="32" t="n">
        <f aca="false">K55</f>
        <v>0</v>
      </c>
      <c r="M55" s="32" t="n">
        <f aca="false">L55</f>
        <v>0</v>
      </c>
      <c r="N55" s="32" t="n">
        <f aca="false">M55</f>
        <v>0</v>
      </c>
      <c r="O55" s="32" t="n">
        <f aca="false">N55</f>
        <v>0</v>
      </c>
      <c r="P55" s="32" t="n">
        <f aca="false">O55</f>
        <v>0</v>
      </c>
      <c r="Q55" s="32" t="n">
        <f aca="false">P55</f>
        <v>0</v>
      </c>
    </row>
    <row r="58" customFormat="false" ht="13.5" hidden="false" customHeight="false" outlineLevel="0" collapsed="false">
      <c r="A58" s="13" t="s">
        <v>186</v>
      </c>
    </row>
    <row r="59" customFormat="false" ht="13.5" hidden="false" customHeight="false" outlineLevel="0" collapsed="false">
      <c r="B59" s="319" t="s">
        <v>182</v>
      </c>
      <c r="C59" s="320" t="s">
        <v>183</v>
      </c>
      <c r="F59" s="321" t="n">
        <f aca="false">G59-1</f>
        <v>1999</v>
      </c>
      <c r="G59" s="13" t="n">
        <f aca="false">Assumptions!D12</f>
        <v>2000</v>
      </c>
      <c r="H59" s="13" t="n">
        <f aca="false">G59+1</f>
        <v>2001</v>
      </c>
      <c r="I59" s="13" t="n">
        <f aca="false">H59+1</f>
        <v>2002</v>
      </c>
      <c r="J59" s="13" t="n">
        <f aca="false">I59+1</f>
        <v>2003</v>
      </c>
      <c r="K59" s="13" t="n">
        <f aca="false">J59+1</f>
        <v>2004</v>
      </c>
      <c r="L59" s="13" t="n">
        <f aca="false">K59+1</f>
        <v>2005</v>
      </c>
      <c r="M59" s="13" t="n">
        <f aca="false">L59+1</f>
        <v>2006</v>
      </c>
      <c r="N59" s="13" t="n">
        <f aca="false">M59+1</f>
        <v>2007</v>
      </c>
      <c r="O59" s="13" t="n">
        <f aca="false">N59+1</f>
        <v>2008</v>
      </c>
      <c r="P59" s="13" t="n">
        <f aca="false">O59+1</f>
        <v>2009</v>
      </c>
      <c r="Q59" s="13" t="n">
        <f aca="false">P59+1</f>
        <v>2010</v>
      </c>
    </row>
    <row r="60" customFormat="false" ht="13.5" hidden="false" customHeight="false" outlineLevel="0" collapsed="false">
      <c r="A60" s="322" t="str">
        <f aca="false">A2</f>
        <v>  Other - Cash Flow Analysis</v>
      </c>
      <c r="B60" s="323" t="n">
        <f aca="false">Assumptions!C53</f>
        <v>1</v>
      </c>
      <c r="C60" s="331" t="n">
        <v>1</v>
      </c>
      <c r="D60" s="114"/>
      <c r="E60" s="325"/>
      <c r="F60" s="332" t="n">
        <f aca="false">F65*$B$60</f>
        <v>-19146</v>
      </c>
      <c r="G60" s="115" t="n">
        <f aca="false">CHOOSE($C$60,G65,G68,G71)*$B$60+G61</f>
        <v>-19146</v>
      </c>
      <c r="H60" s="115" t="n">
        <f aca="false">CHOOSE($C$60,H65,H68,H71)*$B$60+H61</f>
        <v>-19146</v>
      </c>
      <c r="I60" s="115" t="n">
        <f aca="false">CHOOSE($C$60,I65,I68,I71)*$B$60+I61</f>
        <v>-19146</v>
      </c>
      <c r="J60" s="115" t="n">
        <f aca="false">CHOOSE($C$60,J65,J68,J71)*$B$60+J61</f>
        <v>-19146</v>
      </c>
      <c r="K60" s="115" t="n">
        <f aca="false">CHOOSE($C$60,K65,K68,K71)*$B$60+K61</f>
        <v>-19146</v>
      </c>
      <c r="L60" s="115" t="n">
        <f aca="false">CHOOSE($C$60,L65,L68,L71)*$B$60+L61</f>
        <v>-19146</v>
      </c>
      <c r="M60" s="115" t="n">
        <f aca="false">CHOOSE($C$60,M65,M68,M71)*$B$60+M61</f>
        <v>-19146</v>
      </c>
      <c r="N60" s="115" t="n">
        <f aca="false">CHOOSE($C$60,N65,N68,N71)*$B$60+N61</f>
        <v>-19146</v>
      </c>
      <c r="O60" s="115" t="n">
        <f aca="false">CHOOSE($C$60,O65,O68,O71)*$B$60+O61</f>
        <v>-19146</v>
      </c>
      <c r="P60" s="115" t="n">
        <f aca="false">CHOOSE($C$60,P65,P68,P71)*$B$60+P61</f>
        <v>-19146</v>
      </c>
      <c r="Q60" s="117" t="n">
        <f aca="false">CHOOSE($C$60,Q65,Q68,Q71)*$B$60+Q61</f>
        <v>-19146</v>
      </c>
    </row>
    <row r="61" customFormat="false" ht="12.75" hidden="false" customHeight="false" outlineLevel="0" collapsed="false">
      <c r="C61" s="333"/>
      <c r="F61" s="284" t="s">
        <v>184</v>
      </c>
      <c r="G61" s="32" t="n">
        <v>0</v>
      </c>
      <c r="H61" s="32" t="n">
        <v>0</v>
      </c>
      <c r="I61" s="32" t="n">
        <v>0</v>
      </c>
      <c r="J61" s="32" t="n">
        <v>0</v>
      </c>
      <c r="K61" s="32" t="n">
        <v>0</v>
      </c>
      <c r="L61" s="32" t="n">
        <v>0</v>
      </c>
      <c r="M61" s="32" t="n">
        <v>0</v>
      </c>
      <c r="N61" s="32" t="n">
        <v>0</v>
      </c>
      <c r="O61" s="32" t="n">
        <v>0</v>
      </c>
      <c r="P61" s="32" t="n">
        <v>0</v>
      </c>
      <c r="Q61" s="32" t="n">
        <v>0</v>
      </c>
    </row>
    <row r="62" customFormat="false" ht="12.75" hidden="false" customHeight="false" outlineLevel="0" collapsed="false">
      <c r="C62" s="334"/>
      <c r="D62" s="279"/>
      <c r="E62" s="285"/>
    </row>
    <row r="63" customFormat="false" ht="12.75" hidden="false" customHeight="false" outlineLevel="0" collapsed="false">
      <c r="A63" s="12" t="str">
        <f aca="false">Assumptions!B64</f>
        <v>1. Base Case</v>
      </c>
      <c r="C63" s="334"/>
    </row>
    <row r="64" customFormat="false" ht="15" hidden="false" customHeight="false" outlineLevel="0" collapsed="false">
      <c r="A64" s="0" t="s">
        <v>185</v>
      </c>
      <c r="C64" s="334"/>
      <c r="D64" s="282"/>
      <c r="E64" s="346"/>
      <c r="F64" s="293" t="n">
        <v>-19146</v>
      </c>
      <c r="G64" s="116" t="n">
        <f aca="false">F64</f>
        <v>-19146</v>
      </c>
      <c r="H64" s="335" t="n">
        <f aca="false">G64</f>
        <v>-19146</v>
      </c>
      <c r="I64" s="335" t="n">
        <f aca="false">H64</f>
        <v>-19146</v>
      </c>
      <c r="J64" s="335" t="n">
        <f aca="false">I64</f>
        <v>-19146</v>
      </c>
      <c r="K64" s="335" t="n">
        <f aca="false">J64</f>
        <v>-19146</v>
      </c>
      <c r="L64" s="335" t="n">
        <f aca="false">K64</f>
        <v>-19146</v>
      </c>
      <c r="M64" s="335" t="n">
        <f aca="false">L64</f>
        <v>-19146</v>
      </c>
      <c r="N64" s="335" t="n">
        <f aca="false">M64</f>
        <v>-19146</v>
      </c>
      <c r="O64" s="335" t="n">
        <f aca="false">N64</f>
        <v>-19146</v>
      </c>
      <c r="P64" s="335" t="n">
        <f aca="false">O64</f>
        <v>-19146</v>
      </c>
      <c r="Q64" s="335" t="n">
        <f aca="false">P64</f>
        <v>-19146</v>
      </c>
    </row>
    <row r="65" customFormat="false" ht="12.75" hidden="false" customHeight="false" outlineLevel="0" collapsed="false">
      <c r="A65" s="190" t="s">
        <v>154</v>
      </c>
      <c r="B65" s="336" t="n">
        <v>1</v>
      </c>
      <c r="C65" s="327" t="n">
        <v>1</v>
      </c>
      <c r="D65" s="282"/>
      <c r="E65" s="26"/>
      <c r="F65" s="337" t="n">
        <f aca="false">SUM(F64)</f>
        <v>-19146</v>
      </c>
      <c r="G65" s="131" t="n">
        <f aca="false">SUM(G64)*$B$65+G66</f>
        <v>-19146</v>
      </c>
      <c r="H65" s="131" t="n">
        <f aca="false">SUM(H64)*$B$65+H66</f>
        <v>-19146</v>
      </c>
      <c r="I65" s="131" t="n">
        <f aca="false">SUM(I64)*$B$65+I66</f>
        <v>-19146</v>
      </c>
      <c r="J65" s="131" t="n">
        <f aca="false">SUM(J64)*$B$65+J66</f>
        <v>-19146</v>
      </c>
      <c r="K65" s="131" t="n">
        <f aca="false">SUM(K64)*$B$65+K66</f>
        <v>-19146</v>
      </c>
      <c r="L65" s="131" t="n">
        <f aca="false">SUM(L64)*$B$65+L66</f>
        <v>-19146</v>
      </c>
      <c r="M65" s="131" t="n">
        <f aca="false">SUM(M64)*$B$65+M66</f>
        <v>-19146</v>
      </c>
      <c r="N65" s="131" t="n">
        <f aca="false">SUM(N64)*$B$65+N66</f>
        <v>-19146</v>
      </c>
      <c r="O65" s="131" t="n">
        <f aca="false">SUM(O64)*$B$65+O66</f>
        <v>-19146</v>
      </c>
      <c r="P65" s="131" t="n">
        <f aca="false">SUM(P64)*$B$65+P66</f>
        <v>-19146</v>
      </c>
      <c r="Q65" s="131" t="n">
        <f aca="false">SUM(Q64)*$B$65+Q66</f>
        <v>-19146</v>
      </c>
    </row>
    <row r="66" customFormat="false" ht="12.75" hidden="false" customHeight="false" outlineLevel="0" collapsed="false">
      <c r="C66" s="334"/>
      <c r="F66" s="284" t="s">
        <v>184</v>
      </c>
      <c r="G66" s="32" t="n">
        <v>0</v>
      </c>
      <c r="H66" s="32" t="n">
        <v>0</v>
      </c>
      <c r="I66" s="32" t="n">
        <v>0</v>
      </c>
      <c r="J66" s="32" t="n">
        <v>0</v>
      </c>
      <c r="K66" s="32" t="n">
        <v>0</v>
      </c>
      <c r="L66" s="32" t="n">
        <v>0</v>
      </c>
      <c r="M66" s="32" t="n">
        <v>0</v>
      </c>
      <c r="N66" s="32" t="n">
        <v>0</v>
      </c>
      <c r="O66" s="32" t="n">
        <v>0</v>
      </c>
      <c r="P66" s="32" t="n">
        <v>0</v>
      </c>
      <c r="Q66" s="32" t="n">
        <v>0</v>
      </c>
    </row>
    <row r="67" customFormat="false" ht="12.75" hidden="false" customHeight="false" outlineLevel="0" collapsed="false">
      <c r="C67" s="334"/>
    </row>
    <row r="68" customFormat="false" ht="12.75" hidden="false" customHeight="false" outlineLevel="0" collapsed="false">
      <c r="A68" s="12" t="str">
        <f aca="false">Assumptions!B65</f>
        <v>2. Optimistic</v>
      </c>
      <c r="B68" s="336" t="n">
        <v>0.99</v>
      </c>
      <c r="C68" s="327" t="n">
        <v>2</v>
      </c>
      <c r="D68" s="282"/>
      <c r="F68" s="337" t="n">
        <f aca="false">F65</f>
        <v>-19146</v>
      </c>
      <c r="G68" s="133" t="n">
        <f aca="false">F68*$B$68+G69</f>
        <v>-18954.54</v>
      </c>
      <c r="H68" s="133" t="n">
        <f aca="false">G68*$B$68+H69</f>
        <v>-18764.9946</v>
      </c>
      <c r="I68" s="133" t="n">
        <f aca="false">H68*$B$68+I69</f>
        <v>-18577.344654</v>
      </c>
      <c r="J68" s="133" t="n">
        <f aca="false">I68*$B$68+J69</f>
        <v>-18391.57120746</v>
      </c>
      <c r="K68" s="133" t="n">
        <f aca="false">J68*$B$68+K69</f>
        <v>-18207.6554953854</v>
      </c>
      <c r="L68" s="133" t="n">
        <f aca="false">K68*$B$68+L69</f>
        <v>-18025.5789404315</v>
      </c>
      <c r="M68" s="133" t="n">
        <f aca="false">L68*$B$68+M69</f>
        <v>-17845.3231510272</v>
      </c>
      <c r="N68" s="133" t="n">
        <f aca="false">M68*$B$68+N69</f>
        <v>-17666.869919517</v>
      </c>
      <c r="O68" s="133" t="n">
        <f aca="false">N68*$B$68+O69</f>
        <v>-17490.2012203218</v>
      </c>
      <c r="P68" s="133" t="n">
        <f aca="false">O68*$B$68+P69</f>
        <v>-17315.2992081186</v>
      </c>
      <c r="Q68" s="133" t="n">
        <f aca="false">P68*$B$68+Q69</f>
        <v>-17142.1462160374</v>
      </c>
    </row>
    <row r="69" customFormat="false" ht="12.75" hidden="false" customHeight="false" outlineLevel="0" collapsed="false">
      <c r="A69" s="12"/>
      <c r="C69" s="338"/>
      <c r="F69" s="284" t="s">
        <v>184</v>
      </c>
      <c r="G69" s="32" t="n">
        <v>0</v>
      </c>
      <c r="H69" s="32" t="n">
        <v>0</v>
      </c>
      <c r="I69" s="32" t="n">
        <f aca="false">H69</f>
        <v>0</v>
      </c>
      <c r="J69" s="32" t="n">
        <f aca="false">I69</f>
        <v>0</v>
      </c>
      <c r="K69" s="32" t="n">
        <f aca="false">J69</f>
        <v>0</v>
      </c>
      <c r="L69" s="32" t="n">
        <f aca="false">K69</f>
        <v>0</v>
      </c>
      <c r="M69" s="32" t="n">
        <f aca="false">L69</f>
        <v>0</v>
      </c>
      <c r="N69" s="32" t="n">
        <f aca="false">M69</f>
        <v>0</v>
      </c>
      <c r="O69" s="32" t="n">
        <f aca="false">N69</f>
        <v>0</v>
      </c>
      <c r="P69" s="32" t="n">
        <f aca="false">O69</f>
        <v>0</v>
      </c>
      <c r="Q69" s="32" t="n">
        <f aca="false">P69</f>
        <v>0</v>
      </c>
    </row>
    <row r="70" customFormat="false" ht="12.75" hidden="false" customHeight="false" outlineLevel="0" collapsed="false">
      <c r="A70" s="12"/>
      <c r="C70" s="338"/>
    </row>
    <row r="71" customFormat="false" ht="12.75" hidden="false" customHeight="false" outlineLevel="0" collapsed="false">
      <c r="A71" s="12" t="str">
        <f aca="false">Assumptions!B66</f>
        <v>3. Pessimistic</v>
      </c>
      <c r="B71" s="336" t="n">
        <v>1.01</v>
      </c>
      <c r="C71" s="327" t="n">
        <v>3</v>
      </c>
      <c r="D71" s="282"/>
      <c r="F71" s="337" t="n">
        <f aca="false">F65</f>
        <v>-19146</v>
      </c>
      <c r="G71" s="133" t="n">
        <f aca="false">F71*$B$71+G72</f>
        <v>-19337.46</v>
      </c>
      <c r="H71" s="133" t="n">
        <f aca="false">G71*$B$71+H72</f>
        <v>-19530.8346</v>
      </c>
      <c r="I71" s="133" t="n">
        <f aca="false">H71*$B$71+I72</f>
        <v>-19726.142946</v>
      </c>
      <c r="J71" s="133" t="n">
        <f aca="false">I71*$B$71+J72</f>
        <v>-19923.40437546</v>
      </c>
      <c r="K71" s="133" t="n">
        <f aca="false">J71*$B$71+K72</f>
        <v>-20122.6384192146</v>
      </c>
      <c r="L71" s="133" t="n">
        <f aca="false">K71*$B$71+L72</f>
        <v>-20323.8648034067</v>
      </c>
      <c r="M71" s="133" t="n">
        <f aca="false">L71*$B$71+M72</f>
        <v>-20527.1034514408</v>
      </c>
      <c r="N71" s="133" t="n">
        <f aca="false">M71*$B$71+N72</f>
        <v>-20732.3744859552</v>
      </c>
      <c r="O71" s="133" t="n">
        <f aca="false">N71*$B$71+O72</f>
        <v>-20939.6982308148</v>
      </c>
      <c r="P71" s="133" t="n">
        <f aca="false">O71*$B$71+P72</f>
        <v>-21149.0952131229</v>
      </c>
      <c r="Q71" s="133" t="n">
        <f aca="false">P71*$B$71+Q72</f>
        <v>-21360.5861652542</v>
      </c>
    </row>
    <row r="72" customFormat="false" ht="13.5" hidden="false" customHeight="false" outlineLevel="0" collapsed="false">
      <c r="C72" s="330"/>
      <c r="F72" s="284" t="s">
        <v>184</v>
      </c>
      <c r="G72" s="32" t="n">
        <v>0</v>
      </c>
      <c r="H72" s="32" t="n">
        <v>0</v>
      </c>
      <c r="I72" s="32" t="n">
        <f aca="false">H72</f>
        <v>0</v>
      </c>
      <c r="J72" s="32" t="n">
        <f aca="false">I72</f>
        <v>0</v>
      </c>
      <c r="K72" s="32" t="n">
        <f aca="false">J72</f>
        <v>0</v>
      </c>
      <c r="L72" s="32" t="n">
        <f aca="false">K72</f>
        <v>0</v>
      </c>
      <c r="M72" s="32" t="n">
        <f aca="false">L72</f>
        <v>0</v>
      </c>
      <c r="N72" s="32" t="n">
        <f aca="false">M72</f>
        <v>0</v>
      </c>
      <c r="O72" s="32" t="n">
        <f aca="false">N72</f>
        <v>0</v>
      </c>
      <c r="P72" s="32" t="n">
        <f aca="false">O72</f>
        <v>0</v>
      </c>
      <c r="Q72" s="32" t="n">
        <f aca="false">P72</f>
        <v>0</v>
      </c>
    </row>
    <row r="74" customFormat="false" ht="12.75" hidden="false" customHeight="false" outlineLevel="0" collapsed="false">
      <c r="A74" s="13" t="s">
        <v>132</v>
      </c>
    </row>
    <row r="75" customFormat="false" ht="12.75" hidden="false" customHeight="false" outlineLevel="0" collapsed="false">
      <c r="A75" s="0" t="s">
        <v>187</v>
      </c>
    </row>
    <row r="76" customFormat="false" ht="12.75" hidden="false" customHeight="false" outlineLevel="0" collapsed="false">
      <c r="A76" s="0" t="s">
        <v>193</v>
      </c>
    </row>
    <row r="77" customFormat="false" ht="12.75" hidden="false" customHeight="false" outlineLevel="0" collapsed="false">
      <c r="A77" s="52" t="s">
        <v>154</v>
      </c>
      <c r="F77" s="32" t="n">
        <v>4068</v>
      </c>
      <c r="G77" s="131" t="n">
        <f aca="false">F77</f>
        <v>4068</v>
      </c>
      <c r="H77" s="131" t="n">
        <f aca="false">G77</f>
        <v>4068</v>
      </c>
      <c r="I77" s="131" t="n">
        <f aca="false">H77</f>
        <v>4068</v>
      </c>
      <c r="J77" s="131" t="n">
        <f aca="false">I77</f>
        <v>4068</v>
      </c>
      <c r="K77" s="131" t="n">
        <f aca="false">J77</f>
        <v>4068</v>
      </c>
      <c r="L77" s="131" t="n">
        <f aca="false">K77</f>
        <v>4068</v>
      </c>
      <c r="M77" s="131" t="n">
        <f aca="false">L77</f>
        <v>4068</v>
      </c>
      <c r="N77" s="131" t="n">
        <f aca="false">M77</f>
        <v>4068</v>
      </c>
      <c r="O77" s="131" t="n">
        <f aca="false">N77</f>
        <v>4068</v>
      </c>
      <c r="P77" s="131" t="n">
        <f aca="false">O77</f>
        <v>4068</v>
      </c>
      <c r="Q77" s="131" t="n">
        <f aca="false">P77</f>
        <v>4068</v>
      </c>
    </row>
    <row r="78" customFormat="false" ht="12.75" hidden="false" customHeight="false" outlineLevel="0" collapsed="false">
      <c r="A78" s="52"/>
    </row>
    <row r="79" customFormat="false" ht="12.75" hidden="false" customHeight="false" outlineLevel="0" collapsed="false">
      <c r="A79" s="13" t="s">
        <v>189</v>
      </c>
    </row>
    <row r="80" customFormat="false" ht="12.75" hidden="false" customHeight="false" outlineLevel="0" collapsed="false">
      <c r="A80" s="225" t="s">
        <v>165</v>
      </c>
      <c r="B80" s="54" t="n">
        <f aca="false">Assumptions!D20</f>
        <v>20</v>
      </c>
      <c r="C80" s="227" t="n">
        <f aca="false">Asset6PurPrice</f>
        <v>-3436.03138315303</v>
      </c>
      <c r="D80" s="32"/>
      <c r="E80" s="36"/>
      <c r="F80" s="278"/>
      <c r="G80" s="339" t="n">
        <f aca="false">1/B80</f>
        <v>0.05</v>
      </c>
      <c r="H80" s="228" t="n">
        <f aca="false">G80</f>
        <v>0.05</v>
      </c>
      <c r="I80" s="228" t="n">
        <f aca="false">H80</f>
        <v>0.05</v>
      </c>
      <c r="J80" s="228" t="n">
        <f aca="false">I80</f>
        <v>0.05</v>
      </c>
      <c r="K80" s="228" t="n">
        <f aca="false">J80</f>
        <v>0.05</v>
      </c>
      <c r="L80" s="228" t="n">
        <f aca="false">K80</f>
        <v>0.05</v>
      </c>
      <c r="M80" s="228" t="n">
        <f aca="false">L80</f>
        <v>0.05</v>
      </c>
      <c r="N80" s="228" t="n">
        <f aca="false">M80</f>
        <v>0.05</v>
      </c>
      <c r="O80" s="228" t="n">
        <f aca="false">N80</f>
        <v>0.05</v>
      </c>
      <c r="P80" s="228" t="n">
        <f aca="false">O80</f>
        <v>0.05</v>
      </c>
      <c r="Q80" s="229" t="n">
        <f aca="false">P80</f>
        <v>0.05</v>
      </c>
    </row>
    <row r="81" customFormat="false" ht="12.75" hidden="false" customHeight="false" outlineLevel="0" collapsed="false">
      <c r="A81" s="32" t="s">
        <v>166</v>
      </c>
      <c r="C81" s="26"/>
      <c r="D81" s="26"/>
      <c r="E81" s="36"/>
      <c r="F81" s="278"/>
      <c r="G81" s="120" t="n">
        <f aca="false">C80/B80</f>
        <v>-171.801569157652</v>
      </c>
      <c r="H81" s="120" t="n">
        <f aca="false">+G81</f>
        <v>-171.801569157652</v>
      </c>
      <c r="I81" s="120" t="n">
        <f aca="false">+H81</f>
        <v>-171.801569157652</v>
      </c>
      <c r="J81" s="120" t="n">
        <f aca="false">+I81</f>
        <v>-171.801569157652</v>
      </c>
      <c r="K81" s="120" t="n">
        <f aca="false">+J81</f>
        <v>-171.801569157652</v>
      </c>
      <c r="L81" s="120" t="n">
        <f aca="false">+K81</f>
        <v>-171.801569157652</v>
      </c>
      <c r="M81" s="120" t="n">
        <f aca="false">+L81</f>
        <v>-171.801569157652</v>
      </c>
      <c r="N81" s="120" t="n">
        <f aca="false">+M81</f>
        <v>-171.801569157652</v>
      </c>
      <c r="O81" s="120" t="n">
        <f aca="false">+N81</f>
        <v>-171.801569157652</v>
      </c>
      <c r="P81" s="120" t="n">
        <f aca="false">+O81</f>
        <v>-171.801569157652</v>
      </c>
      <c r="Q81" s="120" t="n">
        <f aca="false">+P81</f>
        <v>-171.801569157652</v>
      </c>
    </row>
    <row r="82" customFormat="false" ht="15" hidden="false" customHeight="false" outlineLevel="0" collapsed="false">
      <c r="A82" s="32" t="s">
        <v>167</v>
      </c>
      <c r="E82" s="36"/>
      <c r="F82" s="278"/>
      <c r="G82" s="116" t="n">
        <f aca="false">($G$29*G80)</f>
        <v>203.4</v>
      </c>
      <c r="H82" s="116" t="n">
        <f aca="false">($G$29*H80)+($H$29*G80)</f>
        <v>406.8</v>
      </c>
      <c r="I82" s="116" t="n">
        <f aca="false">($G$29*I80)+($H$29*H80)+($I$29*G80)</f>
        <v>610.2</v>
      </c>
      <c r="J82" s="116" t="n">
        <f aca="false">($G$29*J80)+($H$29*I80)+($I$29*H80)+($J$29*G80)</f>
        <v>813.6</v>
      </c>
      <c r="K82" s="116" t="n">
        <f aca="false">($G$29*K80)+($H$29*J80)+($I$29*I80)+($J$29*H80)+($K$29*G80)</f>
        <v>1017</v>
      </c>
      <c r="L82" s="116" t="n">
        <f aca="false">($G$29*L80)+($H$29*K80)+($I$29*J80)+($J$29*I80)+($K$29*H80)+($L$29*G80)</f>
        <v>1220.4</v>
      </c>
      <c r="M82" s="116" t="n">
        <f aca="false">($G$29*M80)+($H$29*L80)+($I$29*K80)+($J$29*J80)+($K$29*I80)+($L$29*H80)+($M$29*G80)</f>
        <v>1423.8</v>
      </c>
      <c r="N82" s="116" t="n">
        <f aca="false">($G$29*N80)+($H$29*M80)+($I$29*L80)+($J$29*K80)+($K$29*J80)+($L$29*I80)+($M$29*H80)+($N$29*G80)</f>
        <v>1627.2</v>
      </c>
      <c r="O82" s="116" t="n">
        <f aca="false">($G$29*O80)+($H$29*N80)+($I$29*M80)+($J$29*L80)+($K$29*K80)+($L$29*J80)+($M$29*I80)+($N$29*H80)+($O$29*G80)</f>
        <v>1830.6</v>
      </c>
      <c r="P82" s="116" t="n">
        <f aca="false">($G$29*P80)+($H$29*O80)+($I$29*N80)+($J$29*M80)+($K$29*L80)+($L$29*K80)+($M$29*J80)+($N$29*I80)+($O$29*H80)+($P$29*G80)</f>
        <v>2034</v>
      </c>
      <c r="Q82" s="116" t="n">
        <f aca="false">($G$29*Q80)+($H$29*P80)+($I$29*O80)+($J$29*N80)+($K$29*M80)+($L$29*L80)+($M$29*K80)+($N$29*J80)+($O$29*I80)+($P$29*H80)+($Q$29*G80)</f>
        <v>2237.4</v>
      </c>
    </row>
    <row r="83" customFormat="false" ht="12.75" hidden="false" customHeight="false" outlineLevel="0" collapsed="false">
      <c r="A83" s="52" t="s">
        <v>154</v>
      </c>
      <c r="E83" s="36"/>
      <c r="F83" s="278"/>
      <c r="G83" s="32" t="n">
        <f aca="false">SUM(G81:G82)</f>
        <v>31.5984308423483</v>
      </c>
      <c r="H83" s="32" t="n">
        <f aca="false">SUM(H81:H82)</f>
        <v>234.998430842348</v>
      </c>
      <c r="I83" s="32" t="n">
        <f aca="false">SUM(I81:I82)</f>
        <v>438.398430842348</v>
      </c>
      <c r="J83" s="32" t="n">
        <f aca="false">SUM(J81:J82)</f>
        <v>641.798430842348</v>
      </c>
      <c r="K83" s="32" t="n">
        <f aca="false">SUM(K81:K82)</f>
        <v>845.198430842348</v>
      </c>
      <c r="L83" s="32" t="n">
        <f aca="false">SUM(L81:L82)</f>
        <v>1048.59843084235</v>
      </c>
      <c r="M83" s="32" t="n">
        <f aca="false">SUM(M81:M82)</f>
        <v>1251.99843084235</v>
      </c>
      <c r="N83" s="32" t="n">
        <f aca="false">SUM(N81:N82)</f>
        <v>1455.39843084235</v>
      </c>
      <c r="O83" s="32" t="n">
        <f aca="false">SUM(O81:O82)</f>
        <v>1658.79843084235</v>
      </c>
      <c r="P83" s="32" t="n">
        <f aca="false">SUM(P81:P82)</f>
        <v>1862.19843084235</v>
      </c>
      <c r="Q83" s="32" t="n">
        <f aca="false">SUM(Q81:Q82)</f>
        <v>2065.59843084235</v>
      </c>
    </row>
    <row r="84" customFormat="false" ht="12.75" hidden="false" customHeight="false" outlineLevel="0" collapsed="false">
      <c r="A84" s="32"/>
      <c r="E84" s="36"/>
      <c r="F84" s="278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</row>
    <row r="85" customFormat="false" ht="12.75" hidden="false" customHeight="false" outlineLevel="0" collapsed="false">
      <c r="A85" s="96" t="s">
        <v>168</v>
      </c>
      <c r="E85" s="36"/>
      <c r="F85" s="278"/>
      <c r="G85" s="233" t="n">
        <v>0.05</v>
      </c>
      <c r="H85" s="234" t="n">
        <v>0.095</v>
      </c>
      <c r="I85" s="234" t="n">
        <v>0.0855</v>
      </c>
      <c r="J85" s="234" t="n">
        <v>0.077</v>
      </c>
      <c r="K85" s="234" t="n">
        <v>0.0693</v>
      </c>
      <c r="L85" s="234" t="n">
        <v>0.0623</v>
      </c>
      <c r="M85" s="234" t="n">
        <v>0.059</v>
      </c>
      <c r="N85" s="234" t="n">
        <v>0.059</v>
      </c>
      <c r="O85" s="234" t="n">
        <v>0.0591</v>
      </c>
      <c r="P85" s="234" t="n">
        <v>0.059</v>
      </c>
      <c r="Q85" s="235" t="n">
        <v>0.0591</v>
      </c>
    </row>
    <row r="86" customFormat="false" ht="12.75" hidden="false" customHeight="false" outlineLevel="0" collapsed="false">
      <c r="A86" s="32" t="s">
        <v>166</v>
      </c>
      <c r="B86" s="236"/>
      <c r="E86" s="36"/>
      <c r="F86" s="278"/>
      <c r="G86" s="32" t="n">
        <f aca="false">G85*$C$80</f>
        <v>-171.801569157652</v>
      </c>
      <c r="H86" s="32" t="n">
        <f aca="false">H85*$C$80</f>
        <v>-326.422981399538</v>
      </c>
      <c r="I86" s="32" t="n">
        <f aca="false">I85*$C$80</f>
        <v>-293.780683259584</v>
      </c>
      <c r="J86" s="32" t="n">
        <f aca="false">J85*$C$80</f>
        <v>-264.574416502784</v>
      </c>
      <c r="K86" s="32" t="n">
        <f aca="false">K85*$C$80</f>
        <v>-238.116974852505</v>
      </c>
      <c r="L86" s="32" t="n">
        <f aca="false">L85*$C$80</f>
        <v>-214.064755170434</v>
      </c>
      <c r="M86" s="32" t="n">
        <f aca="false">M85*$C$80</f>
        <v>-202.725851606029</v>
      </c>
      <c r="N86" s="32" t="n">
        <f aca="false">N85*$C$80</f>
        <v>-202.725851606029</v>
      </c>
      <c r="O86" s="32" t="n">
        <f aca="false">O85*$C$80</f>
        <v>-203.069454744344</v>
      </c>
      <c r="P86" s="32" t="n">
        <f aca="false">P85*$C$80</f>
        <v>-202.725851606029</v>
      </c>
      <c r="Q86" s="32" t="n">
        <f aca="false">Q85*$C$80</f>
        <v>-203.069454744344</v>
      </c>
    </row>
    <row r="87" customFormat="false" ht="15" hidden="false" customHeight="false" outlineLevel="0" collapsed="false">
      <c r="A87" s="32" t="s">
        <v>167</v>
      </c>
      <c r="B87" s="201"/>
      <c r="E87" s="216"/>
      <c r="F87" s="278"/>
      <c r="G87" s="116" t="n">
        <f aca="false">($G$29*G$85)</f>
        <v>203.4</v>
      </c>
      <c r="H87" s="116" t="n">
        <f aca="false">($G$29*H85)+($H$29*G85)</f>
        <v>589.86</v>
      </c>
      <c r="I87" s="116" t="n">
        <f aca="false">($G$29*I85)+($H$29*H85)+($I$29*G85)</f>
        <v>937.674</v>
      </c>
      <c r="J87" s="116" t="n">
        <f aca="false">($G$29*J85)+($H$29*I85)+($I$29*H85)+($J$29*G85)</f>
        <v>1250.91</v>
      </c>
      <c r="K87" s="116" t="n">
        <f aca="false">($G$29*K85)+($H$29*J85)+($I$29*I85)+($J$29*H85)+($K$29*G85)</f>
        <v>1532.8224</v>
      </c>
      <c r="L87" s="116" t="n">
        <f aca="false">($G$29*L85)+($H$29*K85)+($I$29*J85)+($J$29*I85)+($K$29*H85)+($L$29*G85)</f>
        <v>1786.2588</v>
      </c>
      <c r="M87" s="116" t="n">
        <f aca="false">($G$29*M85)+($H$29*L85)+($I$29*K85)+($J$29*J85)+($K$29*I85)+($L$29*H85)+($M$29*G85)</f>
        <v>2026.2708</v>
      </c>
      <c r="N87" s="116" t="n">
        <f aca="false">($G$29*N85)+($H$29*M85)+($I$29*L85)+($J$29*K85)+($K$29*J85)+($L$29*I85)+($M$29*H85)+($N$29*G85)</f>
        <v>2266.2828</v>
      </c>
      <c r="O87" s="116" t="n">
        <f aca="false">($G$29*O85)+($H$29*N85)+($I$29*M85)+($J$29*L85)+($K$29*K85)+($L$29*J85)+($M$29*I85)+($N$29*H85)+($O$29*G85)</f>
        <v>2506.7016</v>
      </c>
      <c r="P87" s="116" t="n">
        <f aca="false">($G$29*P85)+($H$29*O85)+($I$29*N85)+($J$29*M85)+($K$29*L85)+($L$29*K85)+($M$29*J85)+($N$29*I85)+($O$29*H85)+($P$29*G85)</f>
        <v>2746.7136</v>
      </c>
      <c r="Q87" s="116" t="n">
        <f aca="false">($G$29*Q85)+($H$29*P85)+($I$29*O85)+($J$29*N85)+($K$29*M85)+($L$29*L85)+($M$29*K85)+($N$29*J85)+($O$29*I85)+($P$29*H85)+($Q$29*G85)</f>
        <v>2987.1324</v>
      </c>
    </row>
    <row r="88" customFormat="false" ht="12.75" hidden="false" customHeight="false" outlineLevel="0" collapsed="false">
      <c r="A88" s="52" t="s">
        <v>154</v>
      </c>
      <c r="E88" s="36"/>
      <c r="F88" s="278"/>
      <c r="G88" s="32" t="n">
        <f aca="false">SUM(G86:G87)</f>
        <v>31.5984308423483</v>
      </c>
      <c r="H88" s="32" t="n">
        <f aca="false">SUM(H86:H87)</f>
        <v>263.437018600462</v>
      </c>
      <c r="I88" s="32" t="n">
        <f aca="false">SUM(I86:I87)</f>
        <v>643.893316740416</v>
      </c>
      <c r="J88" s="32" t="n">
        <f aca="false">SUM(J86:J87)</f>
        <v>986.335583497217</v>
      </c>
      <c r="K88" s="32" t="n">
        <f aca="false">SUM(K86:K87)</f>
        <v>1294.7054251475</v>
      </c>
      <c r="L88" s="32" t="n">
        <f aca="false">SUM(L86:L87)</f>
        <v>1572.19404482957</v>
      </c>
      <c r="M88" s="32" t="n">
        <f aca="false">SUM(M86:M87)</f>
        <v>1823.54494839397</v>
      </c>
      <c r="N88" s="32" t="n">
        <f aca="false">SUM(N86:N87)</f>
        <v>2063.55694839397</v>
      </c>
      <c r="O88" s="32" t="n">
        <f aca="false">SUM(O86:O87)</f>
        <v>2303.63214525566</v>
      </c>
      <c r="P88" s="32" t="n">
        <f aca="false">SUM(P86:P87)</f>
        <v>2543.98774839397</v>
      </c>
      <c r="Q88" s="32" t="n">
        <f aca="false">SUM(Q86:Q87)</f>
        <v>2784.06294525566</v>
      </c>
    </row>
  </sheetData>
  <mergeCells count="1">
    <mergeCell ref="K33:M33"/>
  </mergeCells>
  <conditionalFormatting sqref="D68 D71 D54 D51 C11:D11 D14:D15 D47:D48 D64:D65">
    <cfRule type="cellIs" priority="2" operator="notBetween" aboveAverage="0" equalAverage="0" bottom="0" percent="0" rank="0" text="" dxfId="7">
      <formula>0.25</formula>
      <formula>-0.25</formula>
    </cfRule>
  </conditionalFormatting>
  <printOptions headings="false" gridLines="false" gridLinesSet="true" horizontalCentered="false" verticalCentered="false"/>
  <pageMargins left="0.5" right="0.5" top="0.75" bottom="0.75" header="0.511811023622047" footer="0.5"/>
  <pageSetup paperSize="1" scale="4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rowBreaks count="1" manualBreakCount="1">
    <brk id="39" man="true" max="16383" min="0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51"/>
  <sheetViews>
    <sheetView showFormulas="false" showGridLines="true" showRowColHeaders="true" showZeros="true" rightToLeft="false" tabSelected="false" showOutlineSymbols="true" defaultGridColor="true" view="normal" topLeftCell="A15" colorId="64" zoomScale="75" zoomScaleNormal="75" zoomScalePageLayoutView="100" workbookViewId="0">
      <selection pane="topLeft" activeCell="B55" activeCellId="0" sqref="B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42"/>
    <col collapsed="false" customWidth="true" hidden="false" outlineLevel="0" max="3" min="2" style="0" width="12.85"/>
    <col collapsed="false" customWidth="true" hidden="false" outlineLevel="0" max="4" min="4" style="0" width="12.7"/>
    <col collapsed="false" customWidth="true" hidden="false" outlineLevel="0" max="5" min="5" style="0" width="9.85"/>
  </cols>
  <sheetData>
    <row r="1" customFormat="false" ht="18" hidden="false" customHeight="false" outlineLevel="0" collapsed="false">
      <c r="A1" s="347" t="str">
        <f aca="false">Assumptions!D5</f>
        <v>Oneok</v>
      </c>
      <c r="B1" s="12"/>
    </row>
    <row r="2" customFormat="false" ht="15.75" hidden="false" customHeight="false" outlineLevel="0" collapsed="false">
      <c r="A2" s="348" t="s">
        <v>197</v>
      </c>
      <c r="B2" s="12"/>
    </row>
    <row r="3" customFormat="false" ht="12.75" hidden="false" customHeight="false" outlineLevel="0" collapsed="false">
      <c r="B3" s="349"/>
    </row>
    <row r="4" customFormat="false" ht="12.75" hidden="false" customHeight="false" outlineLevel="0" collapsed="false">
      <c r="A4" s="319"/>
      <c r="B4" s="350" t="n">
        <v>36708</v>
      </c>
      <c r="C4" s="351" t="s">
        <v>198</v>
      </c>
      <c r="D4" s="351" t="s">
        <v>199</v>
      </c>
    </row>
    <row r="5" customFormat="false" ht="12.75" hidden="false" customHeight="false" outlineLevel="0" collapsed="false">
      <c r="A5" s="13"/>
      <c r="B5" s="352"/>
      <c r="C5" s="351"/>
      <c r="D5" s="351"/>
    </row>
    <row r="6" customFormat="false" ht="12.75" hidden="false" customHeight="false" outlineLevel="0" collapsed="false">
      <c r="A6" s="0" t="s">
        <v>200</v>
      </c>
    </row>
    <row r="7" customFormat="false" ht="12.75" hidden="false" customHeight="false" outlineLevel="0" collapsed="false">
      <c r="A7" s="0" t="s">
        <v>201</v>
      </c>
    </row>
    <row r="8" customFormat="false" ht="12.75" hidden="false" customHeight="false" outlineLevel="0" collapsed="false">
      <c r="A8" s="353" t="s">
        <v>202</v>
      </c>
      <c r="B8" s="133"/>
      <c r="C8" s="32"/>
      <c r="D8" s="32"/>
      <c r="E8" s="32"/>
    </row>
    <row r="9" customFormat="false" ht="12.75" hidden="false" customHeight="false" outlineLevel="0" collapsed="false">
      <c r="A9" s="353" t="s">
        <v>203</v>
      </c>
      <c r="B9" s="133" t="n">
        <v>-1535</v>
      </c>
      <c r="C9" s="32" t="n">
        <v>0</v>
      </c>
      <c r="D9" s="120" t="n">
        <f aca="false">SUM(B9:C9)</f>
        <v>-1535</v>
      </c>
      <c r="E9" s="32"/>
    </row>
    <row r="10" customFormat="false" ht="12.75" hidden="false" customHeight="false" outlineLevel="0" collapsed="false">
      <c r="A10" s="353" t="s">
        <v>204</v>
      </c>
      <c r="B10" s="133" t="n">
        <v>2763</v>
      </c>
      <c r="C10" s="32" t="n">
        <v>0</v>
      </c>
      <c r="D10" s="120" t="n">
        <f aca="false">SUM(B10:C10)</f>
        <v>2763</v>
      </c>
      <c r="E10" s="32"/>
    </row>
    <row r="11" customFormat="false" ht="12.75" hidden="false" customHeight="false" outlineLevel="0" collapsed="false">
      <c r="A11" s="0" t="s">
        <v>205</v>
      </c>
      <c r="B11" s="258" t="n">
        <v>7</v>
      </c>
      <c r="C11" s="120" t="n">
        <v>0</v>
      </c>
      <c r="D11" s="120" t="n">
        <f aca="false">SUM(B11:C11)</f>
        <v>7</v>
      </c>
      <c r="E11" s="32"/>
    </row>
    <row r="12" customFormat="false" ht="12.75" hidden="false" customHeight="false" outlineLevel="0" collapsed="false">
      <c r="A12" s="353" t="s">
        <v>206</v>
      </c>
      <c r="B12" s="133" t="n">
        <v>27020</v>
      </c>
      <c r="C12" s="120" t="n">
        <v>0</v>
      </c>
      <c r="D12" s="120" t="n">
        <f aca="false">SUM(B12:C12)</f>
        <v>27020</v>
      </c>
      <c r="E12" s="32"/>
    </row>
    <row r="13" customFormat="false" ht="12.75" hidden="false" customHeight="false" outlineLevel="0" collapsed="false">
      <c r="A13" s="353" t="s">
        <v>207</v>
      </c>
      <c r="B13" s="133" t="n">
        <v>9110</v>
      </c>
      <c r="C13" s="120" t="n">
        <v>0</v>
      </c>
      <c r="D13" s="120" t="n">
        <f aca="false">SUM(B13:C13)</f>
        <v>9110</v>
      </c>
      <c r="E13" s="32"/>
    </row>
    <row r="14" customFormat="false" ht="12.75" hidden="false" customHeight="false" outlineLevel="0" collapsed="false">
      <c r="A14" s="353" t="s">
        <v>208</v>
      </c>
      <c r="B14" s="133" t="n">
        <v>0</v>
      </c>
      <c r="C14" s="120" t="n">
        <v>0</v>
      </c>
      <c r="D14" s="120" t="n">
        <f aca="false">SUM(B14:C14)</f>
        <v>0</v>
      </c>
      <c r="E14" s="32"/>
    </row>
    <row r="15" customFormat="false" ht="15" hidden="false" customHeight="false" outlineLevel="0" collapsed="false">
      <c r="A15" s="353" t="s">
        <v>209</v>
      </c>
      <c r="B15" s="335" t="n">
        <v>10850</v>
      </c>
      <c r="C15" s="116" t="n">
        <v>0</v>
      </c>
      <c r="D15" s="116" t="n">
        <f aca="false">SUM(B15:C15)</f>
        <v>10850</v>
      </c>
      <c r="E15" s="32"/>
    </row>
    <row r="16" customFormat="false" ht="12.75" hidden="false" customHeight="false" outlineLevel="0" collapsed="false">
      <c r="A16" s="190" t="s">
        <v>210</v>
      </c>
      <c r="B16" s="354" t="n">
        <f aca="false">SUM(B9:B15)</f>
        <v>48215</v>
      </c>
      <c r="C16" s="354" t="n">
        <f aca="false">SUM(C9:C15)</f>
        <v>0</v>
      </c>
      <c r="D16" s="354" t="n">
        <f aca="false">SUM(D9:D15)</f>
        <v>48215</v>
      </c>
      <c r="E16" s="32"/>
    </row>
    <row r="17" customFormat="false" ht="12.75" hidden="false" customHeight="false" outlineLevel="0" collapsed="false">
      <c r="A17" s="280" t="s">
        <v>211</v>
      </c>
      <c r="B17" s="354"/>
      <c r="C17" s="354"/>
      <c r="D17" s="354"/>
      <c r="E17" s="32"/>
    </row>
    <row r="18" customFormat="false" ht="12.75" hidden="false" customHeight="false" outlineLevel="0" collapsed="false">
      <c r="A18" s="280" t="s">
        <v>212</v>
      </c>
      <c r="B18" s="354" t="n">
        <v>102263</v>
      </c>
      <c r="C18" s="120" t="n">
        <v>0</v>
      </c>
      <c r="D18" s="120" t="n">
        <f aca="false">SUM(B18:C18)</f>
        <v>102263</v>
      </c>
      <c r="E18" s="32"/>
    </row>
    <row r="19" customFormat="false" ht="15" hidden="false" customHeight="false" outlineLevel="0" collapsed="false">
      <c r="A19" s="280" t="s">
        <v>213</v>
      </c>
      <c r="B19" s="355" t="n">
        <v>-19169</v>
      </c>
      <c r="C19" s="116" t="n">
        <v>0</v>
      </c>
      <c r="D19" s="116" t="n">
        <f aca="false">SUM(B19:C19)</f>
        <v>-19169</v>
      </c>
      <c r="E19" s="32"/>
    </row>
    <row r="20" customFormat="false" ht="12.75" hidden="false" customHeight="false" outlineLevel="0" collapsed="false">
      <c r="A20" s="190" t="s">
        <v>210</v>
      </c>
      <c r="B20" s="354" t="n">
        <f aca="false">B19+B18</f>
        <v>83094</v>
      </c>
      <c r="C20" s="354" t="n">
        <f aca="false">C19+C18</f>
        <v>0</v>
      </c>
      <c r="D20" s="354" t="n">
        <f aca="false">D19+D18</f>
        <v>83094</v>
      </c>
      <c r="E20" s="32"/>
    </row>
    <row r="21" customFormat="false" ht="12.75" hidden="false" customHeight="false" outlineLevel="0" collapsed="false">
      <c r="A21" s="280" t="s">
        <v>214</v>
      </c>
      <c r="B21" s="354" t="n">
        <v>4875</v>
      </c>
      <c r="C21" s="120" t="n">
        <v>0</v>
      </c>
      <c r="D21" s="120" t="n">
        <f aca="false">SUM(B21:C21)</f>
        <v>4875</v>
      </c>
      <c r="E21" s="32"/>
    </row>
    <row r="22" customFormat="false" ht="13.5" hidden="false" customHeight="false" outlineLevel="0" collapsed="false">
      <c r="A22" s="190"/>
      <c r="B22" s="354"/>
      <c r="C22" s="32"/>
      <c r="D22" s="32"/>
      <c r="E22" s="32"/>
    </row>
    <row r="23" customFormat="false" ht="13.5" hidden="false" customHeight="false" outlineLevel="0" collapsed="false">
      <c r="A23" s="356" t="s">
        <v>215</v>
      </c>
      <c r="B23" s="357" t="n">
        <f aca="false">B21+B20+B16</f>
        <v>136184</v>
      </c>
      <c r="C23" s="357" t="n">
        <f aca="false">C21+C20+C16</f>
        <v>0</v>
      </c>
      <c r="D23" s="358" t="n">
        <f aca="false">D21+D20+D16</f>
        <v>136184</v>
      </c>
      <c r="E23" s="32"/>
    </row>
    <row r="24" customFormat="false" ht="15" hidden="false" customHeight="false" outlineLevel="0" collapsed="false">
      <c r="A24" s="32"/>
      <c r="B24" s="32"/>
      <c r="C24" s="116"/>
      <c r="D24" s="32"/>
      <c r="E24" s="32"/>
    </row>
    <row r="25" customFormat="false" ht="12.75" hidden="false" customHeight="false" outlineLevel="0" collapsed="false">
      <c r="A25" s="0" t="s">
        <v>216</v>
      </c>
      <c r="C25" s="32"/>
      <c r="D25" s="32"/>
      <c r="E25" s="32"/>
    </row>
    <row r="26" customFormat="false" ht="12.75" hidden="false" customHeight="false" outlineLevel="0" collapsed="false">
      <c r="A26" s="52"/>
      <c r="C26" s="32"/>
      <c r="D26" s="32"/>
      <c r="E26" s="32"/>
    </row>
    <row r="27" customFormat="false" ht="12.75" hidden="false" customHeight="false" outlineLevel="0" collapsed="false">
      <c r="A27" s="353" t="s">
        <v>217</v>
      </c>
      <c r="C27" s="32"/>
      <c r="D27" s="32"/>
      <c r="E27" s="32"/>
    </row>
    <row r="28" customFormat="false" ht="12.75" hidden="false" customHeight="false" outlineLevel="0" collapsed="false">
      <c r="A28" s="353" t="s">
        <v>218</v>
      </c>
      <c r="B28" s="359" t="n">
        <v>0</v>
      </c>
      <c r="C28" s="359" t="n">
        <v>0</v>
      </c>
      <c r="D28" s="120" t="n">
        <f aca="false">SUM(B28:C28)</f>
        <v>0</v>
      </c>
      <c r="E28" s="32"/>
    </row>
    <row r="29" customFormat="false" ht="12.75" hidden="false" customHeight="false" outlineLevel="0" collapsed="false">
      <c r="A29" s="353" t="s">
        <v>219</v>
      </c>
      <c r="B29" s="359" t="n">
        <v>6773</v>
      </c>
      <c r="C29" s="359" t="n">
        <v>0</v>
      </c>
      <c r="D29" s="120" t="n">
        <f aca="false">SUM(B29:C29)</f>
        <v>6773</v>
      </c>
      <c r="E29" s="32"/>
    </row>
    <row r="30" customFormat="false" ht="12.75" hidden="false" customHeight="false" outlineLevel="0" collapsed="false">
      <c r="A30" s="353" t="s">
        <v>220</v>
      </c>
      <c r="B30" s="359" t="n">
        <v>43</v>
      </c>
      <c r="C30" s="359" t="n">
        <v>0</v>
      </c>
      <c r="D30" s="120" t="n">
        <f aca="false">SUM(B30:C30)</f>
        <v>43</v>
      </c>
      <c r="E30" s="32"/>
    </row>
    <row r="31" customFormat="false" ht="12.75" hidden="false" customHeight="false" outlineLevel="0" collapsed="false">
      <c r="A31" s="353" t="s">
        <v>221</v>
      </c>
      <c r="B31" s="359" t="n">
        <v>2191</v>
      </c>
      <c r="C31" s="359" t="n">
        <v>0</v>
      </c>
      <c r="D31" s="120" t="n">
        <f aca="false">SUM(B31:C31)</f>
        <v>2191</v>
      </c>
      <c r="E31" s="32"/>
    </row>
    <row r="32" customFormat="false" ht="12.75" hidden="false" customHeight="false" outlineLevel="0" collapsed="false">
      <c r="A32" s="353" t="s">
        <v>222</v>
      </c>
      <c r="B32" s="359" t="n">
        <v>-11832</v>
      </c>
      <c r="C32" s="359" t="n">
        <v>0</v>
      </c>
      <c r="D32" s="120" t="n">
        <f aca="false">SUM(B32:C32)</f>
        <v>-11832</v>
      </c>
      <c r="E32" s="32"/>
    </row>
    <row r="33" customFormat="false" ht="15" hidden="false" customHeight="false" outlineLevel="0" collapsed="false">
      <c r="A33" s="360" t="s">
        <v>223</v>
      </c>
      <c r="B33" s="355" t="n">
        <v>0</v>
      </c>
      <c r="C33" s="116" t="n">
        <v>0</v>
      </c>
      <c r="D33" s="116" t="n">
        <f aca="false">SUM(B33:C33)</f>
        <v>0</v>
      </c>
      <c r="E33" s="32"/>
    </row>
    <row r="34" customFormat="false" ht="12.75" hidden="false" customHeight="false" outlineLevel="0" collapsed="false">
      <c r="A34" s="52" t="s">
        <v>210</v>
      </c>
      <c r="B34" s="354" t="n">
        <f aca="false">SUM(B28:B33)</f>
        <v>-2825</v>
      </c>
      <c r="C34" s="354" t="n">
        <f aca="false">SUM(C28:C33)</f>
        <v>0</v>
      </c>
      <c r="D34" s="354" t="n">
        <f aca="false">SUM(D28:D33)</f>
        <v>-2825</v>
      </c>
      <c r="E34" s="32"/>
    </row>
    <row r="35" customFormat="false" ht="12.75" hidden="false" customHeight="false" outlineLevel="0" collapsed="false">
      <c r="A35" s="360" t="s">
        <v>224</v>
      </c>
      <c r="B35" s="354"/>
      <c r="C35" s="32"/>
      <c r="D35" s="32"/>
      <c r="E35" s="32"/>
    </row>
    <row r="36" customFormat="false" ht="12.75" hidden="false" customHeight="false" outlineLevel="0" collapsed="false">
      <c r="A36" s="360" t="s">
        <v>225</v>
      </c>
      <c r="B36" s="133" t="n">
        <v>0</v>
      </c>
      <c r="C36" s="32" t="n">
        <f aca="false">-B36</f>
        <v>-0</v>
      </c>
      <c r="D36" s="32" t="n">
        <f aca="false">SUM(B36:C36)</f>
        <v>0</v>
      </c>
      <c r="E36" s="32"/>
    </row>
    <row r="37" customFormat="false" ht="15" hidden="false" customHeight="false" outlineLevel="0" collapsed="false">
      <c r="A37" s="360" t="s">
        <v>226</v>
      </c>
      <c r="B37" s="355" t="n">
        <v>-52378</v>
      </c>
      <c r="C37" s="116" t="n">
        <v>0</v>
      </c>
      <c r="D37" s="116" t="n">
        <f aca="false">SUM(B37:C37)</f>
        <v>-52378</v>
      </c>
      <c r="E37" s="32"/>
    </row>
    <row r="38" customFormat="false" ht="12.75" hidden="false" customHeight="false" outlineLevel="0" collapsed="false">
      <c r="A38" s="52" t="s">
        <v>210</v>
      </c>
      <c r="B38" s="354" t="n">
        <f aca="false">SUM(B36:B37)</f>
        <v>-52378</v>
      </c>
      <c r="C38" s="32" t="n">
        <f aca="false">SUM(C36:C37)</f>
        <v>0</v>
      </c>
      <c r="D38" s="32" t="n">
        <f aca="false">SUM(D36:D37)</f>
        <v>-52378</v>
      </c>
      <c r="E38" s="32"/>
    </row>
    <row r="39" customFormat="false" ht="12.75" hidden="false" customHeight="false" outlineLevel="0" collapsed="false">
      <c r="A39" s="360" t="s">
        <v>227</v>
      </c>
      <c r="B39" s="133"/>
      <c r="C39" s="32"/>
      <c r="D39" s="32"/>
      <c r="E39" s="32"/>
    </row>
    <row r="40" customFormat="false" ht="12.75" hidden="false" customHeight="false" outlineLevel="0" collapsed="false">
      <c r="A40" s="360" t="s">
        <v>228</v>
      </c>
      <c r="B40" s="133" t="n">
        <v>0</v>
      </c>
      <c r="C40" s="32" t="n">
        <v>0</v>
      </c>
      <c r="D40" s="32" t="n">
        <f aca="false">SUM(B40:C40)</f>
        <v>0</v>
      </c>
      <c r="E40" s="32"/>
    </row>
    <row r="41" customFormat="false" ht="12.75" hidden="false" customHeight="false" outlineLevel="0" collapsed="false">
      <c r="A41" s="360" t="s">
        <v>229</v>
      </c>
      <c r="B41" s="361" t="n">
        <v>575987</v>
      </c>
      <c r="C41" s="120" t="n">
        <v>0</v>
      </c>
      <c r="D41" s="120" t="n">
        <f aca="false">SUM(B41:C41)</f>
        <v>575987</v>
      </c>
      <c r="E41" s="32"/>
    </row>
    <row r="42" customFormat="false" ht="15" hidden="false" customHeight="false" outlineLevel="0" collapsed="false">
      <c r="A42" s="0" t="s">
        <v>230</v>
      </c>
      <c r="B42" s="355" t="n">
        <v>-384600</v>
      </c>
      <c r="C42" s="116" t="n">
        <v>0</v>
      </c>
      <c r="D42" s="116" t="n">
        <f aca="false">SUM(B42:C42)</f>
        <v>-384600</v>
      </c>
      <c r="E42" s="32"/>
    </row>
    <row r="43" customFormat="false" ht="12.75" hidden="false" customHeight="false" outlineLevel="0" collapsed="false">
      <c r="A43" s="52" t="s">
        <v>210</v>
      </c>
      <c r="B43" s="354" t="n">
        <f aca="false">SUM(B40:B42)</f>
        <v>191387</v>
      </c>
      <c r="C43" s="354" t="n">
        <f aca="false">SUM(C40:C42)</f>
        <v>0</v>
      </c>
      <c r="D43" s="354" t="n">
        <f aca="false">SUM(D40:D42)</f>
        <v>191387</v>
      </c>
      <c r="E43" s="32"/>
    </row>
    <row r="44" customFormat="false" ht="13.5" hidden="false" customHeight="false" outlineLevel="0" collapsed="false">
      <c r="C44" s="32"/>
      <c r="D44" s="32"/>
      <c r="E44" s="32"/>
    </row>
    <row r="45" customFormat="false" ht="13.5" hidden="false" customHeight="false" outlineLevel="0" collapsed="false">
      <c r="A45" s="356" t="s">
        <v>231</v>
      </c>
      <c r="B45" s="357" t="n">
        <f aca="false">B43+B38+B34</f>
        <v>136184</v>
      </c>
      <c r="C45" s="357" t="n">
        <f aca="false">C43+C38+C34</f>
        <v>0</v>
      </c>
      <c r="D45" s="358" t="n">
        <f aca="false">D43+D38+D34</f>
        <v>136184</v>
      </c>
      <c r="E45" s="32"/>
    </row>
    <row r="46" customFormat="false" ht="12.75" hidden="false" customHeight="false" outlineLevel="0" collapsed="false">
      <c r="A46" s="32"/>
      <c r="B46" s="32" t="n">
        <f aca="false">B23-B45</f>
        <v>0</v>
      </c>
      <c r="C46" s="32" t="n">
        <f aca="false">C23-C45</f>
        <v>0</v>
      </c>
      <c r="D46" s="32" t="n">
        <f aca="false">D23-D45</f>
        <v>0</v>
      </c>
      <c r="E46" s="32"/>
    </row>
    <row r="47" customFormat="false" ht="12.75" hidden="false" customHeight="false" outlineLevel="0" collapsed="false">
      <c r="A47" s="54"/>
      <c r="B47" s="54"/>
      <c r="C47" s="120"/>
      <c r="D47" s="120"/>
      <c r="E47" s="120"/>
    </row>
    <row r="48" customFormat="false" ht="12.75" hidden="false" customHeight="false" outlineLevel="0" collapsed="false">
      <c r="C48" s="32"/>
      <c r="D48" s="32"/>
      <c r="E48" s="32"/>
    </row>
    <row r="49" customFormat="false" ht="12.75" hidden="false" customHeight="false" outlineLevel="0" collapsed="false">
      <c r="C49" s="32"/>
      <c r="D49" s="32"/>
      <c r="E49" s="32"/>
    </row>
    <row r="50" customFormat="false" ht="12.75" hidden="false" customHeight="false" outlineLevel="0" collapsed="false">
      <c r="D50" s="32"/>
      <c r="E50" s="32"/>
    </row>
    <row r="51" customFormat="false" ht="12.75" hidden="false" customHeight="false" outlineLevel="0" collapsed="false">
      <c r="C51" s="32"/>
      <c r="D51" s="32"/>
      <c r="E51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6"/>
  <sheetViews>
    <sheetView showFormulas="false" showGridLines="true" showRowColHeaders="true" showZeros="true" rightToLeft="false" tabSelected="true" showOutlineSymbols="true" defaultGridColor="true" view="normal" topLeftCell="A45" colorId="64" zoomScale="100" zoomScaleNormal="100" zoomScalePageLayoutView="100" workbookViewId="0">
      <selection pane="topLeft" activeCell="F62" activeCellId="0" sqref="F6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84"/>
    <col collapsed="false" customWidth="true" hidden="false" outlineLevel="0" max="2" min="2" style="0" width="22.85"/>
    <col collapsed="false" customWidth="true" hidden="false" outlineLevel="0" max="3" min="3" style="0" width="14.85"/>
    <col collapsed="false" customWidth="true" hidden="false" outlineLevel="0" max="4" min="4" style="0" width="15.56"/>
    <col collapsed="false" customWidth="true" hidden="false" outlineLevel="0" max="5" min="5" style="0" width="16.28"/>
    <col collapsed="false" customWidth="true" hidden="false" outlineLevel="0" max="6" min="6" style="0" width="23.99"/>
    <col collapsed="false" customWidth="true" hidden="false" outlineLevel="0" max="7" min="7" style="0" width="18.99"/>
    <col collapsed="false" customWidth="true" hidden="false" outlineLevel="0" max="8" min="8" style="0" width="10.85"/>
  </cols>
  <sheetData>
    <row r="1" customFormat="false" ht="18" hidden="false" customHeight="false" outlineLevel="0" collapsed="false">
      <c r="A1" s="8" t="str">
        <f aca="false">D5</f>
        <v>Oneok</v>
      </c>
      <c r="D1" s="9" t="s">
        <v>44</v>
      </c>
      <c r="E1" s="10" t="n">
        <f aca="true">NOW()</f>
        <v>45926.9772861935</v>
      </c>
    </row>
    <row r="2" customFormat="false" ht="16.5" hidden="false" customHeight="false" outlineLevel="0" collapsed="false">
      <c r="B2" s="11" t="s">
        <v>10</v>
      </c>
      <c r="C2" s="12"/>
      <c r="D2" s="12"/>
      <c r="F2" s="13"/>
    </row>
    <row r="3" customFormat="false" ht="13.5" hidden="false" customHeight="false" outlineLevel="0" collapsed="false">
      <c r="F3" s="14" t="s">
        <v>45</v>
      </c>
      <c r="G3" s="15"/>
    </row>
    <row r="4" customFormat="false" ht="12.75" hidden="false" customHeight="false" outlineLevel="0" collapsed="false">
      <c r="A4" s="16" t="s">
        <v>46</v>
      </c>
      <c r="B4" s="17"/>
      <c r="C4" s="17"/>
      <c r="D4" s="15"/>
      <c r="F4" s="18" t="str">
        <f aca="false">IF(D13&gt;10,"Add More Years in workseets","")</f>
        <v/>
      </c>
      <c r="G4" s="19"/>
    </row>
    <row r="5" customFormat="false" ht="13.5" hidden="false" customHeight="false" outlineLevel="0" collapsed="false">
      <c r="A5" s="20"/>
      <c r="B5" s="21" t="s">
        <v>47</v>
      </c>
      <c r="C5" s="21"/>
      <c r="D5" s="22" t="s">
        <v>48</v>
      </c>
      <c r="F5" s="23"/>
      <c r="G5" s="24"/>
      <c r="H5" s="25"/>
    </row>
    <row r="6" customFormat="false" ht="12.75" hidden="false" customHeight="false" outlineLevel="0" collapsed="false">
      <c r="A6" s="20"/>
      <c r="B6" s="21" t="s">
        <v>49</v>
      </c>
      <c r="C6" s="21"/>
      <c r="D6" s="22" t="s">
        <v>50</v>
      </c>
      <c r="H6" s="26"/>
    </row>
    <row r="7" customFormat="false" ht="12.75" hidden="false" customHeight="false" outlineLevel="0" collapsed="false">
      <c r="A7" s="20"/>
      <c r="B7" s="21" t="s">
        <v>51</v>
      </c>
      <c r="C7" s="21"/>
      <c r="D7" s="22" t="s">
        <v>52</v>
      </c>
      <c r="H7" s="27"/>
    </row>
    <row r="8" customFormat="false" ht="12.75" hidden="false" customHeight="false" outlineLevel="0" collapsed="false">
      <c r="A8" s="20"/>
      <c r="B8" s="21" t="s">
        <v>53</v>
      </c>
      <c r="C8" s="21"/>
      <c r="D8" s="28" t="n">
        <v>1</v>
      </c>
      <c r="H8" s="26"/>
      <c r="I8" s="29" t="e">
        <f aca="false">IF(OR(#NAME?&lt;&gt;0,#NAME?&lt;&gt;0,#NAME?&lt;&gt;0,#NAME?&lt;&gt;0),"Run MLP Macros","")</f>
        <v>#NAME?</v>
      </c>
    </row>
    <row r="9" customFormat="false" ht="12.75" hidden="false" customHeight="false" outlineLevel="0" collapsed="false">
      <c r="A9" s="20"/>
      <c r="B9" s="21" t="s">
        <v>54</v>
      </c>
      <c r="C9" s="21"/>
      <c r="D9" s="28" t="n">
        <v>0</v>
      </c>
      <c r="H9" s="30"/>
    </row>
    <row r="10" customFormat="false" ht="12.75" hidden="false" customHeight="false" outlineLevel="0" collapsed="false">
      <c r="A10" s="20"/>
      <c r="B10" s="21" t="s">
        <v>55</v>
      </c>
      <c r="C10" s="21"/>
      <c r="D10" s="22" t="s">
        <v>52</v>
      </c>
      <c r="H10" s="30"/>
    </row>
    <row r="11" customFormat="false" ht="12.75" hidden="false" customHeight="false" outlineLevel="0" collapsed="false">
      <c r="A11" s="20"/>
      <c r="B11" s="21" t="s">
        <v>56</v>
      </c>
      <c r="C11" s="21"/>
      <c r="D11" s="28" t="n">
        <f aca="false">1-D8</f>
        <v>0</v>
      </c>
      <c r="H11" s="31"/>
    </row>
    <row r="12" customFormat="false" ht="12.75" hidden="false" customHeight="false" outlineLevel="0" collapsed="false">
      <c r="A12" s="20"/>
      <c r="B12" s="21" t="s">
        <v>57</v>
      </c>
      <c r="C12" s="21"/>
      <c r="D12" s="22" t="n">
        <v>2000</v>
      </c>
      <c r="H12" s="27"/>
    </row>
    <row r="13" customFormat="false" ht="12.75" hidden="false" customHeight="false" outlineLevel="0" collapsed="false">
      <c r="A13" s="20"/>
      <c r="B13" s="21" t="s">
        <v>58</v>
      </c>
      <c r="C13" s="21"/>
      <c r="D13" s="22" t="n">
        <v>10</v>
      </c>
      <c r="H13" s="32"/>
    </row>
    <row r="14" customFormat="false" ht="12.75" hidden="false" customHeight="false" outlineLevel="0" collapsed="false">
      <c r="A14" s="20"/>
      <c r="B14" s="21" t="s">
        <v>59</v>
      </c>
      <c r="C14" s="21"/>
      <c r="D14" s="33" t="n">
        <v>880000</v>
      </c>
    </row>
    <row r="15" customFormat="false" ht="12.75" hidden="false" customHeight="false" outlineLevel="0" collapsed="false">
      <c r="A15" s="20"/>
      <c r="B15" s="21" t="s">
        <v>60</v>
      </c>
      <c r="C15" s="21"/>
      <c r="D15" s="33" t="n">
        <v>60</v>
      </c>
    </row>
    <row r="16" customFormat="false" ht="13.5" hidden="false" customHeight="false" outlineLevel="0" collapsed="false">
      <c r="A16" s="23"/>
      <c r="B16" s="34" t="s">
        <v>61</v>
      </c>
      <c r="C16" s="34"/>
      <c r="D16" s="35" t="s">
        <v>62</v>
      </c>
      <c r="G16" s="27"/>
    </row>
    <row r="17" customFormat="false" ht="13.5" hidden="false" customHeight="false" outlineLevel="0" collapsed="false">
      <c r="B17" s="36"/>
      <c r="C17" s="36"/>
    </row>
    <row r="18" customFormat="false" ht="12.75" hidden="false" customHeight="false" outlineLevel="0" collapsed="false">
      <c r="A18" s="16" t="s">
        <v>63</v>
      </c>
      <c r="B18" s="17"/>
      <c r="C18" s="17"/>
      <c r="D18" s="15"/>
    </row>
    <row r="19" customFormat="false" ht="12.75" hidden="false" customHeight="false" outlineLevel="0" collapsed="false">
      <c r="A19" s="20"/>
      <c r="B19" s="21" t="s">
        <v>64</v>
      </c>
      <c r="C19" s="21"/>
      <c r="D19" s="37" t="n">
        <v>0.385</v>
      </c>
    </row>
    <row r="20" customFormat="false" ht="12.75" hidden="false" customHeight="false" outlineLevel="0" collapsed="false">
      <c r="A20" s="20"/>
      <c r="B20" s="21" t="s">
        <v>65</v>
      </c>
      <c r="C20" s="21"/>
      <c r="D20" s="38" t="n">
        <v>20</v>
      </c>
    </row>
    <row r="21" customFormat="false" ht="12.75" hidden="false" customHeight="false" outlineLevel="0" collapsed="false">
      <c r="A21" s="20"/>
      <c r="B21" s="21" t="s">
        <v>66</v>
      </c>
      <c r="C21" s="21"/>
      <c r="D21" s="37" t="n">
        <v>0.125</v>
      </c>
      <c r="E21" s="29" t="str">
        <f aca="false">IF(CLoop=0,"","Run Consolidated Macro")</f>
        <v/>
      </c>
    </row>
    <row r="22" customFormat="false" ht="12.75" hidden="false" customHeight="false" outlineLevel="0" collapsed="false">
      <c r="A22" s="20"/>
      <c r="B22" s="21" t="s">
        <v>67</v>
      </c>
      <c r="C22" s="21"/>
      <c r="D22" s="37" t="n">
        <v>0</v>
      </c>
      <c r="E22" s="39"/>
    </row>
    <row r="23" customFormat="false" ht="12.75" hidden="false" customHeight="false" outlineLevel="0" collapsed="false">
      <c r="A23" s="20"/>
      <c r="B23" s="21" t="s">
        <v>68</v>
      </c>
      <c r="C23" s="21"/>
      <c r="D23" s="40" t="n">
        <v>0</v>
      </c>
      <c r="E23" s="39"/>
    </row>
    <row r="24" customFormat="false" ht="12.75" hidden="false" customHeight="false" outlineLevel="0" collapsed="false">
      <c r="A24" s="20"/>
      <c r="B24" s="21" t="s">
        <v>69</v>
      </c>
      <c r="C24" s="21"/>
      <c r="D24" s="40" t="n">
        <v>0.077</v>
      </c>
      <c r="E24" s="39"/>
    </row>
    <row r="25" customFormat="false" ht="12.75" hidden="false" customHeight="false" outlineLevel="0" collapsed="false">
      <c r="A25" s="20"/>
      <c r="B25" s="21" t="s">
        <v>70</v>
      </c>
      <c r="C25" s="21"/>
      <c r="D25" s="40" t="n">
        <v>0.07</v>
      </c>
      <c r="E25" s="39"/>
    </row>
    <row r="26" customFormat="false" ht="12.75" hidden="false" customHeight="false" outlineLevel="0" collapsed="false">
      <c r="A26" s="20"/>
      <c r="B26" s="21" t="s">
        <v>71</v>
      </c>
      <c r="C26" s="21"/>
      <c r="D26" s="40" t="n">
        <v>0.12</v>
      </c>
      <c r="E26" s="39"/>
    </row>
    <row r="27" customFormat="false" ht="13.5" hidden="false" customHeight="false" outlineLevel="0" collapsed="false">
      <c r="A27" s="23"/>
      <c r="B27" s="34"/>
      <c r="C27" s="34"/>
      <c r="D27" s="41"/>
      <c r="E27" s="39"/>
    </row>
    <row r="28" customFormat="false" ht="13.5" hidden="false" customHeight="false" outlineLevel="0" collapsed="false"/>
    <row r="29" customFormat="false" ht="12.75" hidden="false" customHeight="false" outlineLevel="0" collapsed="false">
      <c r="A29" s="16" t="s">
        <v>72</v>
      </c>
      <c r="B29" s="17"/>
      <c r="C29" s="17"/>
      <c r="D29" s="15"/>
    </row>
    <row r="30" customFormat="false" ht="12.75" hidden="false" customHeight="false" outlineLevel="0" collapsed="false">
      <c r="A30" s="20"/>
      <c r="B30" s="21" t="s">
        <v>73</v>
      </c>
      <c r="C30" s="21"/>
      <c r="D30" s="42" t="n">
        <v>0.6</v>
      </c>
    </row>
    <row r="31" customFormat="false" ht="12.75" hidden="false" customHeight="false" outlineLevel="0" collapsed="false">
      <c r="A31" s="20"/>
      <c r="B31" s="21" t="s">
        <v>74</v>
      </c>
      <c r="C31" s="21"/>
      <c r="D31" s="43" t="n">
        <v>0.075</v>
      </c>
    </row>
    <row r="32" customFormat="false" ht="13.5" hidden="false" customHeight="false" outlineLevel="0" collapsed="false">
      <c r="A32" s="23"/>
      <c r="B32" s="34" t="s">
        <v>75</v>
      </c>
      <c r="C32" s="34"/>
      <c r="D32" s="44" t="n">
        <f aca="false">D13</f>
        <v>10</v>
      </c>
    </row>
    <row r="33" customFormat="false" ht="12.75" hidden="false" customHeight="false" outlineLevel="0" collapsed="false">
      <c r="D33" s="26"/>
    </row>
    <row r="34" customFormat="false" ht="12.75" hidden="false" customHeight="false" outlineLevel="0" collapsed="false">
      <c r="B34" s="27"/>
      <c r="C34" s="27"/>
      <c r="D34" s="27"/>
    </row>
    <row r="35" customFormat="false" ht="12.75" hidden="false" customHeight="false" outlineLevel="0" collapsed="false">
      <c r="A35" s="45" t="s">
        <v>76</v>
      </c>
    </row>
    <row r="36" customFormat="false" ht="38.25" hidden="false" customHeight="false" outlineLevel="0" collapsed="false">
      <c r="C36" s="46" t="s">
        <v>77</v>
      </c>
      <c r="D36" s="46" t="s">
        <v>78</v>
      </c>
      <c r="E36" s="46" t="s">
        <v>79</v>
      </c>
      <c r="F36" s="46" t="s">
        <v>80</v>
      </c>
      <c r="G36" s="46" t="s">
        <v>81</v>
      </c>
      <c r="H36" s="46" t="s">
        <v>82</v>
      </c>
      <c r="I36" s="47" t="s">
        <v>83</v>
      </c>
    </row>
    <row r="37" customFormat="false" ht="12.75" hidden="false" customHeight="false" outlineLevel="0" collapsed="false">
      <c r="B37" s="0" t="str">
        <f aca="false">'Asset 1'!A2</f>
        <v>  T&amp;S - Cash Flow Analysis</v>
      </c>
      <c r="C37" s="48" t="n">
        <v>1</v>
      </c>
      <c r="D37" s="49" t="str">
        <f aca="false">$D$6</f>
        <v>ETS</v>
      </c>
      <c r="E37" s="49" t="n">
        <v>5</v>
      </c>
      <c r="F37" s="49"/>
      <c r="G37" s="49" t="n">
        <v>1</v>
      </c>
      <c r="H37" s="50" t="n">
        <v>0.125</v>
      </c>
      <c r="I37" s="51" t="str">
        <f aca="false">IF(Asset1Loop=1,"Run Macro!","Okay")</f>
        <v>Okay</v>
      </c>
    </row>
    <row r="38" customFormat="false" ht="12.75" hidden="false" customHeight="false" outlineLevel="0" collapsed="false">
      <c r="B38" s="52" t="s">
        <v>84</v>
      </c>
      <c r="C38" s="53" t="n">
        <v>1</v>
      </c>
      <c r="I38" s="54"/>
    </row>
    <row r="39" customFormat="false" ht="12.75" hidden="false" customHeight="false" outlineLevel="0" collapsed="false">
      <c r="I39" s="54"/>
    </row>
    <row r="40" customFormat="false" ht="12.75" hidden="false" customHeight="false" outlineLevel="0" collapsed="false">
      <c r="B40" s="0" t="str">
        <f aca="false">'Asset 2'!A2</f>
        <v>  Marketing - Cash Flow Analysis</v>
      </c>
      <c r="C40" s="48" t="n">
        <v>1</v>
      </c>
      <c r="D40" s="49" t="str">
        <f aca="false">$D$6</f>
        <v>ETS</v>
      </c>
      <c r="E40" s="49" t="n">
        <v>6</v>
      </c>
      <c r="F40" s="49"/>
      <c r="G40" s="49" t="n">
        <v>1</v>
      </c>
      <c r="H40" s="50" t="n">
        <v>0.125</v>
      </c>
      <c r="I40" s="51" t="str">
        <f aca="false">IF(Asset2Loop=1,"Run Macro!","Okay")</f>
        <v>Okay</v>
      </c>
    </row>
    <row r="41" customFormat="false" ht="12.75" hidden="false" customHeight="false" outlineLevel="0" collapsed="false">
      <c r="B41" s="52" t="s">
        <v>84</v>
      </c>
      <c r="C41" s="53" t="n">
        <v>1</v>
      </c>
      <c r="I41" s="54"/>
    </row>
    <row r="42" customFormat="false" ht="12.75" hidden="false" customHeight="false" outlineLevel="0" collapsed="false">
      <c r="I42" s="54"/>
    </row>
    <row r="43" customFormat="false" ht="12.75" hidden="false" customHeight="false" outlineLevel="0" collapsed="false">
      <c r="B43" s="0" t="str">
        <f aca="false">'Asset 3'!$A$2</f>
        <v>  Gath. &amp; Proc. - Cash Flow Analysis</v>
      </c>
      <c r="C43" s="48" t="n">
        <v>1</v>
      </c>
      <c r="D43" s="49" t="str">
        <f aca="false">$D$6</f>
        <v>ETS</v>
      </c>
      <c r="E43" s="49" t="n">
        <v>5</v>
      </c>
      <c r="F43" s="49"/>
      <c r="G43" s="49" t="n">
        <v>1</v>
      </c>
      <c r="H43" s="50" t="n">
        <v>0.125</v>
      </c>
      <c r="I43" s="55" t="str">
        <f aca="false">IF(Asset3Loop=1,"Run Macro!","Okay")</f>
        <v>Okay</v>
      </c>
    </row>
    <row r="44" customFormat="false" ht="12.75" hidden="false" customHeight="false" outlineLevel="0" collapsed="false">
      <c r="B44" s="52" t="s">
        <v>84</v>
      </c>
      <c r="C44" s="53" t="n">
        <v>1</v>
      </c>
      <c r="I44" s="54"/>
    </row>
    <row r="45" customFormat="false" ht="12.75" hidden="false" customHeight="false" outlineLevel="0" collapsed="false">
      <c r="I45" s="54"/>
    </row>
    <row r="46" customFormat="false" ht="12.75" hidden="false" customHeight="false" outlineLevel="0" collapsed="false">
      <c r="B46" s="0" t="str">
        <f aca="false">'Asset 4'!$A$2</f>
        <v>  Production - Cash Flow Analysis</v>
      </c>
      <c r="C46" s="48" t="n">
        <v>1</v>
      </c>
      <c r="D46" s="49" t="str">
        <f aca="false">$D$6</f>
        <v>ETS</v>
      </c>
      <c r="E46" s="49" t="n">
        <v>5</v>
      </c>
      <c r="F46" s="49"/>
      <c r="G46" s="49" t="n">
        <v>1</v>
      </c>
      <c r="H46" s="50" t="n">
        <v>0.125</v>
      </c>
      <c r="I46" s="55" t="str">
        <f aca="false">IF(Asset4Loop=1,"Run Macro!","Okay")</f>
        <v>Okay</v>
      </c>
    </row>
    <row r="47" customFormat="false" ht="12.75" hidden="false" customHeight="false" outlineLevel="0" collapsed="false">
      <c r="B47" s="52" t="s">
        <v>84</v>
      </c>
      <c r="C47" s="53" t="n">
        <v>1</v>
      </c>
      <c r="I47" s="54"/>
    </row>
    <row r="48" customFormat="false" ht="12.75" hidden="false" customHeight="false" outlineLevel="0" collapsed="false">
      <c r="I48" s="54"/>
    </row>
    <row r="49" customFormat="false" ht="12.75" hidden="false" customHeight="false" outlineLevel="0" collapsed="false">
      <c r="B49" s="0" t="str">
        <f aca="false">'Asset 5'!$A$2</f>
        <v>  Distribution - Cash Flow Analysis</v>
      </c>
      <c r="C49" s="48" t="n">
        <v>1</v>
      </c>
      <c r="D49" s="49" t="str">
        <f aca="false">$D$6</f>
        <v>ETS</v>
      </c>
      <c r="E49" s="49" t="n">
        <v>5</v>
      </c>
      <c r="F49" s="49"/>
      <c r="G49" s="49" t="n">
        <v>1</v>
      </c>
      <c r="H49" s="50" t="n">
        <v>0.125</v>
      </c>
      <c r="I49" s="55" t="str">
        <f aca="false">IF(Asset5Loop=1,"Run Macro!","Okay")</f>
        <v>Okay</v>
      </c>
    </row>
    <row r="50" customFormat="false" ht="12.75" hidden="false" customHeight="false" outlineLevel="0" collapsed="false">
      <c r="B50" s="52" t="s">
        <v>84</v>
      </c>
      <c r="C50" s="53" t="n">
        <v>1</v>
      </c>
      <c r="I50" s="54"/>
    </row>
    <row r="51" customFormat="false" ht="12.75" hidden="false" customHeight="false" outlineLevel="0" collapsed="false">
      <c r="I51" s="54"/>
    </row>
    <row r="52" customFormat="false" ht="12.75" hidden="false" customHeight="false" outlineLevel="0" collapsed="false">
      <c r="B52" s="0" t="str">
        <f aca="false">'Asset 6'!$A$2</f>
        <v>  Other - Cash Flow Analysis</v>
      </c>
      <c r="C52" s="48" t="n">
        <v>1</v>
      </c>
      <c r="D52" s="49" t="str">
        <f aca="false">$D$6</f>
        <v>ETS</v>
      </c>
      <c r="E52" s="49" t="n">
        <v>5</v>
      </c>
      <c r="F52" s="49"/>
      <c r="G52" s="49" t="n">
        <v>1</v>
      </c>
      <c r="H52" s="50" t="n">
        <v>0.125</v>
      </c>
      <c r="I52" s="55" t="str">
        <f aca="false">IF(Asset6Loop=1,"Run Macro!","Okay")</f>
        <v>Okay</v>
      </c>
    </row>
    <row r="53" customFormat="false" ht="12.75" hidden="false" customHeight="false" outlineLevel="0" collapsed="false">
      <c r="B53" s="52" t="s">
        <v>84</v>
      </c>
      <c r="C53" s="53" t="n">
        <v>1</v>
      </c>
      <c r="I53" s="54"/>
    </row>
    <row r="54" customFormat="false" ht="12.75" hidden="false" customHeight="false" outlineLevel="0" collapsed="false">
      <c r="I54" s="54"/>
    </row>
    <row r="56" customFormat="false" ht="15.75" hidden="false" customHeight="false" outlineLevel="0" collapsed="false">
      <c r="A56" s="56" t="s">
        <v>85</v>
      </c>
    </row>
    <row r="57" customFormat="false" ht="12.75" hidden="false" customHeight="false" outlineLevel="0" collapsed="false">
      <c r="B57" s="57"/>
      <c r="C57" s="58" t="s">
        <v>86</v>
      </c>
      <c r="D57" s="58" t="s">
        <v>87</v>
      </c>
      <c r="E57" s="59" t="s">
        <v>88</v>
      </c>
    </row>
    <row r="58" customFormat="false" ht="12.75" hidden="false" customHeight="false" outlineLevel="0" collapsed="false">
      <c r="B58" s="60" t="s">
        <v>89</v>
      </c>
      <c r="C58" s="61" t="s">
        <v>90</v>
      </c>
      <c r="D58" s="61" t="s">
        <v>90</v>
      </c>
      <c r="E58" s="62" t="s">
        <v>90</v>
      </c>
      <c r="F58" s="63"/>
    </row>
    <row r="59" customFormat="false" ht="22.5" hidden="false" customHeight="false" outlineLevel="0" collapsed="false">
      <c r="B59" s="60" t="s">
        <v>91</v>
      </c>
      <c r="C59" s="61" t="s">
        <v>92</v>
      </c>
      <c r="D59" s="61" t="s">
        <v>92</v>
      </c>
      <c r="E59" s="62" t="s">
        <v>92</v>
      </c>
      <c r="F59" s="63"/>
    </row>
    <row r="60" customFormat="false" ht="34.5" hidden="false" customHeight="false" outlineLevel="0" collapsed="false">
      <c r="B60" s="64" t="s">
        <v>93</v>
      </c>
      <c r="C60" s="65" t="s">
        <v>94</v>
      </c>
      <c r="D60" s="65" t="s">
        <v>94</v>
      </c>
      <c r="E60" s="66" t="s">
        <v>94</v>
      </c>
      <c r="F60" s="63"/>
    </row>
    <row r="62" customFormat="false" ht="15.75" hidden="false" customHeight="false" outlineLevel="0" collapsed="false">
      <c r="A62" s="56" t="s">
        <v>95</v>
      </c>
    </row>
    <row r="63" customFormat="false" ht="12.75" hidden="false" customHeight="false" outlineLevel="0" collapsed="false">
      <c r="B63" s="57"/>
      <c r="C63" s="58" t="s">
        <v>86</v>
      </c>
      <c r="D63" s="58" t="s">
        <v>87</v>
      </c>
      <c r="E63" s="59" t="s">
        <v>88</v>
      </c>
    </row>
    <row r="64" customFormat="false" ht="19.5" hidden="false" customHeight="true" outlineLevel="0" collapsed="false">
      <c r="B64" s="60" t="s">
        <v>89</v>
      </c>
      <c r="C64" s="61" t="s">
        <v>90</v>
      </c>
      <c r="D64" s="61" t="s">
        <v>90</v>
      </c>
      <c r="E64" s="62" t="s">
        <v>90</v>
      </c>
      <c r="F64" s="63"/>
    </row>
    <row r="65" customFormat="false" ht="33.75" hidden="false" customHeight="false" outlineLevel="0" collapsed="false">
      <c r="B65" s="60" t="s">
        <v>91</v>
      </c>
      <c r="C65" s="61" t="s">
        <v>96</v>
      </c>
      <c r="D65" s="61" t="s">
        <v>96</v>
      </c>
      <c r="E65" s="62" t="s">
        <v>96</v>
      </c>
      <c r="F65" s="63"/>
    </row>
    <row r="66" customFormat="false" ht="23.25" hidden="false" customHeight="false" outlineLevel="0" collapsed="false">
      <c r="B66" s="64" t="s">
        <v>93</v>
      </c>
      <c r="C66" s="65" t="s">
        <v>97</v>
      </c>
      <c r="D66" s="65" t="s">
        <v>97</v>
      </c>
      <c r="E66" s="66" t="s">
        <v>97</v>
      </c>
      <c r="F66" s="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rowBreaks count="1" manualBreakCount="1">
    <brk id="3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1" activeCellId="0" sqref="D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56"/>
  </cols>
  <sheetData>
    <row r="1" customFormat="false" ht="18.75" hidden="false" customHeight="false" outlineLevel="0" collapsed="false">
      <c r="A1" s="8" t="str">
        <f aca="false">Assumptions!A1</f>
        <v>Oneok</v>
      </c>
      <c r="D1" s="67" t="s">
        <v>45</v>
      </c>
    </row>
    <row r="2" customFormat="false" ht="15.75" hidden="false" customHeight="false" outlineLevel="0" collapsed="false">
      <c r="B2" s="68" t="s">
        <v>98</v>
      </c>
      <c r="D2" s="69" t="str">
        <f aca="false">IF(CLoop&lt;&gt;0,"Warning Flag: Check Unlev. Consolid sheet and run Macro","")</f>
        <v/>
      </c>
      <c r="E2" s="70"/>
      <c r="F2" s="70"/>
      <c r="G2" s="70"/>
      <c r="H2" s="71"/>
    </row>
    <row r="3" customFormat="false" ht="18.75" hidden="false" customHeight="false" outlineLevel="0" collapsed="false">
      <c r="A3" s="8"/>
      <c r="D3" s="72" t="str">
        <f aca="false">IF('Unlev. Consolid'!J64="","","Warning Flag: Check Unlev.Consolid sheet and separate Asset sheets")</f>
        <v/>
      </c>
      <c r="E3" s="73"/>
      <c r="F3" s="73"/>
      <c r="G3" s="73"/>
      <c r="H3" s="74"/>
    </row>
    <row r="5" customFormat="false" ht="12.75" hidden="false" customHeight="false" outlineLevel="0" collapsed="false">
      <c r="A5" s="45" t="s">
        <v>99</v>
      </c>
    </row>
    <row r="6" customFormat="false" ht="13.5" hidden="false" customHeight="false" outlineLevel="0" collapsed="false"/>
    <row r="7" customFormat="false" ht="12.75" hidden="false" customHeight="false" outlineLevel="0" collapsed="false">
      <c r="B7" s="75" t="s">
        <v>100</v>
      </c>
      <c r="C7" s="76"/>
      <c r="D7" s="77" t="n">
        <f aca="false">E7-0.025</f>
        <v>0.1</v>
      </c>
      <c r="E7" s="77" t="n">
        <f aca="false">ConsDRate</f>
        <v>0.125</v>
      </c>
      <c r="F7" s="78" t="n">
        <f aca="false">E7+0.025</f>
        <v>0.15</v>
      </c>
    </row>
    <row r="8" customFormat="false" ht="12.75" hidden="false" customHeight="false" outlineLevel="0" collapsed="false">
      <c r="B8" s="79" t="s">
        <v>101</v>
      </c>
      <c r="C8" s="80"/>
      <c r="D8" s="81" t="n">
        <f aca="false">'Unlev. Consolid'!M63</f>
        <v>687708.500848256</v>
      </c>
      <c r="E8" s="81" t="n">
        <f aca="false">'Unlev. Consolid'!N63</f>
        <v>533874.82796106</v>
      </c>
      <c r="F8" s="82" t="n">
        <f aca="false">'Unlev. Consolid'!O63</f>
        <v>417355.576077312</v>
      </c>
    </row>
    <row r="9" customFormat="false" ht="13.5" hidden="false" customHeight="false" outlineLevel="0" collapsed="false">
      <c r="B9" s="83" t="s">
        <v>102</v>
      </c>
      <c r="C9" s="84" t="e">
        <f aca="false">'Unlev. Consolid'!$K$66</f>
        <v>#N/A</v>
      </c>
      <c r="D9" s="85"/>
      <c r="E9" s="85"/>
      <c r="F9" s="86"/>
    </row>
    <row r="11" customFormat="false" ht="12.75" hidden="false" customHeight="false" outlineLevel="0" collapsed="false">
      <c r="A11" s="45" t="s">
        <v>103</v>
      </c>
    </row>
    <row r="13" customFormat="false" ht="12.75" hidden="false" customHeight="false" outlineLevel="0" collapsed="false">
      <c r="B13" s="12" t="s">
        <v>104</v>
      </c>
      <c r="D13" s="87" t="n">
        <f aca="false">Assumptions!D30</f>
        <v>0.6</v>
      </c>
    </row>
    <row r="14" customFormat="false" ht="13.5" hidden="false" customHeight="false" outlineLevel="0" collapsed="false"/>
    <row r="15" customFormat="false" ht="12.75" hidden="false" customHeight="false" outlineLevel="0" collapsed="false">
      <c r="B15" s="75" t="s">
        <v>100</v>
      </c>
      <c r="C15" s="88"/>
      <c r="D15" s="77" t="n">
        <f aca="false">E15-0.025</f>
        <v>0.1</v>
      </c>
      <c r="E15" s="77" t="n">
        <f aca="false">ConsDRate</f>
        <v>0.125</v>
      </c>
      <c r="F15" s="78" t="n">
        <f aca="false">E15+0.025</f>
        <v>0.15</v>
      </c>
    </row>
    <row r="16" customFormat="false" ht="12.75" hidden="false" customHeight="false" outlineLevel="0" collapsed="false">
      <c r="B16" s="79" t="s">
        <v>105</v>
      </c>
      <c r="C16" s="80"/>
      <c r="D16" s="81" t="n">
        <f aca="false">'Lev. Consolid'!F7</f>
        <v>439673.823759628</v>
      </c>
      <c r="E16" s="81" t="n">
        <f aca="false">'Lev. Consolid'!G7</f>
        <v>352993.915386343</v>
      </c>
      <c r="F16" s="82" t="n">
        <f aca="false">'Lev. Consolid'!H7</f>
        <v>283619.050530662</v>
      </c>
    </row>
    <row r="17" customFormat="false" ht="13.5" hidden="false" customHeight="false" outlineLevel="0" collapsed="false">
      <c r="B17" s="83" t="s">
        <v>106</v>
      </c>
      <c r="C17" s="89" t="n">
        <f aca="false">'Lev. Consolid'!$G$9</f>
        <v>0.394631675996072</v>
      </c>
      <c r="D17" s="85"/>
      <c r="E17" s="85"/>
      <c r="F17" s="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
&amp;A
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F6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12" topLeftCell="C17" activePane="bottomRight" state="frozen"/>
      <selection pane="topLeft" activeCell="A1" activeCellId="0" sqref="A1"/>
      <selection pane="topRight" activeCell="C1" activeCellId="0" sqref="C1"/>
      <selection pane="bottomLeft" activeCell="A17" activeCellId="0" sqref="A17"/>
      <selection pane="bottomRigh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14"/>
    <col collapsed="false" customWidth="true" hidden="false" outlineLevel="0" max="3" min="3" style="0" width="13.28"/>
    <col collapsed="false" customWidth="true" hidden="false" outlineLevel="0" max="4" min="4" style="0" width="10.13"/>
    <col collapsed="false" customWidth="true" hidden="false" outlineLevel="0" max="14" min="5" style="0" width="9.85"/>
    <col collapsed="false" customWidth="true" hidden="false" outlineLevel="0" max="15" min="15" style="0" width="10.28"/>
  </cols>
  <sheetData>
    <row r="1" customFormat="false" ht="18" hidden="false" customHeight="false" outlineLevel="0" collapsed="false">
      <c r="A1" s="8" t="str">
        <f aca="false">Assumptions!A1</f>
        <v>Oneok</v>
      </c>
    </row>
    <row r="2" customFormat="false" ht="15.75" hidden="false" customHeight="false" outlineLevel="0" collapsed="false">
      <c r="A2" s="68" t="s">
        <v>107</v>
      </c>
    </row>
    <row r="3" customFormat="false" ht="13.5" hidden="false" customHeight="false" outlineLevel="0" collapsed="false"/>
    <row r="4" customFormat="false" ht="12.75" hidden="false" customHeight="false" outlineLevel="0" collapsed="false">
      <c r="A4" s="90" t="s">
        <v>108</v>
      </c>
      <c r="B4" s="17"/>
      <c r="C4" s="91" t="s">
        <v>109</v>
      </c>
      <c r="D4" s="92" t="s">
        <v>110</v>
      </c>
      <c r="F4" s="57"/>
      <c r="G4" s="93" t="s">
        <v>111</v>
      </c>
      <c r="H4" s="94"/>
      <c r="J4" s="14" t="s">
        <v>112</v>
      </c>
      <c r="K4" s="17"/>
      <c r="L4" s="17"/>
      <c r="M4" s="15"/>
    </row>
    <row r="5" customFormat="false" ht="12.75" hidden="false" customHeight="false" outlineLevel="0" collapsed="false">
      <c r="A5" s="95" t="s">
        <v>113</v>
      </c>
      <c r="B5" s="21"/>
      <c r="C5" s="96" t="n">
        <f aca="false">CPurPrice</f>
        <v>533874.805714499</v>
      </c>
      <c r="D5" s="97" t="n">
        <f aca="false">C5*(Assumptions!$D$22)</f>
        <v>0</v>
      </c>
      <c r="F5" s="20"/>
      <c r="G5" s="21"/>
      <c r="H5" s="97"/>
      <c r="J5" s="18" t="str">
        <f aca="false">IF(SUM(D51:N51)&lt;&gt;$B$8*(N12-D12+1),"Warning- Check if the Capital Structure is constant","")</f>
        <v/>
      </c>
      <c r="K5" s="21"/>
      <c r="L5" s="21"/>
      <c r="M5" s="97"/>
    </row>
    <row r="6" customFormat="false" ht="12.75" hidden="false" customHeight="false" outlineLevel="0" collapsed="false">
      <c r="A6" s="95"/>
      <c r="B6" s="21"/>
      <c r="C6" s="32"/>
      <c r="D6" s="97"/>
      <c r="F6" s="98" t="n">
        <f aca="false">G6-0.025</f>
        <v>0.1</v>
      </c>
      <c r="G6" s="99" t="n">
        <f aca="false">ConsDRate</f>
        <v>0.125</v>
      </c>
      <c r="H6" s="100" t="n">
        <f aca="false">G6+0.025</f>
        <v>0.15</v>
      </c>
      <c r="J6" s="18" t="str">
        <f aca="false">IF(SUM(D48:N48)&lt;2*(N12-D12+1),"Warning:Check EBIT/Interest Expenses","")</f>
        <v>Warning:Check EBIT/Interest Expenses</v>
      </c>
      <c r="K6" s="21"/>
      <c r="L6" s="21"/>
      <c r="M6" s="97"/>
    </row>
    <row r="7" customFormat="false" ht="13.5" hidden="false" customHeight="false" outlineLevel="0" collapsed="false">
      <c r="A7" s="20" t="s">
        <v>114</v>
      </c>
      <c r="B7" s="21"/>
      <c r="C7" s="32" t="n">
        <f aca="false">C5+D5</f>
        <v>533874.805714499</v>
      </c>
      <c r="D7" s="97"/>
      <c r="F7" s="101" t="n">
        <f aca="false">NPV(F$6,D32:O32)+C32</f>
        <v>439673.823759628</v>
      </c>
      <c r="G7" s="102" t="n">
        <f aca="false">NPV(G$6,D32:O32)+C32</f>
        <v>352993.915386343</v>
      </c>
      <c r="H7" s="103" t="n">
        <f aca="false">NPV(H$6,D32:P32)+C32</f>
        <v>283619.050530662</v>
      </c>
      <c r="J7" s="104" t="str">
        <f aca="false">IF(SUM(D49:N49)&lt;2*(N12-D12+1),"Warning: Check EBIDT/Debt Services","")</f>
        <v>Warning: Check EBIDT/Debt Services</v>
      </c>
      <c r="K7" s="34"/>
      <c r="L7" s="34"/>
      <c r="M7" s="24"/>
    </row>
    <row r="8" customFormat="false" ht="13.5" hidden="false" customHeight="false" outlineLevel="0" collapsed="false">
      <c r="A8" s="20" t="s">
        <v>115</v>
      </c>
      <c r="B8" s="105" t="n">
        <f aca="false">Assumptions!D30</f>
        <v>0.6</v>
      </c>
      <c r="C8" s="32" t="n">
        <f aca="false">C7*$B$8</f>
        <v>320324.883428699</v>
      </c>
      <c r="D8" s="97"/>
    </row>
    <row r="9" customFormat="false" ht="13.5" hidden="false" customHeight="false" outlineLevel="0" collapsed="false">
      <c r="A9" s="23" t="s">
        <v>116</v>
      </c>
      <c r="B9" s="34"/>
      <c r="C9" s="106" t="n">
        <f aca="false">C7-C8</f>
        <v>213549.922285799</v>
      </c>
      <c r="D9" s="24"/>
      <c r="F9" s="107" t="s">
        <v>117</v>
      </c>
      <c r="G9" s="108" t="n">
        <f aca="false">IRR($C$32:$O$32)</f>
        <v>0.394631675996072</v>
      </c>
    </row>
    <row r="12" customFormat="false" ht="12.75" hidden="false" customHeight="false" outlineLevel="0" collapsed="false">
      <c r="D12" s="109" t="n">
        <f aca="false">Assumptions!D12</f>
        <v>2000</v>
      </c>
      <c r="E12" s="109" t="n">
        <f aca="false">D12+1</f>
        <v>2001</v>
      </c>
      <c r="F12" s="109" t="n">
        <f aca="false">E12+1</f>
        <v>2002</v>
      </c>
      <c r="G12" s="109" t="n">
        <f aca="false">F12+1</f>
        <v>2003</v>
      </c>
      <c r="H12" s="109" t="n">
        <f aca="false">G12+1</f>
        <v>2004</v>
      </c>
      <c r="I12" s="109" t="n">
        <f aca="false">H12+1</f>
        <v>2005</v>
      </c>
      <c r="J12" s="109" t="n">
        <f aca="false">I12+1</f>
        <v>2006</v>
      </c>
      <c r="K12" s="109" t="n">
        <f aca="false">J12+1</f>
        <v>2007</v>
      </c>
      <c r="L12" s="109" t="n">
        <f aca="false">K12+1</f>
        <v>2008</v>
      </c>
      <c r="M12" s="109" t="n">
        <f aca="false">L12+1</f>
        <v>2009</v>
      </c>
      <c r="N12" s="109" t="n">
        <f aca="false">M12+1</f>
        <v>2010</v>
      </c>
    </row>
    <row r="13" customFormat="false" ht="12.75" hidden="false" customHeight="false" outlineLevel="0" collapsed="false">
      <c r="A13" s="110" t="s">
        <v>118</v>
      </c>
      <c r="B13" s="111" t="n">
        <f aca="false">1-$B$8</f>
        <v>0.4</v>
      </c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</row>
    <row r="14" customFormat="false" ht="12.75" hidden="false" customHeight="false" outlineLevel="0" collapsed="false">
      <c r="A14" s="113" t="s">
        <v>119</v>
      </c>
      <c r="B14" s="114"/>
      <c r="C14" s="114"/>
      <c r="D14" s="115" t="n">
        <f aca="false">'Unlev. Consolid'!G26</f>
        <v>349287</v>
      </c>
      <c r="E14" s="115" t="n">
        <f aca="false">'Unlev. Consolid'!H26</f>
        <v>349287</v>
      </c>
      <c r="F14" s="115" t="n">
        <f aca="false">'Unlev. Consolid'!I26</f>
        <v>349287</v>
      </c>
      <c r="G14" s="115" t="n">
        <f aca="false">'Unlev. Consolid'!J26</f>
        <v>349287</v>
      </c>
      <c r="H14" s="115" t="n">
        <f aca="false">'Unlev. Consolid'!K26</f>
        <v>349287</v>
      </c>
      <c r="I14" s="115" t="n">
        <f aca="false">'Unlev. Consolid'!L26</f>
        <v>349287</v>
      </c>
      <c r="J14" s="115" t="n">
        <f aca="false">'Unlev. Consolid'!M26</f>
        <v>349287</v>
      </c>
      <c r="K14" s="115" t="n">
        <f aca="false">'Unlev. Consolid'!N26</f>
        <v>349287</v>
      </c>
      <c r="L14" s="115" t="n">
        <f aca="false">'Unlev. Consolid'!O26</f>
        <v>349287</v>
      </c>
      <c r="M14" s="115" t="n">
        <f aca="false">'Unlev. Consolid'!P26</f>
        <v>349287</v>
      </c>
      <c r="N14" s="115" t="n">
        <f aca="false">'Unlev. Consolid'!Q26</f>
        <v>349287</v>
      </c>
    </row>
    <row r="15" customFormat="false" ht="12.75" hidden="false" customHeight="false" outlineLevel="0" collapsed="false">
      <c r="A15" s="0" t="s">
        <v>120</v>
      </c>
      <c r="D15" s="32" t="n">
        <f aca="false">'Unlev. Consolid'!G28</f>
        <v>38871.4902857249</v>
      </c>
      <c r="E15" s="32" t="n">
        <f aca="false">'Unlev. Consolid'!H28</f>
        <v>51049.2402857249</v>
      </c>
      <c r="F15" s="32" t="n">
        <f aca="false">'Unlev. Consolid'!I28</f>
        <v>63226.9902857249</v>
      </c>
      <c r="G15" s="32" t="n">
        <f aca="false">'Unlev. Consolid'!J28</f>
        <v>75404.7402857249</v>
      </c>
      <c r="H15" s="32" t="n">
        <f aca="false">'Unlev. Consolid'!K28</f>
        <v>87582.4902857249</v>
      </c>
      <c r="I15" s="32" t="n">
        <f aca="false">'Unlev. Consolid'!L28</f>
        <v>99760.2402857249</v>
      </c>
      <c r="J15" s="32" t="n">
        <f aca="false">'Unlev. Consolid'!M28</f>
        <v>111937.990285725</v>
      </c>
      <c r="K15" s="32" t="n">
        <f aca="false">'Unlev. Consolid'!N28</f>
        <v>124115.740285725</v>
      </c>
      <c r="L15" s="32" t="n">
        <f aca="false">'Unlev. Consolid'!O28</f>
        <v>136293.490285725</v>
      </c>
      <c r="M15" s="32" t="n">
        <f aca="false">'Unlev. Consolid'!P28</f>
        <v>148471.240285725</v>
      </c>
      <c r="N15" s="32" t="n">
        <f aca="false">'Unlev. Consolid'!Q28</f>
        <v>160648.990285725</v>
      </c>
    </row>
    <row r="16" customFormat="false" ht="15" hidden="false" customHeight="false" outlineLevel="0" collapsed="false">
      <c r="A16" s="0" t="s">
        <v>121</v>
      </c>
      <c r="D16" s="116" t="n">
        <f aca="false">'Unlev. Consolid'!G29</f>
        <v>0</v>
      </c>
      <c r="E16" s="116" t="n">
        <f aca="false">'Unlev. Consolid'!H29</f>
        <v>0</v>
      </c>
      <c r="F16" s="116" t="n">
        <f aca="false">'Unlev. Consolid'!I29</f>
        <v>0</v>
      </c>
      <c r="G16" s="116" t="n">
        <f aca="false">'Unlev. Consolid'!J29</f>
        <v>0</v>
      </c>
      <c r="H16" s="116" t="n">
        <f aca="false">'Unlev. Consolid'!K29</f>
        <v>0</v>
      </c>
      <c r="I16" s="116" t="n">
        <f aca="false">'Unlev. Consolid'!L29</f>
        <v>0</v>
      </c>
      <c r="J16" s="116" t="n">
        <f aca="false">'Unlev. Consolid'!M29</f>
        <v>0</v>
      </c>
      <c r="K16" s="116" t="n">
        <f aca="false">'Unlev. Consolid'!N29</f>
        <v>0</v>
      </c>
      <c r="L16" s="116" t="n">
        <f aca="false">'Unlev. Consolid'!O29</f>
        <v>0</v>
      </c>
      <c r="M16" s="116" t="n">
        <f aca="false">'Unlev. Consolid'!P29</f>
        <v>0</v>
      </c>
      <c r="N16" s="116" t="n">
        <f aca="false">'Unlev. Consolid'!Q29</f>
        <v>0</v>
      </c>
    </row>
    <row r="17" customFormat="false" ht="12.75" hidden="false" customHeight="false" outlineLevel="0" collapsed="false">
      <c r="A17" s="113" t="s">
        <v>122</v>
      </c>
      <c r="B17" s="114"/>
      <c r="C17" s="114"/>
      <c r="D17" s="115" t="n">
        <f aca="false">D14-D15-D16</f>
        <v>310415.509714275</v>
      </c>
      <c r="E17" s="115" t="n">
        <f aca="false">E14-E15-E16</f>
        <v>298237.759714275</v>
      </c>
      <c r="F17" s="115" t="n">
        <f aca="false">F14-F15-F16</f>
        <v>286060.009714275</v>
      </c>
      <c r="G17" s="115" t="n">
        <f aca="false">G14-G15-G16</f>
        <v>273882.259714275</v>
      </c>
      <c r="H17" s="115" t="n">
        <f aca="false">H14-H15-H16</f>
        <v>261704.509714275</v>
      </c>
      <c r="I17" s="115" t="n">
        <f aca="false">I14-I15-I16</f>
        <v>249526.759714275</v>
      </c>
      <c r="J17" s="115" t="n">
        <f aca="false">J14-J15-J16</f>
        <v>237349.009714275</v>
      </c>
      <c r="K17" s="115" t="n">
        <f aca="false">K14-K15-K16</f>
        <v>225171.259714275</v>
      </c>
      <c r="L17" s="115" t="n">
        <f aca="false">L14-L15-L16</f>
        <v>212993.509714275</v>
      </c>
      <c r="M17" s="115" t="n">
        <f aca="false">M14-M15-M16</f>
        <v>200815.759714275</v>
      </c>
      <c r="N17" s="117" t="n">
        <f aca="false">N14-N15-N16</f>
        <v>188638.009714275</v>
      </c>
    </row>
    <row r="18" customFormat="false" ht="15" hidden="false" customHeight="false" outlineLevel="0" collapsed="false">
      <c r="A18" s="0" t="s">
        <v>123</v>
      </c>
      <c r="B18" s="118" t="n">
        <f aca="false">Assumptions!D31</f>
        <v>0.075</v>
      </c>
      <c r="D18" s="116" t="n">
        <f aca="false">$B$18*D42</f>
        <v>24024.3662571524</v>
      </c>
      <c r="E18" s="116" t="n">
        <f aca="false">$B$18*E42</f>
        <v>33235.1241942948</v>
      </c>
      <c r="F18" s="116" t="n">
        <f aca="false">$B$18*F42</f>
        <v>41291.779669157</v>
      </c>
      <c r="G18" s="116" t="n">
        <f aca="false">$B$18*G42</f>
        <v>48738.5100552923</v>
      </c>
      <c r="H18" s="116" t="n">
        <f aca="false">$B$18*H42</f>
        <v>55601.9324898791</v>
      </c>
      <c r="I18" s="116" t="n">
        <f aca="false">$B$18*I42</f>
        <v>61907.1383139977</v>
      </c>
      <c r="J18" s="116" t="n">
        <f aca="false">$B$18*J42</f>
        <v>67677.1900935668</v>
      </c>
      <c r="K18" s="116" t="n">
        <f aca="false">$B$18*K42</f>
        <v>72891.7897670906</v>
      </c>
      <c r="L18" s="116" t="n">
        <f aca="false">$B$18*L42</f>
        <v>77520.4143772395</v>
      </c>
      <c r="M18" s="116" t="n">
        <f aca="false">$B$18*M42</f>
        <v>81561.7170268749</v>
      </c>
      <c r="N18" s="116" t="n">
        <f aca="false">$B$18*N42</f>
        <v>85017.9695512363</v>
      </c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</row>
    <row r="19" customFormat="false" ht="12.75" hidden="false" customHeight="false" outlineLevel="0" collapsed="false">
      <c r="A19" s="113" t="s">
        <v>124</v>
      </c>
      <c r="B19" s="114"/>
      <c r="C19" s="114"/>
      <c r="D19" s="115" t="n">
        <f aca="false">D17-D18</f>
        <v>286391.143457123</v>
      </c>
      <c r="E19" s="115" t="n">
        <f aca="false">E17-E18</f>
        <v>265002.63551998</v>
      </c>
      <c r="F19" s="115" t="n">
        <f aca="false">F17-F18</f>
        <v>244768.230045118</v>
      </c>
      <c r="G19" s="115" t="n">
        <f aca="false">G17-G18</f>
        <v>225143.749658983</v>
      </c>
      <c r="H19" s="115" t="n">
        <f aca="false">H17-H18</f>
        <v>206102.577224396</v>
      </c>
      <c r="I19" s="115" t="n">
        <f aca="false">I17-I18</f>
        <v>187619.621400277</v>
      </c>
      <c r="J19" s="115" t="n">
        <f aca="false">J17-J18</f>
        <v>169671.819620708</v>
      </c>
      <c r="K19" s="115" t="n">
        <f aca="false">K17-K18</f>
        <v>152279.469947184</v>
      </c>
      <c r="L19" s="115" t="n">
        <f aca="false">L17-L18</f>
        <v>135473.095337036</v>
      </c>
      <c r="M19" s="115" t="n">
        <f aca="false">M17-M18</f>
        <v>119254.0426874</v>
      </c>
      <c r="N19" s="117" t="n">
        <f aca="false">N17-N18</f>
        <v>103620.040163039</v>
      </c>
    </row>
    <row r="20" customFormat="false" ht="13.5" hidden="false" customHeight="false" outlineLevel="0" collapsed="false">
      <c r="A20" s="0" t="s">
        <v>125</v>
      </c>
      <c r="B20" s="119" t="n">
        <f aca="false">Assumptions!D19</f>
        <v>0.385</v>
      </c>
      <c r="D20" s="120" t="n">
        <f aca="false">D19*$B$20</f>
        <v>110260.590230992</v>
      </c>
      <c r="E20" s="120" t="n">
        <f aca="false">E19*$B$20</f>
        <v>102026.014675192</v>
      </c>
      <c r="F20" s="120" t="n">
        <f aca="false">F19*$B$20</f>
        <v>94235.7685673705</v>
      </c>
      <c r="G20" s="120" t="n">
        <f aca="false">G19*$B$20</f>
        <v>86680.3436187084</v>
      </c>
      <c r="H20" s="120" t="n">
        <f aca="false">H19*$B$20</f>
        <v>79349.4922313925</v>
      </c>
      <c r="I20" s="120" t="n">
        <f aca="false">I19*$B$20</f>
        <v>72233.5542391068</v>
      </c>
      <c r="J20" s="120" t="n">
        <f aca="false">J19*$B$20</f>
        <v>65323.6505539727</v>
      </c>
      <c r="K20" s="120" t="n">
        <f aca="false">K19*$B$20</f>
        <v>58627.595929666</v>
      </c>
      <c r="L20" s="120" t="n">
        <f aca="false">L19*$B$20</f>
        <v>52157.1417047587</v>
      </c>
      <c r="M20" s="120" t="n">
        <f aca="false">M19*$B$20</f>
        <v>45912.8064346491</v>
      </c>
      <c r="N20" s="120" t="n">
        <f aca="false">N19*$B$20</f>
        <v>39893.71546277</v>
      </c>
    </row>
    <row r="21" customFormat="false" ht="13.5" hidden="false" customHeight="false" outlineLevel="0" collapsed="false">
      <c r="A21" s="113" t="s">
        <v>126</v>
      </c>
      <c r="B21" s="114"/>
      <c r="C21" s="114"/>
      <c r="D21" s="115" t="n">
        <f aca="false">D19-D20</f>
        <v>176130.55322613</v>
      </c>
      <c r="E21" s="115" t="n">
        <f aca="false">E19-E20</f>
        <v>162976.620844788</v>
      </c>
      <c r="F21" s="115" t="n">
        <f aca="false">F19-F20</f>
        <v>150532.461477748</v>
      </c>
      <c r="G21" s="115" t="n">
        <f aca="false">G19-G20</f>
        <v>138463.406040274</v>
      </c>
      <c r="H21" s="121" t="n">
        <f aca="false">H19-H20</f>
        <v>126753.084993004</v>
      </c>
      <c r="I21" s="115" t="n">
        <f aca="false">I19-I20</f>
        <v>115386.067161171</v>
      </c>
      <c r="J21" s="115" t="n">
        <f aca="false">J19-J20</f>
        <v>104348.169066736</v>
      </c>
      <c r="K21" s="115" t="n">
        <f aca="false">K19-K20</f>
        <v>93651.8740175184</v>
      </c>
      <c r="L21" s="115" t="n">
        <f aca="false">L19-L20</f>
        <v>83315.9536322769</v>
      </c>
      <c r="M21" s="115" t="n">
        <f aca="false">M19-M20</f>
        <v>73341.2362527511</v>
      </c>
      <c r="N21" s="117" t="n">
        <f aca="false">N19-N20</f>
        <v>63726.3247002689</v>
      </c>
    </row>
    <row r="22" customFormat="false" ht="12.75" hidden="false" customHeight="false" outlineLevel="0" collapsed="false">
      <c r="B22" s="12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customFormat="false" ht="12.75" hidden="false" customHeight="false" outlineLevel="0" collapsed="false"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customFormat="false" ht="15" hidden="false" customHeight="false" outlineLevel="0" collapsed="false">
      <c r="A24" s="0" t="s">
        <v>127</v>
      </c>
      <c r="B24" s="122" t="n">
        <v>0</v>
      </c>
      <c r="D24" s="116" t="n">
        <f aca="false">+(D21-D22)*$B$16</f>
        <v>0</v>
      </c>
      <c r="E24" s="116" t="n">
        <f aca="false">+(E21-E22)*$B$16</f>
        <v>0</v>
      </c>
      <c r="F24" s="116" t="n">
        <f aca="false">+(F21-F22)*$B$16</f>
        <v>0</v>
      </c>
      <c r="G24" s="116" t="n">
        <f aca="false">+(G21-G22)*$B$16</f>
        <v>0</v>
      </c>
      <c r="H24" s="116" t="n">
        <f aca="false">+(H21-H22)*$B$16</f>
        <v>0</v>
      </c>
      <c r="I24" s="116" t="n">
        <f aca="false">+(I21-I22)*$B$16</f>
        <v>0</v>
      </c>
      <c r="J24" s="116" t="n">
        <f aca="false">+(J21-J22)*$B$16</f>
        <v>0</v>
      </c>
      <c r="K24" s="116" t="n">
        <f aca="false">+(K21-K22)*$B$16</f>
        <v>0</v>
      </c>
      <c r="L24" s="116" t="n">
        <f aca="false">+(L21-L22)*$B$16</f>
        <v>0</v>
      </c>
      <c r="M24" s="116" t="n">
        <f aca="false">+(M21-M22)*$B$16</f>
        <v>0</v>
      </c>
      <c r="N24" s="116" t="n">
        <f aca="false">+(N21-N22)*$B$16</f>
        <v>0</v>
      </c>
      <c r="O24" s="123" t="s">
        <v>119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</row>
    <row r="25" customFormat="false" ht="12.75" hidden="false" customHeight="false" outlineLevel="0" collapsed="false">
      <c r="A25" s="0" t="s">
        <v>128</v>
      </c>
      <c r="D25" s="32" t="n">
        <f aca="false">+D21-D24</f>
        <v>176130.55322613</v>
      </c>
      <c r="E25" s="32" t="n">
        <f aca="false">+E21-E24</f>
        <v>162976.620844788</v>
      </c>
      <c r="F25" s="32" t="n">
        <f aca="false">+F21-F24</f>
        <v>150532.461477748</v>
      </c>
      <c r="G25" s="32" t="n">
        <f aca="false">+G21-G24</f>
        <v>138463.406040274</v>
      </c>
      <c r="H25" s="32" t="n">
        <f aca="false">+H21-H24</f>
        <v>126753.084993004</v>
      </c>
      <c r="I25" s="32" t="n">
        <f aca="false">+I21-I24</f>
        <v>115386.067161171</v>
      </c>
      <c r="J25" s="32" t="n">
        <f aca="false">+J21-J24</f>
        <v>104348.169066736</v>
      </c>
      <c r="K25" s="32" t="n">
        <f aca="false">+K21-K24</f>
        <v>93651.8740175184</v>
      </c>
      <c r="L25" s="32" t="n">
        <f aca="false">+L21-L24</f>
        <v>83315.9536322769</v>
      </c>
      <c r="M25" s="32" t="n">
        <f aca="false">+M21-M24</f>
        <v>73341.2362527511</v>
      </c>
      <c r="N25" s="32" t="n">
        <f aca="false">+N21-N24</f>
        <v>63726.3247002689</v>
      </c>
      <c r="O25" s="123" t="s">
        <v>129</v>
      </c>
    </row>
    <row r="26" customFormat="false" ht="12.75" hidden="false" customHeight="false" outlineLevel="0" collapsed="false">
      <c r="A26" s="124" t="s">
        <v>130</v>
      </c>
      <c r="B26" s="125"/>
      <c r="C26" s="125"/>
      <c r="D26" s="126" t="n">
        <f aca="false">IF(D25/D46&lt;0,"NA ",D25/D46)</f>
        <v>0.596197177483125</v>
      </c>
      <c r="E26" s="126" t="n">
        <f aca="false">IF(E25/E46&lt;0,"NA ",E25/E46)</f>
        <v>0.444031959676805</v>
      </c>
      <c r="F26" s="126" t="n">
        <f aca="false">IF(F25/F46&lt;0,"NA ",F25/F46)</f>
        <v>0.347464497725402</v>
      </c>
      <c r="G26" s="126" t="n">
        <f aca="false">IF(G25/G46&lt;0,"NA ",G25/G46)</f>
        <v>0.280154528484533</v>
      </c>
      <c r="H26" s="126" t="n">
        <f aca="false">IF(H25/H46&lt;0,"NA ",H25/H46)</f>
        <v>0.230340514035498</v>
      </c>
      <c r="I26" s="126" t="n">
        <f aca="false">IF(I25/I46&lt;0,"NA ",I25/I46)</f>
        <v>0.191806612208411</v>
      </c>
      <c r="J26" s="126" t="n">
        <f aca="false">IF(J25/J46&lt;0,"NA ",J25/J46)</f>
        <v>0.161049262989942</v>
      </c>
      <c r="K26" s="126" t="n">
        <f aca="false">IF(K25/K46&lt;0,"NA ",K25/K46)</f>
        <v>0.135910468379336</v>
      </c>
      <c r="L26" s="126" t="n">
        <f aca="false">IF(L25/L46&lt;0,"NA ",L25/L46)</f>
        <v>0.114919659925044</v>
      </c>
      <c r="M26" s="126" t="n">
        <f aca="false">IF(M25/M46&lt;0,"NA ",M25/M46)</f>
        <v>0.0970487665370799</v>
      </c>
      <c r="N26" s="126" t="n">
        <f aca="false">IF(N25/N46&lt;0,"NA ",N25/N46)</f>
        <v>0.0815731527610197</v>
      </c>
      <c r="O26" s="127" t="n">
        <f aca="false">O28/N14</f>
        <v>5.07550810651413</v>
      </c>
    </row>
    <row r="27" customFormat="false" ht="12.75" hidden="false" customHeight="false" outlineLevel="0" collapsed="false">
      <c r="B27" s="120"/>
      <c r="C27" s="128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</row>
    <row r="28" customFormat="false" ht="12.75" hidden="false" customHeight="false" outlineLevel="0" collapsed="false">
      <c r="A28" s="13" t="s">
        <v>131</v>
      </c>
      <c r="D28" s="32" t="n">
        <f aca="false">D21+D15+'Unlev. Consolid'!G33</f>
        <v>215002.043511855</v>
      </c>
      <c r="E28" s="32" t="n">
        <f aca="false">E21+E15+'Unlev. Consolid'!H33</f>
        <v>227494.832514516</v>
      </c>
      <c r="F28" s="32" t="n">
        <f aca="false">F21+F15+'Unlev. Consolid'!I33</f>
        <v>228604.564008075</v>
      </c>
      <c r="G28" s="32" t="n">
        <f aca="false">G21+G15+'Unlev. Consolid'!J33</f>
        <v>229497.907493902</v>
      </c>
      <c r="H28" s="32" t="n">
        <f aca="false">H21+H15+'Unlev. Consolid'!K33</f>
        <v>230192.40001259</v>
      </c>
      <c r="I28" s="32" t="n">
        <f aca="false">I21+I15+'Unlev. Consolid'!L33</f>
        <v>230717.694281857</v>
      </c>
      <c r="J28" s="32" t="n">
        <f aca="false">J21+J15+'Unlev. Consolid'!M33</f>
        <v>232023.176321761</v>
      </c>
      <c r="K28" s="32" t="n">
        <f aca="false">K21+K15+'Unlev. Consolid'!N33</f>
        <v>234348.549347544</v>
      </c>
      <c r="L28" s="32" t="n">
        <f aca="false">L21+L15+'Unlev. Consolid'!O33</f>
        <v>237064.228084823</v>
      </c>
      <c r="M28" s="32" t="n">
        <f aca="false">M21+M15+'Unlev. Consolid'!P33</f>
        <v>240090.624600277</v>
      </c>
      <c r="N28" s="32" t="n">
        <f aca="false">N21+N15+'Unlev. Consolid'!Q33</f>
        <v>243527.312170315</v>
      </c>
      <c r="O28" s="32" t="n">
        <f aca="false">'Unlev. Consolid'!R47</f>
        <v>1772809</v>
      </c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</row>
    <row r="29" customFormat="false" ht="12.75" hidden="false" customHeight="false" outlineLevel="0" collapsed="false">
      <c r="A29" s="0" t="s">
        <v>132</v>
      </c>
      <c r="D29" s="32" t="n">
        <f aca="false">'Unlev. Consolid'!G40</f>
        <v>243555</v>
      </c>
      <c r="E29" s="32" t="n">
        <f aca="false">'Unlev. Consolid'!H40</f>
        <v>243555</v>
      </c>
      <c r="F29" s="32" t="n">
        <f aca="false">'Unlev. Consolid'!I40</f>
        <v>243555</v>
      </c>
      <c r="G29" s="32" t="n">
        <f aca="false">'Unlev. Consolid'!J40</f>
        <v>243555</v>
      </c>
      <c r="H29" s="32" t="n">
        <f aca="false">'Unlev. Consolid'!K40</f>
        <v>243555</v>
      </c>
      <c r="I29" s="32" t="n">
        <f aca="false">'Unlev. Consolid'!L40</f>
        <v>243555</v>
      </c>
      <c r="J29" s="32" t="n">
        <f aca="false">'Unlev. Consolid'!M40</f>
        <v>243555</v>
      </c>
      <c r="K29" s="32" t="n">
        <f aca="false">'Unlev. Consolid'!N40</f>
        <v>243555</v>
      </c>
      <c r="L29" s="32" t="n">
        <f aca="false">'Unlev. Consolid'!O40</f>
        <v>243555</v>
      </c>
      <c r="M29" s="32" t="n">
        <f aca="false">'Unlev. Consolid'!P40</f>
        <v>243555</v>
      </c>
      <c r="N29" s="32" t="n">
        <f aca="false">'Unlev. Consolid'!Q40</f>
        <v>243555</v>
      </c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customFormat="false" ht="12.75" hidden="false" customHeight="false" outlineLevel="0" collapsed="false">
      <c r="A30" s="0" t="s">
        <v>133</v>
      </c>
      <c r="B30" s="130"/>
      <c r="D30" s="32" t="n">
        <f aca="false">D44</f>
        <v>-122810.105828565</v>
      </c>
      <c r="E30" s="32" t="n">
        <f aca="false">E44</f>
        <v>-107422.072998163</v>
      </c>
      <c r="F30" s="32" t="n">
        <f aca="false">F44</f>
        <v>-99289.7384818032</v>
      </c>
      <c r="G30" s="32" t="n">
        <f aca="false">G44</f>
        <v>-91512.2991278238</v>
      </c>
      <c r="H30" s="32" t="n">
        <f aca="false">H44</f>
        <v>-84069.4109882482</v>
      </c>
      <c r="I30" s="32" t="n">
        <f aca="false">I44</f>
        <v>-76934.0237275884</v>
      </c>
      <c r="J30" s="32" t="n">
        <f aca="false">J44</f>
        <v>-69527.9956469846</v>
      </c>
      <c r="K30" s="32" t="n">
        <f aca="false">K44</f>
        <v>-61714.9948019846</v>
      </c>
      <c r="L30" s="32" t="n">
        <f aca="false">L44</f>
        <v>-53884.0353284726</v>
      </c>
      <c r="M30" s="32" t="n">
        <f aca="false">M44</f>
        <v>-46083.3669914845</v>
      </c>
      <c r="N30" s="32" t="n">
        <f aca="false">N44</f>
        <v>-38252.4075179726</v>
      </c>
      <c r="O30" s="131" t="n">
        <f aca="false">N43</f>
        <v>1171825.33486779</v>
      </c>
    </row>
    <row r="31" customFormat="false" ht="12.75" hidden="false" customHeight="false" outlineLevel="0" collapsed="false">
      <c r="A31" s="124" t="s">
        <v>134</v>
      </c>
      <c r="B31" s="132"/>
      <c r="C31" s="114"/>
      <c r="D31" s="115" t="n">
        <f aca="false">(D28-D29-D30)</f>
        <v>94257.1493404204</v>
      </c>
      <c r="E31" s="115" t="n">
        <f aca="false">(E28-E29-E30)</f>
        <v>91361.9055126793</v>
      </c>
      <c r="F31" s="115" t="n">
        <f aca="false">(F28-F29-F30)</f>
        <v>84339.3024898786</v>
      </c>
      <c r="G31" s="115" t="n">
        <f aca="false">(G28-G29-G30)</f>
        <v>77455.2066217254</v>
      </c>
      <c r="H31" s="115" t="n">
        <f aca="false">(H28-H29-H30)</f>
        <v>70706.8110008382</v>
      </c>
      <c r="I31" s="115" t="n">
        <f aca="false">(I28-I29-I30)</f>
        <v>64096.7180094449</v>
      </c>
      <c r="J31" s="115" t="n">
        <f aca="false">(J28-J29-J30)</f>
        <v>57996.1719687458</v>
      </c>
      <c r="K31" s="115" t="n">
        <f aca="false">(K28-K29-K30)</f>
        <v>52508.5441495287</v>
      </c>
      <c r="L31" s="115" t="n">
        <f aca="false">(L28-L29-L30)</f>
        <v>47393.2634132952</v>
      </c>
      <c r="M31" s="115" t="n">
        <f aca="false">(M28-M29-M30)</f>
        <v>42618.9915917613</v>
      </c>
      <c r="N31" s="115" t="n">
        <f aca="false">(N28-N29-N30)</f>
        <v>38224.7196882872</v>
      </c>
      <c r="O31" s="117" t="n">
        <f aca="false">(O28-O29-O30)</f>
        <v>600983.665132211</v>
      </c>
    </row>
    <row r="32" customFormat="false" ht="12.75" hidden="false" customHeight="false" outlineLevel="0" collapsed="false">
      <c r="A32" s="0" t="s">
        <v>135</v>
      </c>
      <c r="B32" s="26" t="n">
        <f aca="false">Assumptions!D8</f>
        <v>1</v>
      </c>
      <c r="C32" s="133" t="n">
        <f aca="false">-C9</f>
        <v>-213549.922285799</v>
      </c>
      <c r="D32" s="133" t="n">
        <f aca="false">$B$32*D31</f>
        <v>94257.1493404204</v>
      </c>
      <c r="E32" s="133" t="n">
        <f aca="false">$B$32*E31</f>
        <v>91361.9055126793</v>
      </c>
      <c r="F32" s="133" t="n">
        <f aca="false">$B$32*F31</f>
        <v>84339.3024898786</v>
      </c>
      <c r="G32" s="133" t="n">
        <f aca="false">$B$32*G31</f>
        <v>77455.2066217254</v>
      </c>
      <c r="H32" s="133" t="n">
        <f aca="false">$B$32*H31</f>
        <v>70706.8110008382</v>
      </c>
      <c r="I32" s="133" t="n">
        <f aca="false">$B$32*I31</f>
        <v>64096.7180094449</v>
      </c>
      <c r="J32" s="133" t="n">
        <f aca="false">$B$32*J31</f>
        <v>57996.1719687458</v>
      </c>
      <c r="K32" s="133" t="n">
        <f aca="false">$B$32*K31</f>
        <v>52508.5441495287</v>
      </c>
      <c r="L32" s="133" t="n">
        <f aca="false">$B$32*L31</f>
        <v>47393.2634132952</v>
      </c>
      <c r="M32" s="133" t="n">
        <f aca="false">$B$32*M31</f>
        <v>42618.9915917613</v>
      </c>
      <c r="N32" s="133" t="n">
        <f aca="false">$B$32*N31</f>
        <v>38224.7196882872</v>
      </c>
      <c r="O32" s="133" t="n">
        <f aca="false">$B$32*O31</f>
        <v>600983.665132211</v>
      </c>
    </row>
    <row r="33" customFormat="false" ht="12.75" hidden="false" customHeight="false" outlineLevel="0" collapsed="false">
      <c r="B33" s="26"/>
      <c r="C33" s="133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</row>
    <row r="34" customFormat="false" ht="12.75" hidden="false" customHeight="false" outlineLevel="0" collapsed="false">
      <c r="C34" s="133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customFormat="false" ht="12.75" hidden="false" customHeight="false" outlineLevel="0" collapsed="false">
      <c r="A35" s="135"/>
      <c r="B35" s="136"/>
      <c r="C35" s="133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customFormat="false" ht="12.75" hidden="false" customHeight="false" outlineLevel="0" collapsed="false">
      <c r="A36" s="21"/>
      <c r="B36" s="137"/>
      <c r="C36" s="138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</row>
    <row r="37" customFormat="false" ht="12.75" hidden="false" customHeight="false" outlineLevel="0" collapsed="false">
      <c r="A37" s="9" t="s">
        <v>136</v>
      </c>
      <c r="C37" s="27"/>
      <c r="J37" s="32"/>
      <c r="K37" s="32"/>
      <c r="L37" s="26"/>
      <c r="M37" s="26"/>
      <c r="N37" s="26"/>
      <c r="O37" s="26"/>
      <c r="P37" s="26"/>
      <c r="Q37" s="26"/>
      <c r="R37" s="26"/>
      <c r="S37" s="26"/>
      <c r="T37" s="26"/>
      <c r="U37" s="32"/>
    </row>
    <row r="38" customFormat="false" ht="12.75" hidden="false" customHeight="false" outlineLevel="0" collapsed="false">
      <c r="A38" s="0" t="s">
        <v>137</v>
      </c>
      <c r="C38" s="27"/>
      <c r="D38" s="32" t="n">
        <f aca="false">D42-D30</f>
        <v>443134.989257264</v>
      </c>
      <c r="E38" s="32" t="n">
        <f aca="false">E42-E30</f>
        <v>550557.062255427</v>
      </c>
      <c r="F38" s="32" t="n">
        <f aca="false">F42-F30</f>
        <v>649846.80073723</v>
      </c>
      <c r="G38" s="32" t="n">
        <f aca="false">G42-G30</f>
        <v>741359.099865054</v>
      </c>
      <c r="H38" s="32" t="n">
        <f aca="false">H42-H30</f>
        <v>825428.510853302</v>
      </c>
      <c r="I38" s="32" t="n">
        <f aca="false">I42-I30</f>
        <v>902362.534580891</v>
      </c>
      <c r="J38" s="32" t="n">
        <f aca="false">J42-J30</f>
        <v>971890.530227875</v>
      </c>
      <c r="K38" s="32" t="n">
        <f aca="false">K42-K30</f>
        <v>1033605.52502986</v>
      </c>
      <c r="L38" s="32" t="n">
        <f aca="false">L42-L30</f>
        <v>1087489.56035833</v>
      </c>
      <c r="M38" s="32" t="n">
        <f aca="false">M42-M30</f>
        <v>1133572.92734982</v>
      </c>
      <c r="N38" s="32" t="n">
        <f aca="false">N42-N30</f>
        <v>1171825.33486779</v>
      </c>
      <c r="O38" s="32"/>
      <c r="P38" s="32"/>
      <c r="Q38" s="32"/>
      <c r="R38" s="32"/>
      <c r="S38" s="32"/>
      <c r="T38" s="32"/>
      <c r="U38" s="32"/>
    </row>
    <row r="39" customFormat="false" ht="12.75" hidden="false" customHeight="false" outlineLevel="0" collapsed="false">
      <c r="A39" s="0" t="s">
        <v>138</v>
      </c>
      <c r="D39" s="32" t="n">
        <f aca="false">$C$9+D25-D31</f>
        <v>295423.326171509</v>
      </c>
      <c r="E39" s="32" t="n">
        <f aca="false">E45+E25-E31</f>
        <v>367038.041503618</v>
      </c>
      <c r="F39" s="32" t="n">
        <f aca="false">F45+F25-F31</f>
        <v>433231.200491487</v>
      </c>
      <c r="G39" s="32" t="n">
        <f aca="false">G45+G25-G31</f>
        <v>494239.399910036</v>
      </c>
      <c r="H39" s="32" t="n">
        <f aca="false">H45+H25-H31</f>
        <v>550285.673902202</v>
      </c>
      <c r="I39" s="32" t="n">
        <f aca="false">I45+I25-I31</f>
        <v>601575.023053927</v>
      </c>
      <c r="J39" s="32" t="n">
        <f aca="false">J45+J25-J31</f>
        <v>647927.020151917</v>
      </c>
      <c r="K39" s="32" t="n">
        <f aca="false">K45+K25-K31</f>
        <v>689070.350019906</v>
      </c>
      <c r="L39" s="32" t="n">
        <f aca="false">L45+L25-L31</f>
        <v>724993.040238888</v>
      </c>
      <c r="M39" s="32" t="n">
        <f aca="false">M45+M25-M31</f>
        <v>755715.284899878</v>
      </c>
      <c r="N39" s="32" t="n">
        <f aca="false">N45+N25-N31</f>
        <v>781216.88991186</v>
      </c>
      <c r="O39" s="32"/>
      <c r="P39" s="32"/>
      <c r="Q39" s="32"/>
      <c r="R39" s="32"/>
      <c r="S39" s="32"/>
      <c r="T39" s="32"/>
    </row>
    <row r="40" customFormat="false" ht="12.75" hidden="false" customHeight="false" outlineLevel="0" collapsed="false">
      <c r="A40" s="54" t="s">
        <v>139</v>
      </c>
      <c r="D40" s="32" t="n">
        <f aca="false">D38+D39</f>
        <v>738558.315428774</v>
      </c>
      <c r="E40" s="32" t="n">
        <f aca="false">E38+E39</f>
        <v>917595.103759045</v>
      </c>
      <c r="F40" s="32" t="n">
        <f aca="false">F38+F39</f>
        <v>1083078.00122872</v>
      </c>
      <c r="G40" s="32" t="n">
        <f aca="false">G38+G39</f>
        <v>1235598.49977509</v>
      </c>
      <c r="H40" s="32" t="n">
        <f aca="false">H38+H39</f>
        <v>1375714.1847555</v>
      </c>
      <c r="I40" s="32" t="n">
        <f aca="false">I38+I39</f>
        <v>1503937.55763482</v>
      </c>
      <c r="J40" s="32" t="n">
        <f aca="false">J38+J39</f>
        <v>1619817.55037979</v>
      </c>
      <c r="K40" s="32" t="n">
        <f aca="false">K38+K39</f>
        <v>1722675.87504977</v>
      </c>
      <c r="L40" s="32" t="n">
        <f aca="false">L38+L39</f>
        <v>1812482.60059722</v>
      </c>
      <c r="M40" s="32" t="n">
        <f aca="false">M38+M39</f>
        <v>1889288.21224969</v>
      </c>
      <c r="N40" s="32" t="n">
        <f aca="false">N38+N39</f>
        <v>1953042.22477965</v>
      </c>
      <c r="O40" s="32"/>
      <c r="P40" s="32"/>
      <c r="Q40" s="32"/>
      <c r="R40" s="32"/>
      <c r="S40" s="32"/>
      <c r="T40" s="32"/>
    </row>
    <row r="42" customFormat="false" ht="12.75" hidden="false" customHeight="false" outlineLevel="0" collapsed="false">
      <c r="A42" s="0" t="s">
        <v>140</v>
      </c>
      <c r="D42" s="32" t="n">
        <f aca="false">C8</f>
        <v>320324.883428699</v>
      </c>
      <c r="E42" s="32" t="n">
        <f aca="false">D43</f>
        <v>443134.989257264</v>
      </c>
      <c r="F42" s="32" t="n">
        <f aca="false">E43</f>
        <v>550557.062255427</v>
      </c>
      <c r="G42" s="32" t="n">
        <f aca="false">F43</f>
        <v>649846.80073723</v>
      </c>
      <c r="H42" s="32" t="n">
        <f aca="false">G43</f>
        <v>741359.099865054</v>
      </c>
      <c r="I42" s="32" t="n">
        <f aca="false">H43</f>
        <v>825428.510853302</v>
      </c>
      <c r="J42" s="32" t="n">
        <f aca="false">I43</f>
        <v>902362.53458089</v>
      </c>
      <c r="K42" s="32" t="n">
        <f aca="false">J43</f>
        <v>971890.530227875</v>
      </c>
      <c r="L42" s="32" t="n">
        <f aca="false">K43</f>
        <v>1033605.52502986</v>
      </c>
      <c r="M42" s="32" t="n">
        <f aca="false">L43</f>
        <v>1087489.56035833</v>
      </c>
      <c r="N42" s="32" t="n">
        <f aca="false">M43</f>
        <v>1133572.92734982</v>
      </c>
      <c r="O42" s="32"/>
      <c r="P42" s="32"/>
      <c r="Q42" s="32"/>
      <c r="R42" s="32"/>
      <c r="S42" s="32"/>
      <c r="T42" s="32"/>
    </row>
    <row r="43" customFormat="false" ht="12.75" hidden="false" customHeight="false" outlineLevel="0" collapsed="false">
      <c r="A43" s="0" t="s">
        <v>141</v>
      </c>
      <c r="D43" s="32" t="n">
        <f aca="false">D40*$B$8</f>
        <v>443134.989257264</v>
      </c>
      <c r="E43" s="32" t="n">
        <f aca="false">E40*$B$8</f>
        <v>550557.062255427</v>
      </c>
      <c r="F43" s="32" t="n">
        <f aca="false">F40*$B$8</f>
        <v>649846.80073723</v>
      </c>
      <c r="G43" s="32" t="n">
        <f aca="false">G40*$B$8</f>
        <v>741359.099865054</v>
      </c>
      <c r="H43" s="32" t="n">
        <f aca="false">H40*$B$8</f>
        <v>825428.510853302</v>
      </c>
      <c r="I43" s="32" t="n">
        <f aca="false">I40*$B$8</f>
        <v>902362.53458089</v>
      </c>
      <c r="J43" s="32" t="n">
        <f aca="false">J40*$B$8</f>
        <v>971890.530227875</v>
      </c>
      <c r="K43" s="32" t="n">
        <f aca="false">K40*$B$8</f>
        <v>1033605.52502986</v>
      </c>
      <c r="L43" s="32" t="n">
        <f aca="false">L40*$B$8</f>
        <v>1087489.56035833</v>
      </c>
      <c r="M43" s="32" t="n">
        <f aca="false">M40*$B$8</f>
        <v>1133572.92734982</v>
      </c>
      <c r="N43" s="32" t="n">
        <f aca="false">N40*$B$8</f>
        <v>1171825.33486779</v>
      </c>
      <c r="O43" s="139"/>
      <c r="P43" s="32"/>
      <c r="Q43" s="32"/>
      <c r="R43" s="32"/>
      <c r="S43" s="32"/>
      <c r="T43" s="32"/>
    </row>
    <row r="44" customFormat="false" ht="12.75" hidden="false" customHeight="false" outlineLevel="0" collapsed="false">
      <c r="A44" s="0" t="s">
        <v>133</v>
      </c>
      <c r="D44" s="32" t="n">
        <f aca="false">D42-D43</f>
        <v>-122810.105828565</v>
      </c>
      <c r="E44" s="32" t="n">
        <f aca="false">E42-E43</f>
        <v>-107422.072998163</v>
      </c>
      <c r="F44" s="32" t="n">
        <f aca="false">F42-F43</f>
        <v>-99289.7384818032</v>
      </c>
      <c r="G44" s="32" t="n">
        <f aca="false">G42-G43</f>
        <v>-91512.2991278238</v>
      </c>
      <c r="H44" s="32" t="n">
        <f aca="false">H42-H43</f>
        <v>-84069.4109882482</v>
      </c>
      <c r="I44" s="32" t="n">
        <f aca="false">I42-I43</f>
        <v>-76934.0237275884</v>
      </c>
      <c r="J44" s="32" t="n">
        <f aca="false">J42-J43</f>
        <v>-69527.9956469846</v>
      </c>
      <c r="K44" s="32" t="n">
        <f aca="false">K42-K43</f>
        <v>-61714.9948019846</v>
      </c>
      <c r="L44" s="32" t="n">
        <f aca="false">L42-L43</f>
        <v>-53884.0353284726</v>
      </c>
      <c r="M44" s="32" t="n">
        <f aca="false">M42-M43</f>
        <v>-46083.3669914845</v>
      </c>
      <c r="N44" s="32" t="n">
        <f aca="false">N42-N43</f>
        <v>-38252.4075179726</v>
      </c>
      <c r="O44" s="32"/>
      <c r="P44" s="32"/>
      <c r="Q44" s="32"/>
      <c r="R44" s="32"/>
      <c r="S44" s="32"/>
      <c r="T44" s="32"/>
    </row>
    <row r="45" customFormat="false" ht="12.75" hidden="false" customHeight="false" outlineLevel="0" collapsed="false">
      <c r="A45" s="0" t="s">
        <v>142</v>
      </c>
      <c r="D45" s="32" t="n">
        <f aca="false">$C$9</f>
        <v>213549.922285799</v>
      </c>
      <c r="E45" s="32" t="n">
        <f aca="false">D46</f>
        <v>295423.326171509</v>
      </c>
      <c r="F45" s="32" t="n">
        <f aca="false">E46</f>
        <v>367038.041503618</v>
      </c>
      <c r="G45" s="32" t="n">
        <f aca="false">F46</f>
        <v>433231.200491487</v>
      </c>
      <c r="H45" s="32" t="n">
        <f aca="false">G46</f>
        <v>494239.399910036</v>
      </c>
      <c r="I45" s="32" t="n">
        <f aca="false">H46</f>
        <v>550285.673902201</v>
      </c>
      <c r="J45" s="32" t="n">
        <f aca="false">I46</f>
        <v>601575.023053927</v>
      </c>
      <c r="K45" s="32" t="n">
        <f aca="false">J46</f>
        <v>647927.020151917</v>
      </c>
      <c r="L45" s="32" t="n">
        <f aca="false">K46</f>
        <v>689070.350019907</v>
      </c>
      <c r="M45" s="32" t="n">
        <f aca="false">L46</f>
        <v>724993.040238888</v>
      </c>
      <c r="N45" s="32" t="n">
        <f aca="false">M46</f>
        <v>755715.284899878</v>
      </c>
      <c r="O45" s="32"/>
      <c r="P45" s="32"/>
      <c r="Q45" s="32"/>
      <c r="R45" s="32"/>
      <c r="S45" s="32"/>
      <c r="T45" s="32"/>
    </row>
    <row r="46" customFormat="false" ht="12.75" hidden="false" customHeight="false" outlineLevel="0" collapsed="false">
      <c r="A46" s="0" t="s">
        <v>143</v>
      </c>
      <c r="D46" s="32" t="n">
        <f aca="false">D40*(1-$B$8)</f>
        <v>295423.326171509</v>
      </c>
      <c r="E46" s="32" t="n">
        <f aca="false">E40*(1-$B$8)</f>
        <v>367038.041503618</v>
      </c>
      <c r="F46" s="32" t="n">
        <f aca="false">F40*(1-$B$8)</f>
        <v>433231.200491487</v>
      </c>
      <c r="G46" s="32" t="n">
        <f aca="false">G40*(1-$B$8)</f>
        <v>494239.399910036</v>
      </c>
      <c r="H46" s="32" t="n">
        <f aca="false">H40*(1-$B$8)</f>
        <v>550285.673902201</v>
      </c>
      <c r="I46" s="32" t="n">
        <f aca="false">I40*(1-$B$8)</f>
        <v>601575.023053927</v>
      </c>
      <c r="J46" s="32" t="n">
        <f aca="false">J40*(1-$B$8)</f>
        <v>647927.020151917</v>
      </c>
      <c r="K46" s="32" t="n">
        <f aca="false">K40*(1-$B$8)</f>
        <v>689070.350019907</v>
      </c>
      <c r="L46" s="32" t="n">
        <f aca="false">L40*(1-$B$8)</f>
        <v>724993.040238888</v>
      </c>
      <c r="M46" s="32" t="n">
        <f aca="false">M40*(1-$B$8)</f>
        <v>755715.284899878</v>
      </c>
      <c r="N46" s="32" t="n">
        <f aca="false">N40*(1-$B$8)</f>
        <v>781216.88991186</v>
      </c>
      <c r="O46" s="32"/>
      <c r="P46" s="32"/>
      <c r="Q46" s="32"/>
      <c r="R46" s="32"/>
      <c r="S46" s="32"/>
      <c r="T46" s="32"/>
    </row>
    <row r="48" customFormat="false" ht="12.75" hidden="false" customHeight="false" outlineLevel="0" collapsed="false">
      <c r="A48" s="0" t="s">
        <v>144</v>
      </c>
      <c r="B48" s="133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P48" s="141"/>
      <c r="Q48" s="141"/>
      <c r="R48" s="141"/>
      <c r="S48" s="141"/>
      <c r="T48" s="141"/>
    </row>
    <row r="49" customFormat="false" ht="12.75" hidden="false" customHeight="false" outlineLevel="0" collapsed="false">
      <c r="A49" s="54" t="s">
        <v>145</v>
      </c>
      <c r="B49" s="133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P49" s="141"/>
      <c r="Q49" s="141"/>
      <c r="R49" s="141"/>
      <c r="S49" s="141"/>
      <c r="T49" s="141"/>
      <c r="U49" s="141"/>
    </row>
    <row r="51" customFormat="false" ht="12.75" hidden="false" customHeight="false" outlineLevel="0" collapsed="false">
      <c r="A51" s="12" t="s">
        <v>146</v>
      </c>
      <c r="B51" s="12"/>
      <c r="D51" s="26" t="n">
        <f aca="false">D43/D40</f>
        <v>0.6</v>
      </c>
      <c r="E51" s="26" t="n">
        <f aca="false">E43/E40</f>
        <v>0.6</v>
      </c>
      <c r="F51" s="26" t="n">
        <f aca="false">F43/F40</f>
        <v>0.6</v>
      </c>
      <c r="G51" s="26" t="n">
        <f aca="false">G43/G40</f>
        <v>0.6</v>
      </c>
      <c r="H51" s="26" t="n">
        <f aca="false">H43/H40</f>
        <v>0.6</v>
      </c>
      <c r="I51" s="26" t="n">
        <f aca="false">I43/I40</f>
        <v>0.6</v>
      </c>
      <c r="J51" s="26" t="n">
        <f aca="false">J43/J40</f>
        <v>0.6</v>
      </c>
      <c r="K51" s="26" t="n">
        <f aca="false">K43/K40</f>
        <v>0.6</v>
      </c>
      <c r="L51" s="26" t="n">
        <f aca="false">L43/L40</f>
        <v>0.6</v>
      </c>
      <c r="M51" s="26" t="n">
        <f aca="false">M43/M40</f>
        <v>0.6</v>
      </c>
      <c r="N51" s="26" t="n">
        <f aca="false">N43/N40</f>
        <v>0.6</v>
      </c>
      <c r="P51" s="26"/>
      <c r="Q51" s="26"/>
      <c r="R51" s="26"/>
      <c r="S51" s="26"/>
      <c r="T51" s="26"/>
    </row>
    <row r="52" customFormat="false" ht="12.75" hidden="false" customHeight="false" outlineLevel="0" collapsed="false">
      <c r="A52" s="142" t="s">
        <v>134</v>
      </c>
      <c r="B52" s="12"/>
      <c r="D52" s="133" t="n">
        <f aca="false">$C$9-D46+D25</f>
        <v>94257.1493404204</v>
      </c>
      <c r="E52" s="133" t="n">
        <f aca="false">E45-E46+E25</f>
        <v>91361.9055126793</v>
      </c>
      <c r="F52" s="133" t="n">
        <f aca="false">F45-F46+F25</f>
        <v>84339.3024898787</v>
      </c>
      <c r="G52" s="133" t="n">
        <f aca="false">G45-G46+G25</f>
        <v>77455.2066217253</v>
      </c>
      <c r="H52" s="133" t="n">
        <f aca="false">H45-H46+H25</f>
        <v>70706.8110008382</v>
      </c>
      <c r="I52" s="133" t="n">
        <f aca="false">I45-I46+I25</f>
        <v>64096.718009445</v>
      </c>
      <c r="J52" s="133" t="n">
        <f aca="false">J45-J46+J25</f>
        <v>57996.1719687458</v>
      </c>
      <c r="K52" s="133" t="n">
        <f aca="false">K45-K46+K25</f>
        <v>52508.5441495287</v>
      </c>
      <c r="L52" s="133" t="n">
        <f aca="false">L45-L46+L25</f>
        <v>47393.2634132952</v>
      </c>
      <c r="M52" s="133" t="n">
        <f aca="false">M45-M46+M25</f>
        <v>42618.9915917614</v>
      </c>
      <c r="N52" s="133" t="n">
        <f aca="false">N45-N46+N25</f>
        <v>38224.7196882872</v>
      </c>
      <c r="O52" s="32"/>
      <c r="P52" s="32"/>
      <c r="Q52" s="32"/>
      <c r="R52" s="32"/>
      <c r="S52" s="32"/>
      <c r="T52" s="32"/>
    </row>
    <row r="56" customFormat="false" ht="15.75" hidden="false" customHeight="false" outlineLevel="0" collapsed="false">
      <c r="D56" s="68" t="s">
        <v>147</v>
      </c>
    </row>
    <row r="57" customFormat="false" ht="13.5" hidden="false" customHeight="false" outlineLevel="0" collapsed="false"/>
    <row r="58" customFormat="false" ht="12.75" hidden="false" customHeight="false" outlineLevel="0" collapsed="false">
      <c r="D58" s="57"/>
      <c r="E58" s="17" t="s">
        <v>148</v>
      </c>
      <c r="F58" s="17"/>
      <c r="G58" s="15"/>
    </row>
    <row r="59" customFormat="false" ht="12.75" hidden="false" customHeight="false" outlineLevel="0" collapsed="false">
      <c r="D59" s="143" t="s">
        <v>149</v>
      </c>
      <c r="E59" s="144" t="n">
        <f aca="false">F6</f>
        <v>0.1</v>
      </c>
      <c r="F59" s="144" t="n">
        <f aca="false">G6</f>
        <v>0.125</v>
      </c>
      <c r="G59" s="145" t="n">
        <f aca="false">H6</f>
        <v>0.15</v>
      </c>
    </row>
    <row r="60" customFormat="false" ht="12.75" hidden="false" customHeight="false" outlineLevel="0" collapsed="false">
      <c r="D60" s="146" t="n">
        <f aca="false">B8</f>
        <v>0.6</v>
      </c>
      <c r="E60" s="147" t="n">
        <f aca="false">F7</f>
        <v>439673.823759628</v>
      </c>
      <c r="F60" s="147" t="n">
        <f aca="false">G7</f>
        <v>352993.915386343</v>
      </c>
      <c r="G60" s="148" t="n">
        <f aca="false">H7</f>
        <v>283619.050530662</v>
      </c>
    </row>
    <row r="61" customFormat="false" ht="12.75" hidden="false" customHeight="false" outlineLevel="0" collapsed="false">
      <c r="D61" s="149" t="n">
        <v>0.2</v>
      </c>
      <c r="E61" s="150" t="n">
        <f aca="true">TABLE(E$60,$B$8,$D61)</f>
        <v>439673.823759628</v>
      </c>
      <c r="F61" s="150" t="n">
        <f aca="true">TABLE(F$60,$B$8,$D61)</f>
        <v>352993.915386343</v>
      </c>
      <c r="G61" s="151" t="n">
        <f aca="true">TABLE(G$60,$B$8,$D61)</f>
        <v>283619.050530662</v>
      </c>
    </row>
    <row r="62" customFormat="false" ht="12.75" hidden="false" customHeight="false" outlineLevel="0" collapsed="false">
      <c r="D62" s="149" t="n">
        <f aca="false">D61+10%</f>
        <v>0.3</v>
      </c>
      <c r="E62" s="150" t="n">
        <f aca="true">TABLE(E$60,$B$8,$D62)</f>
        <v>439673.823759628</v>
      </c>
      <c r="F62" s="150" t="n">
        <f aca="true">TABLE(F$60,$B$8,$D62)</f>
        <v>352993.915386343</v>
      </c>
      <c r="G62" s="151" t="n">
        <f aca="true">TABLE(G$60,$B$8,$D62)</f>
        <v>283619.050530662</v>
      </c>
    </row>
    <row r="63" customFormat="false" ht="12.75" hidden="false" customHeight="false" outlineLevel="0" collapsed="false">
      <c r="D63" s="149" t="n">
        <f aca="false">D62+10%</f>
        <v>0.4</v>
      </c>
      <c r="E63" s="150" t="n">
        <f aca="true">TABLE(E$60,$B$8,$D63)</f>
        <v>439673.823759628</v>
      </c>
      <c r="F63" s="150" t="n">
        <f aca="true">TABLE(F$60,$B$8,$D63)</f>
        <v>352993.915386343</v>
      </c>
      <c r="G63" s="151" t="n">
        <f aca="true">TABLE(G$60,$B$8,$D63)</f>
        <v>283619.050530662</v>
      </c>
    </row>
    <row r="64" customFormat="false" ht="12.75" hidden="false" customHeight="false" outlineLevel="0" collapsed="false">
      <c r="D64" s="149" t="n">
        <f aca="false">D63+10%</f>
        <v>0.5</v>
      </c>
      <c r="E64" s="150" t="n">
        <f aca="true">TABLE(E$60,$B$8,$D64)</f>
        <v>439673.823759628</v>
      </c>
      <c r="F64" s="150" t="n">
        <f aca="true">TABLE(F$60,$B$8,$D64)</f>
        <v>352993.915386343</v>
      </c>
      <c r="G64" s="151" t="n">
        <f aca="true">TABLE(G$60,$B$8,$D64)</f>
        <v>283619.050530662</v>
      </c>
    </row>
    <row r="65" customFormat="false" ht="12.75" hidden="false" customHeight="false" outlineLevel="0" collapsed="false">
      <c r="D65" s="149" t="n">
        <v>0.6</v>
      </c>
      <c r="E65" s="150" t="n">
        <f aca="true">TABLE(E$60,$B$8,$D65)</f>
        <v>439673.823759628</v>
      </c>
      <c r="F65" s="150" t="n">
        <f aca="true">TABLE(F$60,$B$8,$D65)</f>
        <v>352993.915386343</v>
      </c>
      <c r="G65" s="151" t="n">
        <f aca="true">TABLE(G$60,$B$8,$D65)</f>
        <v>283619.050530662</v>
      </c>
    </row>
    <row r="66" customFormat="false" ht="12.75" hidden="false" customHeight="false" outlineLevel="0" collapsed="false">
      <c r="D66" s="149" t="n">
        <f aca="false">D65+10%</f>
        <v>0.7</v>
      </c>
      <c r="E66" s="150" t="n">
        <f aca="true">TABLE(E$60,$B$8,$D66)</f>
        <v>439673.823759628</v>
      </c>
      <c r="F66" s="150" t="n">
        <f aca="true">TABLE(F$60,$B$8,$D66)</f>
        <v>352993.915386343</v>
      </c>
      <c r="G66" s="151" t="n">
        <f aca="true">TABLE(G$60,$B$8,$D66)</f>
        <v>283619.050530662</v>
      </c>
    </row>
    <row r="67" customFormat="false" ht="12.75" hidden="false" customHeight="false" outlineLevel="0" collapsed="false">
      <c r="D67" s="149" t="n">
        <f aca="false">D66+10%</f>
        <v>0.8</v>
      </c>
      <c r="E67" s="150" t="n">
        <f aca="true">TABLE(E$60,$B$8,$D67)</f>
        <v>439673.823759628</v>
      </c>
      <c r="F67" s="150" t="n">
        <f aca="true">TABLE(F$60,$B$8,$D67)</f>
        <v>352993.915386343</v>
      </c>
      <c r="G67" s="151" t="n">
        <f aca="true">TABLE(G$60,$B$8,$D67)</f>
        <v>283619.050530662</v>
      </c>
    </row>
    <row r="68" customFormat="false" ht="12.75" hidden="false" customHeight="false" outlineLevel="0" collapsed="false">
      <c r="D68" s="149" t="n">
        <f aca="false">D67+10%</f>
        <v>0.9</v>
      </c>
      <c r="E68" s="150" t="n">
        <f aca="true">TABLE(E$60,$B$8,$D68)</f>
        <v>439673.823759628</v>
      </c>
      <c r="F68" s="150" t="n">
        <f aca="true">TABLE(F$60,$B$8,$D68)</f>
        <v>352993.915386343</v>
      </c>
      <c r="G68" s="151" t="n">
        <f aca="true">TABLE(G$60,$B$8,$D68)</f>
        <v>283619.050530662</v>
      </c>
    </row>
    <row r="69" customFormat="false" ht="13.5" hidden="false" customHeight="false" outlineLevel="0" collapsed="false">
      <c r="D69" s="152" t="n">
        <v>0.99</v>
      </c>
      <c r="E69" s="153" t="n">
        <f aca="true">TABLE(E$60,$B$8,$D69)</f>
        <v>439673.823759628</v>
      </c>
      <c r="F69" s="153" t="n">
        <f aca="true">TABLE(F$60,$B$8,$D69)</f>
        <v>352993.915386343</v>
      </c>
      <c r="G69" s="154" t="n">
        <f aca="true">TABLE(G$60,$B$8,$D69)</f>
        <v>283619.050530662</v>
      </c>
    </row>
  </sheetData>
  <conditionalFormatting sqref="D51:N51">
    <cfRule type="cellIs" priority="2" operator="notEqual" aboveAverage="0" equalAverage="0" bottom="0" percent="0" rank="0" text="" dxfId="0">
      <formula>A$8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66"/>
  <sheetViews>
    <sheetView showFormulas="false" showGridLines="true" showRowColHeaders="true" showZeros="true" rightToLeft="false" tabSelected="false" showOutlineSymbols="true" defaultGridColor="true" view="normal" topLeftCell="A42" colorId="64" zoomScale="75" zoomScaleNormal="75" zoomScalePageLayoutView="100" workbookViewId="0">
      <selection pane="topLeft" activeCell="J63" activeCellId="0" sqref="J6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28"/>
    <col collapsed="false" customWidth="true" hidden="false" outlineLevel="0" max="2" min="2" style="0" width="14.85"/>
    <col collapsed="false" customWidth="true" hidden="false" outlineLevel="0" max="3" min="3" style="0" width="13.7"/>
    <col collapsed="false" customWidth="true" hidden="false" outlineLevel="0" max="4" min="4" style="0" width="10.99"/>
    <col collapsed="false" customWidth="true" hidden="false" outlineLevel="0" max="5" min="5" style="0" width="13.85"/>
    <col collapsed="false" customWidth="true" hidden="false" outlineLevel="0" max="6" min="6" style="21" width="14.14"/>
    <col collapsed="false" customWidth="true" hidden="false" outlineLevel="0" max="7" min="7" style="0" width="11.28"/>
    <col collapsed="false" customWidth="true" hidden="false" outlineLevel="0" max="10" min="8" style="0" width="12.28"/>
    <col collapsed="false" customWidth="true" hidden="false" outlineLevel="0" max="11" min="11" style="0" width="12.85"/>
    <col collapsed="false" customWidth="true" hidden="false" outlineLevel="0" max="12" min="12" style="0" width="14.99"/>
    <col collapsed="false" customWidth="true" hidden="false" outlineLevel="0" max="13" min="13" style="0" width="12.85"/>
    <col collapsed="false" customWidth="true" hidden="false" outlineLevel="0" max="14" min="14" style="0" width="12.28"/>
    <col collapsed="false" customWidth="true" hidden="false" outlineLevel="0" max="15" min="15" style="0" width="12.85"/>
    <col collapsed="false" customWidth="true" hidden="false" outlineLevel="0" max="16" min="16" style="0" width="12.28"/>
    <col collapsed="false" customWidth="true" hidden="false" outlineLevel="0" max="17" min="17" style="0" width="12.85"/>
    <col collapsed="false" customWidth="true" hidden="false" outlineLevel="0" max="18" min="18" style="0" width="12.28"/>
    <col collapsed="false" customWidth="true" hidden="false" outlineLevel="0" max="19" min="19" style="0" width="11.28"/>
  </cols>
  <sheetData>
    <row r="1" customFormat="false" ht="18.75" hidden="false" customHeight="false" outlineLevel="0" collapsed="false">
      <c r="A1" s="155" t="str">
        <f aca="false">Assumptions!D5</f>
        <v>Oneok</v>
      </c>
      <c r="B1" s="21"/>
    </row>
    <row r="2" customFormat="false" ht="15.75" hidden="false" customHeight="false" outlineLevel="0" collapsed="false">
      <c r="A2" s="156" t="s">
        <v>150</v>
      </c>
      <c r="B2" s="157"/>
      <c r="C2" s="158"/>
      <c r="E2" s="14" t="s">
        <v>45</v>
      </c>
      <c r="F2" s="159"/>
      <c r="G2" s="17"/>
      <c r="H2" s="17"/>
      <c r="I2" s="17"/>
      <c r="J2" s="15"/>
    </row>
    <row r="3" customFormat="false" ht="12.75" hidden="false" customHeight="false" outlineLevel="0" collapsed="false">
      <c r="A3" s="142"/>
      <c r="B3" s="158"/>
      <c r="C3" s="158"/>
      <c r="E3" s="18" t="str">
        <f aca="false">IF(J64="","","Warning: Check the Consolidated Purchase Price and the separate Asset Purchase Price")</f>
        <v/>
      </c>
      <c r="G3" s="21"/>
      <c r="H3" s="21"/>
      <c r="I3" s="21"/>
      <c r="J3" s="97"/>
    </row>
    <row r="4" customFormat="false" ht="13.5" hidden="false" customHeight="false" outlineLevel="0" collapsed="false">
      <c r="A4" s="160"/>
      <c r="E4" s="161" t="str">
        <f aca="false">IF(CLoop&lt;&gt;0,"Run Macro","")</f>
        <v/>
      </c>
      <c r="F4" s="162"/>
      <c r="G4" s="163"/>
      <c r="H4" s="164"/>
      <c r="I4" s="34"/>
      <c r="J4" s="24"/>
    </row>
    <row r="5" customFormat="false" ht="12.75" hidden="false" customHeight="false" outlineLevel="0" collapsed="false">
      <c r="A5" s="160"/>
      <c r="E5" s="165"/>
      <c r="F5" s="166"/>
      <c r="G5" s="165"/>
      <c r="H5" s="167"/>
      <c r="I5" s="21"/>
      <c r="J5" s="21"/>
    </row>
    <row r="6" customFormat="false" ht="12.75" hidden="false" customHeight="false" outlineLevel="0" collapsed="false">
      <c r="A6" s="45" t="s">
        <v>151</v>
      </c>
      <c r="E6" s="168"/>
      <c r="F6" s="169" t="n">
        <f aca="false">G6-1</f>
        <v>1999</v>
      </c>
      <c r="G6" s="109" t="n">
        <f aca="false">Assumptions!$D$12</f>
        <v>2000</v>
      </c>
      <c r="H6" s="109" t="n">
        <f aca="false">G6+1</f>
        <v>2001</v>
      </c>
      <c r="I6" s="109" t="n">
        <f aca="false">H6+1</f>
        <v>2002</v>
      </c>
      <c r="J6" s="109" t="n">
        <f aca="false">I6+1</f>
        <v>2003</v>
      </c>
      <c r="K6" s="109" t="n">
        <f aca="false">J6+1</f>
        <v>2004</v>
      </c>
      <c r="L6" s="109" t="n">
        <f aca="false">K6+1</f>
        <v>2005</v>
      </c>
      <c r="M6" s="109" t="n">
        <f aca="false">L6+1</f>
        <v>2006</v>
      </c>
      <c r="N6" s="109" t="n">
        <f aca="false">M6+1</f>
        <v>2007</v>
      </c>
      <c r="O6" s="109" t="n">
        <f aca="false">N6+1</f>
        <v>2008</v>
      </c>
      <c r="P6" s="109" t="n">
        <f aca="false">O6+1</f>
        <v>2009</v>
      </c>
      <c r="Q6" s="109" t="n">
        <f aca="false">P6+1</f>
        <v>2010</v>
      </c>
    </row>
    <row r="7" customFormat="false" ht="12.75" hidden="false" customHeight="false" outlineLevel="0" collapsed="false">
      <c r="A7" s="170" t="s">
        <v>152</v>
      </c>
      <c r="B7" s="135" t="s">
        <v>153</v>
      </c>
      <c r="E7" s="171"/>
      <c r="F7" s="172"/>
    </row>
    <row r="8" customFormat="false" ht="12.75" hidden="false" customHeight="false" outlineLevel="0" collapsed="false">
      <c r="A8" s="0" t="str">
        <f aca="false">'Asset 1'!A2</f>
        <v>  T&amp;S - Cash Flow Analysis</v>
      </c>
      <c r="B8" s="173" t="n">
        <f aca="false">Assumptions!$C$37</f>
        <v>1</v>
      </c>
      <c r="C8" s="39"/>
      <c r="E8" s="174"/>
      <c r="F8" s="175" t="n">
        <f aca="false">'Asset 1'!F11*$B$8</f>
        <v>109386</v>
      </c>
      <c r="G8" s="32" t="n">
        <f aca="false">'Asset 1'!G11*$B$8</f>
        <v>109386</v>
      </c>
      <c r="H8" s="32" t="n">
        <f aca="false">'Asset 1'!H11*$B$8</f>
        <v>109386</v>
      </c>
      <c r="I8" s="32" t="n">
        <f aca="false">'Asset 1'!I11*$B$8</f>
        <v>109386</v>
      </c>
      <c r="J8" s="32" t="n">
        <f aca="false">'Asset 1'!J11*$B$8</f>
        <v>109386</v>
      </c>
      <c r="K8" s="32" t="n">
        <f aca="false">'Asset 1'!K11*$B$8</f>
        <v>109386</v>
      </c>
      <c r="L8" s="32" t="n">
        <f aca="false">'Asset 1'!L11*$B$8</f>
        <v>109386</v>
      </c>
      <c r="M8" s="32" t="n">
        <f aca="false">'Asset 1'!M11*$B$8</f>
        <v>109386</v>
      </c>
      <c r="N8" s="32" t="n">
        <f aca="false">'Asset 1'!N11*$B$8</f>
        <v>109386</v>
      </c>
      <c r="O8" s="32" t="n">
        <f aca="false">'Asset 1'!O11*$B$8</f>
        <v>109386</v>
      </c>
      <c r="P8" s="32" t="n">
        <f aca="false">'Asset 1'!P11*$B$8</f>
        <v>109386</v>
      </c>
      <c r="Q8" s="32" t="n">
        <f aca="false">'Asset 1'!Q11*$B$8</f>
        <v>109386</v>
      </c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</row>
    <row r="9" customFormat="false" ht="12.75" hidden="false" customHeight="false" outlineLevel="0" collapsed="false">
      <c r="A9" s="0" t="str">
        <f aca="false">'Asset 2'!A2</f>
        <v>  Marketing - Cash Flow Analysis</v>
      </c>
      <c r="B9" s="173" t="n">
        <f aca="false">Assumptions!$C$40</f>
        <v>1</v>
      </c>
      <c r="C9" s="39"/>
      <c r="E9" s="174"/>
      <c r="F9" s="175" t="n">
        <f aca="false">'Asset 2'!F11*$B$9</f>
        <v>35443</v>
      </c>
      <c r="G9" s="32" t="n">
        <f aca="false">'Asset 2'!G11*$B$9</f>
        <v>35443</v>
      </c>
      <c r="H9" s="32" t="n">
        <f aca="false">'Asset 2'!H11*$B$9</f>
        <v>35443</v>
      </c>
      <c r="I9" s="32" t="n">
        <f aca="false">'Asset 2'!I11*$B$9</f>
        <v>35443</v>
      </c>
      <c r="J9" s="32" t="n">
        <f aca="false">'Asset 2'!J11*$B$9</f>
        <v>35443</v>
      </c>
      <c r="K9" s="32" t="n">
        <f aca="false">'Asset 2'!K11*$B$9</f>
        <v>35443</v>
      </c>
      <c r="L9" s="32" t="n">
        <f aca="false">'Asset 2'!L11*$B$9</f>
        <v>35443</v>
      </c>
      <c r="M9" s="32" t="n">
        <f aca="false">'Asset 2'!M11*$B$9</f>
        <v>35443</v>
      </c>
      <c r="N9" s="32" t="n">
        <f aca="false">'Asset 2'!N11*$B$9</f>
        <v>35443</v>
      </c>
      <c r="O9" s="32" t="n">
        <f aca="false">'Asset 2'!O11*$B$9</f>
        <v>35443</v>
      </c>
      <c r="P9" s="32" t="n">
        <f aca="false">'Asset 2'!P11*$B$9</f>
        <v>35443</v>
      </c>
      <c r="Q9" s="32" t="n">
        <f aca="false">'Asset 2'!Q11*$B$9</f>
        <v>35443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0" customFormat="false" ht="12.75" hidden="false" customHeight="false" outlineLevel="0" collapsed="false">
      <c r="A10" s="0" t="str">
        <f aca="false">'Asset 3'!A2</f>
        <v>  Gath. &amp; Proc. - Cash Flow Analysis</v>
      </c>
      <c r="B10" s="173" t="n">
        <f aca="false">Assumptions!$C$43</f>
        <v>1</v>
      </c>
      <c r="C10" s="39"/>
      <c r="E10" s="174"/>
      <c r="F10" s="175" t="n">
        <f aca="false">'Asset 3'!F11*$B$10</f>
        <v>83790</v>
      </c>
      <c r="G10" s="32" t="n">
        <f aca="false">'Asset 3'!G11*$B$10</f>
        <v>83790</v>
      </c>
      <c r="H10" s="32" t="n">
        <f aca="false">'Asset 3'!H11*$B$10</f>
        <v>83790</v>
      </c>
      <c r="I10" s="32" t="n">
        <f aca="false">'Asset 3'!I11*$B$10</f>
        <v>83790</v>
      </c>
      <c r="J10" s="32" t="n">
        <f aca="false">'Asset 3'!J11*$B$10</f>
        <v>83790</v>
      </c>
      <c r="K10" s="32" t="n">
        <f aca="false">'Asset 3'!K11*$B$10</f>
        <v>83790</v>
      </c>
      <c r="L10" s="32" t="n">
        <f aca="false">'Asset 3'!L11*$B$10</f>
        <v>83790</v>
      </c>
      <c r="M10" s="32" t="n">
        <f aca="false">'Asset 3'!M11*$B$10</f>
        <v>83790</v>
      </c>
      <c r="N10" s="32" t="n">
        <f aca="false">'Asset 3'!N11*$B$10</f>
        <v>83790</v>
      </c>
      <c r="O10" s="32" t="n">
        <f aca="false">'Asset 3'!O11*$B$10</f>
        <v>83790</v>
      </c>
      <c r="P10" s="32" t="n">
        <f aca="false">'Asset 3'!P11*$B$10</f>
        <v>83790</v>
      </c>
      <c r="Q10" s="32" t="n">
        <f aca="false">'Asset 3'!Q11*$B$10</f>
        <v>83790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customFormat="false" ht="12.75" hidden="false" customHeight="false" outlineLevel="0" collapsed="false">
      <c r="A11" s="0" t="str">
        <f aca="false">'Asset 4'!A2</f>
        <v>  Production - Cash Flow Analysis</v>
      </c>
      <c r="B11" s="173" t="n">
        <f aca="false">Assumptions!$C$46</f>
        <v>1</v>
      </c>
      <c r="E11" s="176"/>
      <c r="F11" s="175" t="n">
        <f aca="false">'Asset 4'!F11*$B$11</f>
        <v>69254</v>
      </c>
      <c r="G11" s="32" t="n">
        <f aca="false">'Asset 4'!G11*$B$11</f>
        <v>69254</v>
      </c>
      <c r="H11" s="32" t="n">
        <f aca="false">'Asset 4'!H11*$B$11</f>
        <v>69254</v>
      </c>
      <c r="I11" s="32" t="n">
        <f aca="false">'Asset 4'!I11*$B$11</f>
        <v>69254</v>
      </c>
      <c r="J11" s="32" t="n">
        <f aca="false">'Asset 4'!J11*$B$11</f>
        <v>69254</v>
      </c>
      <c r="K11" s="32" t="n">
        <f aca="false">'Asset 4'!K11*$B$11</f>
        <v>69254</v>
      </c>
      <c r="L11" s="32" t="n">
        <f aca="false">'Asset 4'!L11*$B$11</f>
        <v>69254</v>
      </c>
      <c r="M11" s="32" t="n">
        <f aca="false">'Asset 4'!M11*$B$11</f>
        <v>69254</v>
      </c>
      <c r="N11" s="32" t="n">
        <f aca="false">'Asset 4'!N11*$B$11</f>
        <v>69254</v>
      </c>
      <c r="O11" s="32" t="n">
        <f aca="false">'Asset 4'!O11*$B$11</f>
        <v>69254</v>
      </c>
      <c r="P11" s="32" t="n">
        <f aca="false">'Asset 4'!P11*$B$11</f>
        <v>69254</v>
      </c>
      <c r="Q11" s="32" t="n">
        <f aca="false">'Asset 4'!Q11*$B$11</f>
        <v>69254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customFormat="false" ht="12.75" hidden="false" customHeight="false" outlineLevel="0" collapsed="false">
      <c r="A12" s="0" t="str">
        <f aca="false">'Asset 5'!$A$2</f>
        <v>  Distribution - Cash Flow Analysis</v>
      </c>
      <c r="B12" s="173" t="n">
        <f aca="false">Assumptions!$C$49</f>
        <v>1</v>
      </c>
      <c r="E12" s="176"/>
      <c r="F12" s="175" t="n">
        <f aca="false">'Asset 5'!F11*$B$12</f>
        <v>404384</v>
      </c>
      <c r="G12" s="32" t="n">
        <f aca="false">'Asset 5'!G11*$B$12</f>
        <v>404384</v>
      </c>
      <c r="H12" s="32" t="n">
        <f aca="false">'Asset 5'!H11*$B$12</f>
        <v>404384</v>
      </c>
      <c r="I12" s="32" t="n">
        <f aca="false">'Asset 5'!I11*$B$12</f>
        <v>404384</v>
      </c>
      <c r="J12" s="32" t="n">
        <f aca="false">'Asset 5'!J11*$B$12</f>
        <v>404384</v>
      </c>
      <c r="K12" s="32" t="n">
        <f aca="false">'Asset 5'!K11*$B$12</f>
        <v>404384</v>
      </c>
      <c r="L12" s="32" t="n">
        <f aca="false">'Asset 5'!L11*$B$12</f>
        <v>404384</v>
      </c>
      <c r="M12" s="32" t="n">
        <f aca="false">'Asset 5'!M11*$B$12</f>
        <v>404384</v>
      </c>
      <c r="N12" s="32" t="n">
        <f aca="false">'Asset 5'!N11*$B$12</f>
        <v>404384</v>
      </c>
      <c r="O12" s="32" t="n">
        <f aca="false">'Asset 5'!O11*$B$12</f>
        <v>404384</v>
      </c>
      <c r="P12" s="32" t="n">
        <f aca="false">'Asset 5'!P11*$B$12</f>
        <v>404384</v>
      </c>
      <c r="Q12" s="32" t="n">
        <f aca="false">'Asset 5'!Q11*$B$12</f>
        <v>404384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</row>
    <row r="13" customFormat="false" ht="12.75" hidden="false" customHeight="false" outlineLevel="0" collapsed="false">
      <c r="A13" s="0" t="str">
        <f aca="false">'Asset 6'!$A$2</f>
        <v>  Other - Cash Flow Analysis</v>
      </c>
      <c r="B13" s="173" t="n">
        <f aca="false">Assumptions!$C$52</f>
        <v>1</v>
      </c>
      <c r="E13" s="176"/>
      <c r="F13" s="175" t="n">
        <f aca="false">'Asset 6'!F11*$B$13</f>
        <v>-15471</v>
      </c>
      <c r="G13" s="32" t="n">
        <f aca="false">'Asset 6'!G11*$B$13</f>
        <v>-15471</v>
      </c>
      <c r="H13" s="32" t="n">
        <f aca="false">'Asset 6'!H11*$B$13</f>
        <v>-15471</v>
      </c>
      <c r="I13" s="32" t="n">
        <f aca="false">'Asset 6'!I11*$B$13</f>
        <v>-15471</v>
      </c>
      <c r="J13" s="32" t="n">
        <f aca="false">'Asset 6'!J11*$B$13</f>
        <v>-15471</v>
      </c>
      <c r="K13" s="32" t="n">
        <f aca="false">'Asset 6'!K11*$B$13</f>
        <v>-15471</v>
      </c>
      <c r="L13" s="32" t="n">
        <f aca="false">'Asset 6'!L11*$B$13</f>
        <v>-15471</v>
      </c>
      <c r="M13" s="32" t="n">
        <f aca="false">'Asset 6'!M11*$B$13</f>
        <v>-15471</v>
      </c>
      <c r="N13" s="32" t="n">
        <f aca="false">'Asset 6'!N11*$B$13</f>
        <v>-15471</v>
      </c>
      <c r="O13" s="32" t="n">
        <f aca="false">'Asset 6'!O11*$B$13</f>
        <v>-15471</v>
      </c>
      <c r="P13" s="32" t="n">
        <f aca="false">'Asset 6'!P11*$B$13</f>
        <v>-15471</v>
      </c>
      <c r="Q13" s="32" t="n">
        <f aca="false">'Asset 6'!Q11*$B$13</f>
        <v>-15471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4" customFormat="false" ht="12.75" hidden="false" customHeight="false" outlineLevel="0" collapsed="false">
      <c r="A14" s="177" t="s">
        <v>154</v>
      </c>
      <c r="B14" s="114"/>
      <c r="C14" s="114"/>
      <c r="D14" s="114"/>
      <c r="E14" s="178"/>
      <c r="F14" s="179" t="n">
        <f aca="false">SUM(F8:F13)</f>
        <v>686786</v>
      </c>
      <c r="G14" s="115" t="n">
        <f aca="false">SUM(G8:G13)</f>
        <v>686786</v>
      </c>
      <c r="H14" s="115" t="n">
        <f aca="false">SUM(H8:H13)</f>
        <v>686786</v>
      </c>
      <c r="I14" s="115" t="n">
        <f aca="false">SUM(I8:I13)</f>
        <v>686786</v>
      </c>
      <c r="J14" s="115" t="n">
        <f aca="false">SUM(J8:J13)</f>
        <v>686786</v>
      </c>
      <c r="K14" s="115" t="n">
        <f aca="false">SUM(K8:K13)</f>
        <v>686786</v>
      </c>
      <c r="L14" s="115" t="n">
        <f aca="false">SUM(L8:L13)</f>
        <v>686786</v>
      </c>
      <c r="M14" s="115" t="n">
        <f aca="false">SUM(M8:M13)</f>
        <v>686786</v>
      </c>
      <c r="N14" s="115" t="n">
        <f aca="false">SUM(N8:N13)</f>
        <v>686786</v>
      </c>
      <c r="O14" s="115" t="n">
        <f aca="false">SUM(O8:O13)</f>
        <v>686786</v>
      </c>
      <c r="P14" s="115" t="n">
        <f aca="false">SUM(P8:P13)</f>
        <v>686786</v>
      </c>
      <c r="Q14" s="117" t="n">
        <f aca="false">SUM(Q8:Q13)</f>
        <v>686786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</row>
    <row r="15" customFormat="false" ht="12.75" hidden="false" customHeight="false" outlineLevel="0" collapsed="false">
      <c r="E15" s="180"/>
      <c r="F15" s="181"/>
      <c r="G15" s="182"/>
      <c r="H15" s="182"/>
      <c r="I15" s="183"/>
      <c r="J15" s="183"/>
      <c r="K15" s="183"/>
      <c r="L15" s="183"/>
      <c r="M15" s="183"/>
      <c r="N15" s="183"/>
      <c r="O15" s="183"/>
      <c r="P15" s="183"/>
      <c r="Q15" s="183"/>
    </row>
    <row r="16" customFormat="false" ht="12.75" hidden="false" customHeight="false" outlineLevel="0" collapsed="false">
      <c r="A16" s="170" t="s">
        <v>155</v>
      </c>
      <c r="B16" s="135" t="s">
        <v>153</v>
      </c>
      <c r="E16" s="184"/>
      <c r="F16" s="185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</row>
    <row r="17" customFormat="false" ht="12.75" hidden="false" customHeight="false" outlineLevel="0" collapsed="false">
      <c r="A17" s="0" t="str">
        <f aca="false">A8</f>
        <v>  T&amp;S - Cash Flow Analysis</v>
      </c>
      <c r="B17" s="173" t="n">
        <f aca="false">Assumptions!$C$37</f>
        <v>1</v>
      </c>
      <c r="E17" s="186"/>
      <c r="F17" s="185" t="n">
        <f aca="false">'Asset 1'!F14*$B$17</f>
        <v>33894</v>
      </c>
      <c r="G17" s="120" t="n">
        <f aca="false">'Asset 1'!G14*$B$17</f>
        <v>33894</v>
      </c>
      <c r="H17" s="120" t="n">
        <f aca="false">'Asset 1'!H14*$B$17</f>
        <v>33894</v>
      </c>
      <c r="I17" s="120" t="n">
        <f aca="false">'Asset 1'!I14*$B$17</f>
        <v>33894</v>
      </c>
      <c r="J17" s="120" t="n">
        <f aca="false">'Asset 1'!J14*$B$17</f>
        <v>33894</v>
      </c>
      <c r="K17" s="120" t="n">
        <f aca="false">'Asset 1'!K14*$B$17</f>
        <v>33894</v>
      </c>
      <c r="L17" s="120" t="n">
        <f aca="false">'Asset 1'!L14*$B$17</f>
        <v>33894</v>
      </c>
      <c r="M17" s="120" t="n">
        <f aca="false">'Asset 1'!M14*$B$17</f>
        <v>33894</v>
      </c>
      <c r="N17" s="120" t="n">
        <f aca="false">'Asset 1'!N14*$B$17</f>
        <v>33894</v>
      </c>
      <c r="O17" s="120" t="n">
        <f aca="false">'Asset 1'!O14*$B$17</f>
        <v>33894</v>
      </c>
      <c r="P17" s="120" t="n">
        <f aca="false">'Asset 1'!P14*$B$17</f>
        <v>33894</v>
      </c>
      <c r="Q17" s="120" t="n">
        <f aca="false">'Asset 1'!Q14*$B$17</f>
        <v>33894</v>
      </c>
    </row>
    <row r="18" customFormat="false" ht="12.75" hidden="false" customHeight="false" outlineLevel="0" collapsed="false">
      <c r="A18" s="0" t="str">
        <f aca="false">A9</f>
        <v>  Marketing - Cash Flow Analysis</v>
      </c>
      <c r="B18" s="173" t="n">
        <f aca="false">Assumptions!$C$40</f>
        <v>1</v>
      </c>
      <c r="E18" s="186"/>
      <c r="F18" s="185" t="n">
        <f aca="false">'Asset 2'!F14*$B$18</f>
        <v>9069</v>
      </c>
      <c r="G18" s="120" t="n">
        <f aca="false">'Asset 2'!G14*$B$18</f>
        <v>9069</v>
      </c>
      <c r="H18" s="120" t="n">
        <f aca="false">'Asset 2'!H14*$B$18</f>
        <v>9069</v>
      </c>
      <c r="I18" s="120" t="n">
        <f aca="false">'Asset 2'!I14*$B$18</f>
        <v>9069</v>
      </c>
      <c r="J18" s="120" t="n">
        <f aca="false">'Asset 2'!J14*$B$18</f>
        <v>9069</v>
      </c>
      <c r="K18" s="120" t="n">
        <f aca="false">'Asset 2'!K14*$B$18</f>
        <v>9069</v>
      </c>
      <c r="L18" s="120" t="n">
        <f aca="false">'Asset 2'!L14*$B$18</f>
        <v>9069</v>
      </c>
      <c r="M18" s="120" t="n">
        <f aca="false">'Asset 2'!M14*$B$18</f>
        <v>9069</v>
      </c>
      <c r="N18" s="120" t="n">
        <f aca="false">'Asset 2'!N14*$B$18</f>
        <v>9069</v>
      </c>
      <c r="O18" s="120" t="n">
        <f aca="false">'Asset 2'!O14*$B$18</f>
        <v>9069</v>
      </c>
      <c r="P18" s="120" t="n">
        <f aca="false">'Asset 2'!P14*$B$18</f>
        <v>9069</v>
      </c>
      <c r="Q18" s="120" t="n">
        <f aca="false">'Asset 2'!Q14*$B$18</f>
        <v>9069</v>
      </c>
    </row>
    <row r="19" customFormat="false" ht="12.75" hidden="false" customHeight="false" outlineLevel="0" collapsed="false">
      <c r="A19" s="0" t="str">
        <f aca="false">A10</f>
        <v>  Gath. &amp; Proc. - Cash Flow Analysis</v>
      </c>
      <c r="B19" s="173" t="n">
        <f aca="false">Assumptions!$C$43</f>
        <v>1</v>
      </c>
      <c r="E19" s="186"/>
      <c r="F19" s="185" t="n">
        <f aca="false">'Asset 3'!F14*$B$19</f>
        <v>63686</v>
      </c>
      <c r="G19" s="120" t="n">
        <f aca="false">'Asset 3'!G14*$B$19</f>
        <v>63686</v>
      </c>
      <c r="H19" s="120" t="n">
        <f aca="false">'Asset 3'!H14*$B$19</f>
        <v>63686</v>
      </c>
      <c r="I19" s="120" t="n">
        <f aca="false">'Asset 3'!I14*$B$19</f>
        <v>63686</v>
      </c>
      <c r="J19" s="120" t="n">
        <f aca="false">'Asset 3'!J14*$B$19</f>
        <v>63686</v>
      </c>
      <c r="K19" s="120" t="n">
        <f aca="false">'Asset 3'!K14*$B$19</f>
        <v>63686</v>
      </c>
      <c r="L19" s="120" t="n">
        <f aca="false">'Asset 3'!L14*$B$19</f>
        <v>63686</v>
      </c>
      <c r="M19" s="120" t="n">
        <f aca="false">'Asset 3'!M14*$B$19</f>
        <v>63686</v>
      </c>
      <c r="N19" s="120" t="n">
        <f aca="false">'Asset 3'!N14*$B$19</f>
        <v>63686</v>
      </c>
      <c r="O19" s="120" t="n">
        <f aca="false">'Asset 3'!O14*$B$19</f>
        <v>63686</v>
      </c>
      <c r="P19" s="120" t="n">
        <f aca="false">'Asset 3'!P14*$B$19</f>
        <v>63686</v>
      </c>
      <c r="Q19" s="120" t="n">
        <f aca="false">'Asset 3'!Q14*$B$19</f>
        <v>63686</v>
      </c>
    </row>
    <row r="20" customFormat="false" ht="12.75" hidden="false" customHeight="false" outlineLevel="0" collapsed="false">
      <c r="A20" s="0" t="str">
        <f aca="false">A11</f>
        <v>  Production - Cash Flow Analysis</v>
      </c>
      <c r="B20" s="173" t="n">
        <f aca="false">Assumptions!$C$46</f>
        <v>1</v>
      </c>
      <c r="E20" s="176"/>
      <c r="F20" s="185" t="n">
        <f aca="false">'Asset 4'!F14*$B$20</f>
        <v>19128</v>
      </c>
      <c r="G20" s="120" t="n">
        <f aca="false">'Asset 4'!G14*$B$20</f>
        <v>19128</v>
      </c>
      <c r="H20" s="120" t="n">
        <f aca="false">'Asset 4'!H14*$B$20</f>
        <v>19128</v>
      </c>
      <c r="I20" s="120" t="n">
        <f aca="false">'Asset 4'!I14*$B$20</f>
        <v>19128</v>
      </c>
      <c r="J20" s="120" t="n">
        <f aca="false">'Asset 4'!J14*$B$20</f>
        <v>19128</v>
      </c>
      <c r="K20" s="120" t="n">
        <f aca="false">'Asset 4'!K14*$B$20</f>
        <v>19128</v>
      </c>
      <c r="L20" s="120" t="n">
        <f aca="false">'Asset 4'!L14*$B$20</f>
        <v>19128</v>
      </c>
      <c r="M20" s="120" t="n">
        <f aca="false">'Asset 4'!M14*$B$20</f>
        <v>19128</v>
      </c>
      <c r="N20" s="120" t="n">
        <f aca="false">'Asset 4'!N14*$B$20</f>
        <v>19128</v>
      </c>
      <c r="O20" s="120" t="n">
        <f aca="false">'Asset 4'!O14*$B$20</f>
        <v>19128</v>
      </c>
      <c r="P20" s="120" t="n">
        <f aca="false">'Asset 4'!P14*$B$20</f>
        <v>19128</v>
      </c>
      <c r="Q20" s="120" t="n">
        <f aca="false">'Asset 4'!Q14*$B$20</f>
        <v>19128</v>
      </c>
    </row>
    <row r="21" customFormat="false" ht="12.75" hidden="false" customHeight="false" outlineLevel="0" collapsed="false">
      <c r="A21" s="0" t="str">
        <f aca="false">A12</f>
        <v>  Distribution - Cash Flow Analysis</v>
      </c>
      <c r="B21" s="173" t="n">
        <f aca="false">Assumptions!C49</f>
        <v>1</v>
      </c>
      <c r="E21" s="176"/>
      <c r="F21" s="185" t="n">
        <f aca="false">'Asset 5'!F14*$B$21</f>
        <v>230868</v>
      </c>
      <c r="G21" s="120" t="n">
        <f aca="false">'Asset 5'!G14*$B$21</f>
        <v>230868</v>
      </c>
      <c r="H21" s="120" t="n">
        <f aca="false">'Asset 5'!H14*$B$21</f>
        <v>230868</v>
      </c>
      <c r="I21" s="120" t="n">
        <f aca="false">'Asset 5'!I14*$B$21</f>
        <v>230868</v>
      </c>
      <c r="J21" s="120" t="n">
        <f aca="false">'Asset 5'!J14*$B$21</f>
        <v>230868</v>
      </c>
      <c r="K21" s="120" t="n">
        <f aca="false">'Asset 5'!K14*$B$21</f>
        <v>230868</v>
      </c>
      <c r="L21" s="120" t="n">
        <f aca="false">'Asset 5'!L14*$B$21</f>
        <v>230868</v>
      </c>
      <c r="M21" s="120" t="n">
        <f aca="false">'Asset 5'!M14*$B$21</f>
        <v>230868</v>
      </c>
      <c r="N21" s="120" t="n">
        <f aca="false">'Asset 5'!N14*$B$21</f>
        <v>230868</v>
      </c>
      <c r="O21" s="120" t="n">
        <f aca="false">'Asset 5'!O14*$B$21</f>
        <v>230868</v>
      </c>
      <c r="P21" s="120" t="n">
        <f aca="false">'Asset 5'!P14*$B$21</f>
        <v>230868</v>
      </c>
      <c r="Q21" s="120" t="n">
        <f aca="false">'Asset 5'!Q14*$B$21</f>
        <v>230868</v>
      </c>
    </row>
    <row r="22" customFormat="false" ht="12.75" hidden="false" customHeight="false" outlineLevel="0" collapsed="false">
      <c r="A22" s="0" t="str">
        <f aca="false">A13</f>
        <v>  Other - Cash Flow Analysis</v>
      </c>
      <c r="B22" s="173" t="n">
        <f aca="false">Assumptions!C52</f>
        <v>1</v>
      </c>
      <c r="E22" s="176"/>
      <c r="F22" s="185" t="n">
        <f aca="false">'Asset 6'!F14*$B$22</f>
        <v>-19146</v>
      </c>
      <c r="G22" s="120" t="n">
        <f aca="false">'Asset 6'!G14*$B$22</f>
        <v>-19146</v>
      </c>
      <c r="H22" s="120" t="n">
        <f aca="false">'Asset 6'!H14*$B$22</f>
        <v>-19146</v>
      </c>
      <c r="I22" s="120" t="n">
        <f aca="false">'Asset 6'!I14*$B$22</f>
        <v>-19146</v>
      </c>
      <c r="J22" s="120" t="n">
        <f aca="false">'Asset 6'!J14*$B$22</f>
        <v>-19146</v>
      </c>
      <c r="K22" s="120" t="n">
        <f aca="false">'Asset 6'!K14*$B$22</f>
        <v>-19146</v>
      </c>
      <c r="L22" s="120" t="n">
        <f aca="false">'Asset 6'!L14*$B$22</f>
        <v>-19146</v>
      </c>
      <c r="M22" s="120" t="n">
        <f aca="false">'Asset 6'!M14*$B$22</f>
        <v>-19146</v>
      </c>
      <c r="N22" s="120" t="n">
        <f aca="false">'Asset 6'!N14*$B$22</f>
        <v>-19146</v>
      </c>
      <c r="O22" s="120" t="n">
        <f aca="false">'Asset 6'!O14*$B$22</f>
        <v>-19146</v>
      </c>
      <c r="P22" s="120" t="n">
        <f aca="false">'Asset 6'!P14*$B$22</f>
        <v>-19146</v>
      </c>
      <c r="Q22" s="120" t="n">
        <f aca="false">'Asset 6'!Q14*$B$22</f>
        <v>-19146</v>
      </c>
    </row>
    <row r="23" customFormat="false" ht="12.75" hidden="false" customHeight="false" outlineLevel="0" collapsed="false">
      <c r="A23" s="177" t="str">
        <f aca="false">A14</f>
        <v>TOTAL</v>
      </c>
      <c r="B23" s="114"/>
      <c r="C23" s="114"/>
      <c r="D23" s="114"/>
      <c r="E23" s="178"/>
      <c r="F23" s="187" t="n">
        <f aca="false">SUM(F17:F22)</f>
        <v>337499</v>
      </c>
      <c r="G23" s="188" t="n">
        <f aca="false">SUM(G17:G22)</f>
        <v>337499</v>
      </c>
      <c r="H23" s="188" t="n">
        <f aca="false">SUM(H17:H22)</f>
        <v>337499</v>
      </c>
      <c r="I23" s="188" t="n">
        <f aca="false">SUM(I17:I22)</f>
        <v>337499</v>
      </c>
      <c r="J23" s="188" t="n">
        <f aca="false">SUM(J17:J22)</f>
        <v>337499</v>
      </c>
      <c r="K23" s="188" t="n">
        <f aca="false">SUM(K17:K22)</f>
        <v>337499</v>
      </c>
      <c r="L23" s="188" t="n">
        <f aca="false">SUM(L17:L22)</f>
        <v>337499</v>
      </c>
      <c r="M23" s="188" t="n">
        <f aca="false">SUM(M17:M22)</f>
        <v>337499</v>
      </c>
      <c r="N23" s="188" t="n">
        <f aca="false">SUM(N17:N22)</f>
        <v>337499</v>
      </c>
      <c r="O23" s="188" t="n">
        <f aca="false">SUM(O17:O22)</f>
        <v>337499</v>
      </c>
      <c r="P23" s="188" t="n">
        <f aca="false">SUM(P17:P22)</f>
        <v>337499</v>
      </c>
      <c r="Q23" s="189" t="n">
        <f aca="false">SUM(Q17:Q22)</f>
        <v>337499</v>
      </c>
    </row>
    <row r="24" customFormat="false" ht="12.75" hidden="false" customHeight="false" outlineLevel="0" collapsed="false">
      <c r="A24" s="190"/>
      <c r="B24" s="21"/>
      <c r="C24" s="21"/>
      <c r="D24" s="21"/>
      <c r="E24" s="180"/>
      <c r="F24" s="191"/>
      <c r="G24" s="158"/>
      <c r="H24" s="158"/>
      <c r="I24" s="120"/>
      <c r="J24" s="120"/>
      <c r="K24" s="120"/>
      <c r="L24" s="120"/>
      <c r="M24" s="120"/>
      <c r="N24" s="120"/>
      <c r="O24" s="120"/>
      <c r="P24" s="120"/>
      <c r="Q24" s="120"/>
    </row>
    <row r="25" customFormat="false" ht="12.75" hidden="false" customHeight="false" outlineLevel="0" collapsed="false">
      <c r="A25" s="12" t="s">
        <v>156</v>
      </c>
      <c r="B25" s="12"/>
      <c r="C25" s="12"/>
      <c r="D25" s="192"/>
      <c r="E25" s="193"/>
      <c r="F25" s="194" t="n">
        <f aca="false">F14/F23</f>
        <v>2.03492751089633</v>
      </c>
      <c r="G25" s="195" t="n">
        <f aca="false">G14/G23</f>
        <v>2.03492751089633</v>
      </c>
      <c r="H25" s="195" t="n">
        <f aca="false">H14/H23</f>
        <v>2.03492751089633</v>
      </c>
      <c r="I25" s="195" t="n">
        <f aca="false">I14/I23</f>
        <v>2.03492751089633</v>
      </c>
      <c r="J25" s="195" t="n">
        <f aca="false">J14/J23</f>
        <v>2.03492751089633</v>
      </c>
      <c r="K25" s="195" t="n">
        <f aca="false">K14/K23</f>
        <v>2.03492751089633</v>
      </c>
      <c r="L25" s="195" t="n">
        <f aca="false">L14/L23</f>
        <v>2.03492751089633</v>
      </c>
      <c r="M25" s="195" t="n">
        <f aca="false">M14/M23</f>
        <v>2.03492751089633</v>
      </c>
      <c r="N25" s="195" t="n">
        <f aca="false">N14/N23</f>
        <v>2.03492751089633</v>
      </c>
      <c r="O25" s="195" t="n">
        <f aca="false">O14/O23</f>
        <v>2.03492751089633</v>
      </c>
      <c r="P25" s="195" t="n">
        <f aca="false">P14/P23</f>
        <v>2.03492751089633</v>
      </c>
      <c r="Q25" s="195" t="n">
        <f aca="false">Q14/Q23</f>
        <v>2.03492751089633</v>
      </c>
    </row>
    <row r="26" customFormat="false" ht="12.75" hidden="false" customHeight="false" outlineLevel="0" collapsed="false">
      <c r="A26" s="113" t="s">
        <v>119</v>
      </c>
      <c r="B26" s="114"/>
      <c r="C26" s="114"/>
      <c r="D26" s="114"/>
      <c r="E26" s="196"/>
      <c r="F26" s="197" t="n">
        <f aca="false">F14-F23</f>
        <v>349287</v>
      </c>
      <c r="G26" s="115" t="n">
        <f aca="false">G14-G23</f>
        <v>349287</v>
      </c>
      <c r="H26" s="115" t="n">
        <f aca="false">H14-H23</f>
        <v>349287</v>
      </c>
      <c r="I26" s="115" t="n">
        <f aca="false">I14-I23</f>
        <v>349287</v>
      </c>
      <c r="J26" s="115" t="n">
        <f aca="false">J14-J23</f>
        <v>349287</v>
      </c>
      <c r="K26" s="115" t="n">
        <f aca="false">K14-K23</f>
        <v>349287</v>
      </c>
      <c r="L26" s="115" t="n">
        <f aca="false">L14-L23</f>
        <v>349287</v>
      </c>
      <c r="M26" s="115" t="n">
        <f aca="false">M14-M23</f>
        <v>349287</v>
      </c>
      <c r="N26" s="115" t="n">
        <f aca="false">N14-N23</f>
        <v>349287</v>
      </c>
      <c r="O26" s="115" t="n">
        <f aca="false">O14-O23</f>
        <v>349287</v>
      </c>
      <c r="P26" s="115" t="n">
        <f aca="false">P14-P23</f>
        <v>349287</v>
      </c>
      <c r="Q26" s="117" t="n">
        <f aca="false">Q14-Q23</f>
        <v>349287</v>
      </c>
    </row>
    <row r="27" customFormat="false" ht="12.75" hidden="false" customHeight="false" outlineLevel="0" collapsed="false">
      <c r="E27" s="198"/>
      <c r="F27" s="199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</row>
    <row r="28" customFormat="false" ht="12.75" hidden="false" customHeight="false" outlineLevel="0" collapsed="false">
      <c r="A28" s="0" t="s">
        <v>157</v>
      </c>
      <c r="B28" s="201"/>
      <c r="C28" s="201"/>
      <c r="E28" s="202"/>
      <c r="F28" s="175" t="n">
        <f aca="false">F52</f>
        <v>0</v>
      </c>
      <c r="G28" s="32" t="n">
        <f aca="false">G52</f>
        <v>38871.4902857249</v>
      </c>
      <c r="H28" s="32" t="n">
        <f aca="false">H52</f>
        <v>51049.2402857249</v>
      </c>
      <c r="I28" s="32" t="n">
        <f aca="false">I52</f>
        <v>63226.9902857249</v>
      </c>
      <c r="J28" s="32" t="n">
        <f aca="false">J52</f>
        <v>75404.7402857249</v>
      </c>
      <c r="K28" s="32" t="n">
        <f aca="false">K52</f>
        <v>87582.4902857249</v>
      </c>
      <c r="L28" s="32" t="n">
        <f aca="false">L52</f>
        <v>99760.2402857249</v>
      </c>
      <c r="M28" s="32" t="n">
        <f aca="false">M52</f>
        <v>111937.990285725</v>
      </c>
      <c r="N28" s="32" t="n">
        <f aca="false">N52</f>
        <v>124115.740285725</v>
      </c>
      <c r="O28" s="32" t="n">
        <f aca="false">O52</f>
        <v>136293.490285725</v>
      </c>
      <c r="P28" s="32" t="n">
        <f aca="false">P52</f>
        <v>148471.240285725</v>
      </c>
      <c r="Q28" s="32" t="n">
        <f aca="false">Q52</f>
        <v>160648.990285725</v>
      </c>
    </row>
    <row r="29" customFormat="false" ht="15" hidden="false" customHeight="false" outlineLevel="0" collapsed="false">
      <c r="A29" s="0" t="s">
        <v>158</v>
      </c>
      <c r="E29" s="203"/>
      <c r="F29" s="175" t="n">
        <v>0</v>
      </c>
      <c r="G29" s="32" t="n">
        <f aca="false">F29</f>
        <v>0</v>
      </c>
      <c r="H29" s="32" t="n">
        <f aca="false">G29</f>
        <v>0</v>
      </c>
      <c r="I29" s="32" t="n">
        <f aca="false">H29</f>
        <v>0</v>
      </c>
      <c r="J29" s="32" t="n">
        <f aca="false">I29</f>
        <v>0</v>
      </c>
      <c r="K29" s="32" t="n">
        <f aca="false">J29</f>
        <v>0</v>
      </c>
      <c r="L29" s="32" t="n">
        <f aca="false">K29</f>
        <v>0</v>
      </c>
      <c r="M29" s="32" t="n">
        <f aca="false">L29</f>
        <v>0</v>
      </c>
      <c r="N29" s="32" t="n">
        <f aca="false">M29</f>
        <v>0</v>
      </c>
      <c r="O29" s="32" t="n">
        <f aca="false">N29</f>
        <v>0</v>
      </c>
      <c r="P29" s="32" t="n">
        <f aca="false">O29</f>
        <v>0</v>
      </c>
      <c r="Q29" s="32" t="n">
        <f aca="false">P29</f>
        <v>0</v>
      </c>
    </row>
    <row r="30" customFormat="false" ht="12.75" hidden="false" customHeight="false" outlineLevel="0" collapsed="false">
      <c r="A30" s="113" t="s">
        <v>122</v>
      </c>
      <c r="B30" s="114"/>
      <c r="C30" s="114"/>
      <c r="D30" s="114"/>
      <c r="E30" s="204"/>
      <c r="F30" s="205" t="n">
        <f aca="false">F26-F28+F29</f>
        <v>349287</v>
      </c>
      <c r="G30" s="206" t="n">
        <f aca="false">G26-G28+G29</f>
        <v>310415.509714275</v>
      </c>
      <c r="H30" s="206" t="n">
        <f aca="false">H26-H28+H29</f>
        <v>298237.759714275</v>
      </c>
      <c r="I30" s="206" t="n">
        <f aca="false">I26-I28+I29</f>
        <v>286060.009714275</v>
      </c>
      <c r="J30" s="206" t="n">
        <f aca="false">J26-J28+J29</f>
        <v>273882.259714275</v>
      </c>
      <c r="K30" s="206" t="n">
        <f aca="false">K26-K28+K29</f>
        <v>261704.509714275</v>
      </c>
      <c r="L30" s="206" t="n">
        <f aca="false">L26-L28+L29</f>
        <v>249526.759714275</v>
      </c>
      <c r="M30" s="206" t="n">
        <f aca="false">M26-M28+M29</f>
        <v>237349.009714275</v>
      </c>
      <c r="N30" s="206" t="n">
        <f aca="false">N26-N28+N29</f>
        <v>225171.259714275</v>
      </c>
      <c r="O30" s="206" t="n">
        <f aca="false">O26-O28+O29</f>
        <v>212993.509714275</v>
      </c>
      <c r="P30" s="206" t="n">
        <f aca="false">P26-P28+P29</f>
        <v>200815.759714275</v>
      </c>
      <c r="Q30" s="207" t="n">
        <f aca="false">Q26-Q28+Q29</f>
        <v>188638.009714275</v>
      </c>
    </row>
    <row r="31" customFormat="false" ht="12.75" hidden="false" customHeight="false" outlineLevel="0" collapsed="false">
      <c r="E31" s="198"/>
      <c r="F31" s="199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</row>
    <row r="32" customFormat="false" ht="12.75" hidden="false" customHeight="false" outlineLevel="0" collapsed="false">
      <c r="A32" s="32" t="s">
        <v>159</v>
      </c>
      <c r="E32" s="184"/>
      <c r="F32" s="185" t="n">
        <f aca="false">$B$34*(F26-F57)</f>
        <v>134475.495</v>
      </c>
      <c r="G32" s="120" t="n">
        <f aca="false">$B$34*(G26-G57)</f>
        <v>119509.971239996</v>
      </c>
      <c r="H32" s="120" t="n">
        <f aca="false">$B$34*(H26-H57)</f>
        <v>101352.566105992</v>
      </c>
      <c r="I32" s="120" t="n">
        <f aca="false">$B$34*(I26-I57)</f>
        <v>95287.991495393</v>
      </c>
      <c r="J32" s="120" t="n">
        <f aca="false">$B$34*(J26-J57)</f>
        <v>89814.9088220937</v>
      </c>
      <c r="K32" s="120" t="n">
        <f aca="false">$B$34*(K26-K57)</f>
        <v>84899.4115061343</v>
      </c>
      <c r="L32" s="120" t="n">
        <f aca="false">$B$34*(L26-L57)</f>
        <v>80496.4156550349</v>
      </c>
      <c r="M32" s="120" t="n">
        <f aca="false">$B$34*(M26-M57)</f>
        <v>75642.3517706952</v>
      </c>
      <c r="N32" s="120" t="n">
        <f aca="false">$B$34*(N26-N57)</f>
        <v>70109.9999456952</v>
      </c>
      <c r="O32" s="120" t="n">
        <f aca="false">$B$34*(O26-O57)</f>
        <v>64547.7170731752</v>
      </c>
      <c r="P32" s="120" t="n">
        <f aca="false">$B$34*(P26-P57)</f>
        <v>59035.9194281952</v>
      </c>
      <c r="Q32" s="120" t="n">
        <f aca="false">$B$34*(Q26-Q57)</f>
        <v>53473.6365556752</v>
      </c>
    </row>
    <row r="33" customFormat="false" ht="15" hidden="false" customHeight="false" outlineLevel="0" collapsed="false">
      <c r="A33" s="32" t="s">
        <v>160</v>
      </c>
      <c r="E33" s="203"/>
      <c r="F33" s="208" t="n">
        <f aca="false">F34-F32</f>
        <v>0</v>
      </c>
      <c r="G33" s="116" t="n">
        <f aca="false">G34-G32</f>
        <v>0</v>
      </c>
      <c r="H33" s="116" t="n">
        <f aca="false">H34-H32</f>
        <v>13468.9713840037</v>
      </c>
      <c r="I33" s="116" t="n">
        <f aca="false">I34-I32</f>
        <v>14845.1122446029</v>
      </c>
      <c r="J33" s="116" t="n">
        <f aca="false">J34-J32</f>
        <v>15629.7611679022</v>
      </c>
      <c r="K33" s="116" t="n">
        <f aca="false">K34-K32</f>
        <v>15856.8247338616</v>
      </c>
      <c r="L33" s="116" t="n">
        <f aca="false">L34-L32</f>
        <v>15571.386834961</v>
      </c>
      <c r="M33" s="116" t="n">
        <f aca="false">M34-M32</f>
        <v>15737.0169693007</v>
      </c>
      <c r="N33" s="116" t="n">
        <f aca="false">N34-N32</f>
        <v>16580.9350443007</v>
      </c>
      <c r="O33" s="116" t="n">
        <f aca="false">O34-O32</f>
        <v>17454.7841668207</v>
      </c>
      <c r="P33" s="116" t="n">
        <f aca="false">P34-P32</f>
        <v>18278.1480618007</v>
      </c>
      <c r="Q33" s="116" t="n">
        <f aca="false">Q34-Q32</f>
        <v>19151.9971843207</v>
      </c>
    </row>
    <row r="34" customFormat="false" ht="12.75" hidden="false" customHeight="false" outlineLevel="0" collapsed="false">
      <c r="A34" s="209" t="s">
        <v>154</v>
      </c>
      <c r="B34" s="210" t="n">
        <f aca="false">Assumptions!D19</f>
        <v>0.385</v>
      </c>
      <c r="C34" s="211"/>
      <c r="E34" s="202"/>
      <c r="F34" s="175" t="n">
        <f aca="false">$B$34*F30</f>
        <v>134475.495</v>
      </c>
      <c r="G34" s="32" t="n">
        <f aca="false">$B$34*G30</f>
        <v>119509.971239996</v>
      </c>
      <c r="H34" s="32" t="n">
        <f aca="false">$B$34*H30</f>
        <v>114821.537489996</v>
      </c>
      <c r="I34" s="32" t="n">
        <f aca="false">$B$34*I30</f>
        <v>110133.103739996</v>
      </c>
      <c r="J34" s="32" t="n">
        <f aca="false">$B$34*J30</f>
        <v>105444.669989996</v>
      </c>
      <c r="K34" s="32" t="n">
        <f aca="false">$B$34*K30</f>
        <v>100756.236239996</v>
      </c>
      <c r="L34" s="32" t="n">
        <f aca="false">$B$34*L30</f>
        <v>96067.8024899959</v>
      </c>
      <c r="M34" s="32" t="n">
        <f aca="false">$B$34*M30</f>
        <v>91379.3687399959</v>
      </c>
      <c r="N34" s="32" t="n">
        <f aca="false">$B$34*N30</f>
        <v>86690.9349899959</v>
      </c>
      <c r="O34" s="32" t="n">
        <f aca="false">$B$34*O30</f>
        <v>82002.5012399959</v>
      </c>
      <c r="P34" s="32" t="n">
        <f aca="false">$B$34*P30</f>
        <v>77314.0674899959</v>
      </c>
      <c r="Q34" s="32" t="n">
        <f aca="false">$B$34*Q30</f>
        <v>72625.6337399959</v>
      </c>
    </row>
    <row r="35" customFormat="false" ht="12.75" hidden="false" customHeight="false" outlineLevel="0" collapsed="false">
      <c r="A35" s="32"/>
      <c r="E35" s="176"/>
      <c r="F35" s="212"/>
    </row>
    <row r="36" customFormat="false" ht="12.75" hidden="false" customHeight="false" outlineLevel="0" collapsed="false">
      <c r="A36" s="213" t="s">
        <v>126</v>
      </c>
      <c r="B36" s="114"/>
      <c r="C36" s="114"/>
      <c r="D36" s="114"/>
      <c r="E36" s="204"/>
      <c r="F36" s="205" t="n">
        <f aca="false">F30-F34</f>
        <v>214811.505</v>
      </c>
      <c r="G36" s="214" t="n">
        <f aca="false">G30-G34</f>
        <v>190905.538474279</v>
      </c>
      <c r="H36" s="214" t="n">
        <f aca="false">H30-H34</f>
        <v>183416.222224279</v>
      </c>
      <c r="I36" s="214" t="n">
        <f aca="false">I30-I34</f>
        <v>175926.905974279</v>
      </c>
      <c r="J36" s="214" t="n">
        <f aca="false">J30-J34</f>
        <v>168437.589724279</v>
      </c>
      <c r="K36" s="214" t="n">
        <f aca="false">K30-K34</f>
        <v>160948.273474279</v>
      </c>
      <c r="L36" s="214" t="n">
        <f aca="false">L30-L34</f>
        <v>153458.957224279</v>
      </c>
      <c r="M36" s="214" t="n">
        <f aca="false">M30-M34</f>
        <v>145969.640974279</v>
      </c>
      <c r="N36" s="214" t="n">
        <f aca="false">N30-N34</f>
        <v>138480.324724279</v>
      </c>
      <c r="O36" s="214" t="n">
        <f aca="false">O30-O34</f>
        <v>130991.008474279</v>
      </c>
      <c r="P36" s="214" t="n">
        <f aca="false">P30-P34</f>
        <v>123501.692224279</v>
      </c>
      <c r="Q36" s="215" t="n">
        <f aca="false">Q30-Q34</f>
        <v>116012.375974279</v>
      </c>
    </row>
    <row r="37" customFormat="false" ht="12.75" hidden="false" customHeight="false" outlineLevel="0" collapsed="false">
      <c r="A37" s="32"/>
      <c r="E37" s="198"/>
      <c r="F37" s="199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16"/>
      <c r="S37" s="27"/>
    </row>
    <row r="38" customFormat="false" ht="12.75" hidden="false" customHeight="false" outlineLevel="0" collapsed="false">
      <c r="A38" s="32" t="s">
        <v>161</v>
      </c>
      <c r="E38" s="184"/>
      <c r="F38" s="185" t="n">
        <f aca="false">F36+F33+F28</f>
        <v>214811.505</v>
      </c>
      <c r="G38" s="120" t="n">
        <f aca="false">G36+G33+G28</f>
        <v>229777.028760004</v>
      </c>
      <c r="H38" s="120" t="n">
        <f aca="false">H36+H33+H28</f>
        <v>247934.433894008</v>
      </c>
      <c r="I38" s="120" t="n">
        <f aca="false">I36+I33+I28</f>
        <v>253999.008504607</v>
      </c>
      <c r="J38" s="120" t="n">
        <f aca="false">J36+J33+J28</f>
        <v>259472.091177906</v>
      </c>
      <c r="K38" s="120" t="n">
        <f aca="false">K36+K33+K28</f>
        <v>264387.588493866</v>
      </c>
      <c r="L38" s="120" t="n">
        <f aca="false">L36+L33+L28</f>
        <v>268790.584344965</v>
      </c>
      <c r="M38" s="120" t="n">
        <f aca="false">M36+M33+M28</f>
        <v>273644.648229305</v>
      </c>
      <c r="N38" s="120" t="n">
        <f aca="false">N36+N33+N28</f>
        <v>279177.000054305</v>
      </c>
      <c r="O38" s="120" t="n">
        <f aca="false">O36+O33+O28</f>
        <v>284739.282926825</v>
      </c>
      <c r="P38" s="120" t="n">
        <f aca="false">P36+P33+P28</f>
        <v>290251.080571805</v>
      </c>
      <c r="Q38" s="120" t="n">
        <f aca="false">Q36+Q33+Q28</f>
        <v>295813.363444325</v>
      </c>
      <c r="S38" s="32"/>
    </row>
    <row r="39" customFormat="false" ht="12.75" hidden="false" customHeight="false" outlineLevel="0" collapsed="false">
      <c r="A39" s="32"/>
      <c r="E39" s="176"/>
      <c r="F39" s="212"/>
      <c r="S39" s="32"/>
    </row>
    <row r="40" customFormat="false" ht="12.75" hidden="false" customHeight="false" outlineLevel="0" collapsed="false">
      <c r="A40" s="32" t="s">
        <v>132</v>
      </c>
      <c r="B40" s="135" t="s">
        <v>153</v>
      </c>
      <c r="E40" s="184"/>
      <c r="F40" s="185" t="n">
        <f aca="false">SUM(F41:F46)</f>
        <v>243555</v>
      </c>
      <c r="G40" s="120" t="n">
        <f aca="false">SUM(G41:G46)</f>
        <v>243555</v>
      </c>
      <c r="H40" s="120" t="n">
        <f aca="false">SUM(H41:H46)</f>
        <v>243555</v>
      </c>
      <c r="I40" s="120" t="n">
        <f aca="false">SUM(I41:I46)</f>
        <v>243555</v>
      </c>
      <c r="J40" s="120" t="n">
        <f aca="false">SUM(J41:J46)</f>
        <v>243555</v>
      </c>
      <c r="K40" s="120" t="n">
        <f aca="false">SUM(K41:K46)</f>
        <v>243555</v>
      </c>
      <c r="L40" s="120" t="n">
        <f aca="false">SUM(L41:L46)</f>
        <v>243555</v>
      </c>
      <c r="M40" s="120" t="n">
        <f aca="false">SUM(M41:M46)</f>
        <v>243555</v>
      </c>
      <c r="N40" s="120" t="n">
        <f aca="false">SUM(N41:N46)</f>
        <v>243555</v>
      </c>
      <c r="O40" s="120" t="n">
        <f aca="false">SUM(O41:O46)</f>
        <v>243555</v>
      </c>
      <c r="P40" s="120" t="n">
        <f aca="false">SUM(P41:P46)</f>
        <v>243555</v>
      </c>
      <c r="Q40" s="120" t="n">
        <f aca="false">SUM(Q41:Q46)</f>
        <v>243555</v>
      </c>
      <c r="S40" s="32"/>
    </row>
    <row r="41" customFormat="false" ht="12.75" hidden="false" customHeight="false" outlineLevel="0" collapsed="false">
      <c r="A41" s="32" t="str">
        <f aca="false">A17</f>
        <v>  T&amp;S - Cash Flow Analysis</v>
      </c>
      <c r="B41" s="173" t="n">
        <f aca="false">Assumptions!$C$37</f>
        <v>1</v>
      </c>
      <c r="E41" s="184"/>
      <c r="F41" s="185" t="n">
        <f aca="false">'Asset 1'!F29*$B$41</f>
        <v>32618</v>
      </c>
      <c r="G41" s="120" t="n">
        <f aca="false">'Asset 1'!G29*$B$41</f>
        <v>32618</v>
      </c>
      <c r="H41" s="120" t="n">
        <f aca="false">'Asset 1'!H29*$B$41</f>
        <v>32618</v>
      </c>
      <c r="I41" s="120" t="n">
        <f aca="false">'Asset 1'!I29*$B$41</f>
        <v>32618</v>
      </c>
      <c r="J41" s="120" t="n">
        <f aca="false">'Asset 1'!J29*$B$41</f>
        <v>32618</v>
      </c>
      <c r="K41" s="120" t="n">
        <f aca="false">'Asset 1'!K29*$B$41</f>
        <v>32618</v>
      </c>
      <c r="L41" s="120" t="n">
        <f aca="false">'Asset 1'!L29*$B$41</f>
        <v>32618</v>
      </c>
      <c r="M41" s="120" t="n">
        <f aca="false">'Asset 1'!M29*$B$41</f>
        <v>32618</v>
      </c>
      <c r="N41" s="120" t="n">
        <f aca="false">'Asset 1'!N29*$B$41</f>
        <v>32618</v>
      </c>
      <c r="O41" s="120" t="n">
        <f aca="false">'Asset 1'!O29*$B$41</f>
        <v>32618</v>
      </c>
      <c r="P41" s="120" t="n">
        <f aca="false">'Asset 1'!P29*$B$41</f>
        <v>32618</v>
      </c>
      <c r="Q41" s="120" t="n">
        <f aca="false">'Asset 1'!Q29*$B$41</f>
        <v>32618</v>
      </c>
      <c r="R41" s="216"/>
      <c r="S41" s="32"/>
    </row>
    <row r="42" customFormat="false" ht="12.75" hidden="false" customHeight="false" outlineLevel="0" collapsed="false">
      <c r="A42" s="32" t="str">
        <f aca="false">A18</f>
        <v>  Marketing - Cash Flow Analysis</v>
      </c>
      <c r="B42" s="173" t="n">
        <f aca="false">Assumptions!$C$40</f>
        <v>1</v>
      </c>
      <c r="E42" s="184"/>
      <c r="F42" s="185" t="n">
        <f aca="false">'Asset 2'!F29*$B$42</f>
        <v>4196</v>
      </c>
      <c r="G42" s="120" t="n">
        <f aca="false">'Asset 2'!G29*$B$42</f>
        <v>4196</v>
      </c>
      <c r="H42" s="120" t="n">
        <f aca="false">'Asset 2'!H29*$B$42</f>
        <v>4196</v>
      </c>
      <c r="I42" s="120" t="n">
        <f aca="false">'Asset 2'!I29*$B$42</f>
        <v>4196</v>
      </c>
      <c r="J42" s="120" t="n">
        <f aca="false">'Asset 2'!J29*$B$42</f>
        <v>4196</v>
      </c>
      <c r="K42" s="120" t="n">
        <f aca="false">'Asset 2'!K29*$B$42</f>
        <v>4196</v>
      </c>
      <c r="L42" s="120" t="n">
        <f aca="false">'Asset 2'!L29*$B$42</f>
        <v>4196</v>
      </c>
      <c r="M42" s="120" t="n">
        <f aca="false">'Asset 2'!M29*$B$42</f>
        <v>4196</v>
      </c>
      <c r="N42" s="120" t="n">
        <f aca="false">'Asset 2'!N29*$B$42</f>
        <v>4196</v>
      </c>
      <c r="O42" s="120" t="n">
        <f aca="false">'Asset 2'!O29*$B$42</f>
        <v>4196</v>
      </c>
      <c r="P42" s="120" t="n">
        <f aca="false">'Asset 2'!P29*$B$42</f>
        <v>4196</v>
      </c>
      <c r="Q42" s="120" t="n">
        <f aca="false">'Asset 2'!Q29*$B$42</f>
        <v>4196</v>
      </c>
      <c r="R42" s="217" t="s">
        <v>119</v>
      </c>
      <c r="S42" s="32"/>
    </row>
    <row r="43" customFormat="false" ht="12.75" hidden="false" customHeight="false" outlineLevel="0" collapsed="false">
      <c r="A43" s="32" t="str">
        <f aca="false">A19</f>
        <v>  Gath. &amp; Proc. - Cash Flow Analysis</v>
      </c>
      <c r="B43" s="173" t="n">
        <f aca="false">Assumptions!$C$43</f>
        <v>1</v>
      </c>
      <c r="E43" s="184"/>
      <c r="F43" s="185" t="n">
        <f aca="false">'Asset 3'!F29*$B$43</f>
        <v>8557</v>
      </c>
      <c r="G43" s="120" t="n">
        <f aca="false">'Asset 3'!G29*$B$43</f>
        <v>8557</v>
      </c>
      <c r="H43" s="120" t="n">
        <f aca="false">'Asset 3'!H29*$B$43</f>
        <v>8557</v>
      </c>
      <c r="I43" s="120" t="n">
        <f aca="false">'Asset 3'!I29*$B$43</f>
        <v>8557</v>
      </c>
      <c r="J43" s="120" t="n">
        <f aca="false">'Asset 3'!J29*$B$43</f>
        <v>8557</v>
      </c>
      <c r="K43" s="120" t="n">
        <f aca="false">'Asset 3'!K29*$B$43</f>
        <v>8557</v>
      </c>
      <c r="L43" s="120" t="n">
        <f aca="false">'Asset 3'!L29*$B$43</f>
        <v>8557</v>
      </c>
      <c r="M43" s="120" t="n">
        <f aca="false">'Asset 3'!M29*$B$43</f>
        <v>8557</v>
      </c>
      <c r="N43" s="120" t="n">
        <f aca="false">'Asset 3'!N29*$B$43</f>
        <v>8557</v>
      </c>
      <c r="O43" s="120" t="n">
        <f aca="false">'Asset 3'!O29*$B$43</f>
        <v>8557</v>
      </c>
      <c r="P43" s="120" t="n">
        <f aca="false">'Asset 3'!P29*$B$43</f>
        <v>8557</v>
      </c>
      <c r="Q43" s="120" t="n">
        <f aca="false">'Asset 3'!Q29*$B$43</f>
        <v>8557</v>
      </c>
      <c r="R43" s="217" t="s">
        <v>162</v>
      </c>
      <c r="S43" s="32"/>
    </row>
    <row r="44" customFormat="false" ht="12.75" hidden="false" customHeight="false" outlineLevel="0" collapsed="false">
      <c r="A44" s="32" t="str">
        <f aca="false">A20</f>
        <v>  Production - Cash Flow Analysis</v>
      </c>
      <c r="B44" s="173" t="n">
        <f aca="false">Assumptions!$C$46</f>
        <v>1</v>
      </c>
      <c r="E44" s="184"/>
      <c r="F44" s="185" t="n">
        <f aca="false">'Asset 4'!F29*$B$44</f>
        <v>95431</v>
      </c>
      <c r="G44" s="120" t="n">
        <f aca="false">'Asset 4'!G29*$B$44</f>
        <v>95431</v>
      </c>
      <c r="H44" s="120" t="n">
        <f aca="false">'Asset 4'!H29*$B$44</f>
        <v>95431</v>
      </c>
      <c r="I44" s="120" t="n">
        <f aca="false">'Asset 4'!I29*$B$44</f>
        <v>95431</v>
      </c>
      <c r="J44" s="120" t="n">
        <f aca="false">'Asset 4'!J29*$B$44</f>
        <v>95431</v>
      </c>
      <c r="K44" s="120" t="n">
        <f aca="false">'Asset 4'!K29*$B$44</f>
        <v>95431</v>
      </c>
      <c r="L44" s="120" t="n">
        <f aca="false">'Asset 4'!L29*$B$44</f>
        <v>95431</v>
      </c>
      <c r="M44" s="120" t="n">
        <f aca="false">'Asset 4'!M29*$B$44</f>
        <v>95431</v>
      </c>
      <c r="N44" s="120" t="n">
        <f aca="false">'Asset 4'!N29*$B$44</f>
        <v>95431</v>
      </c>
      <c r="O44" s="120" t="n">
        <f aca="false">'Asset 4'!O29*$B$44</f>
        <v>95431</v>
      </c>
      <c r="P44" s="120" t="n">
        <f aca="false">'Asset 4'!P29*$B$44</f>
        <v>95431</v>
      </c>
      <c r="Q44" s="120" t="n">
        <f aca="false">'Asset 4'!Q29*$B$44</f>
        <v>95431</v>
      </c>
      <c r="R44" s="217" t="s">
        <v>163</v>
      </c>
      <c r="S44" s="32"/>
    </row>
    <row r="45" customFormat="false" ht="12.75" hidden="false" customHeight="false" outlineLevel="0" collapsed="false">
      <c r="A45" s="32" t="str">
        <f aca="false">A21</f>
        <v>  Distribution - Cash Flow Analysis</v>
      </c>
      <c r="B45" s="173" t="n">
        <f aca="false">Assumptions!$C$49</f>
        <v>1</v>
      </c>
      <c r="E45" s="180"/>
      <c r="F45" s="185" t="n">
        <f aca="false">$B$45*'Asset 5'!F29</f>
        <v>98685</v>
      </c>
      <c r="G45" s="120" t="n">
        <f aca="false">$B$45*'Asset 5'!G29</f>
        <v>98685</v>
      </c>
      <c r="H45" s="120" t="n">
        <f aca="false">$B$45*'Asset 5'!H29</f>
        <v>98685</v>
      </c>
      <c r="I45" s="120" t="n">
        <f aca="false">$B$45*'Asset 5'!I29</f>
        <v>98685</v>
      </c>
      <c r="J45" s="120" t="n">
        <f aca="false">$B$45*'Asset 5'!J29</f>
        <v>98685</v>
      </c>
      <c r="K45" s="120" t="n">
        <f aca="false">$B$45*'Asset 5'!K29</f>
        <v>98685</v>
      </c>
      <c r="L45" s="120" t="n">
        <f aca="false">$B$45*'Asset 5'!L29</f>
        <v>98685</v>
      </c>
      <c r="M45" s="120" t="n">
        <f aca="false">$B$45*'Asset 5'!M29</f>
        <v>98685</v>
      </c>
      <c r="N45" s="120" t="n">
        <f aca="false">$B$45*'Asset 5'!N29</f>
        <v>98685</v>
      </c>
      <c r="O45" s="120" t="n">
        <f aca="false">$B$45*'Asset 5'!O29</f>
        <v>98685</v>
      </c>
      <c r="P45" s="120" t="n">
        <f aca="false">$B$45*'Asset 5'!P29</f>
        <v>98685</v>
      </c>
      <c r="Q45" s="120" t="n">
        <f aca="false">$B$45*'Asset 5'!Q29</f>
        <v>98685</v>
      </c>
      <c r="R45" s="217"/>
      <c r="S45" s="32"/>
    </row>
    <row r="46" customFormat="false" ht="12.75" hidden="false" customHeight="false" outlineLevel="0" collapsed="false">
      <c r="A46" s="32" t="str">
        <f aca="false">A22</f>
        <v>  Other - Cash Flow Analysis</v>
      </c>
      <c r="B46" s="173" t="n">
        <f aca="false">Assumptions!$C$52</f>
        <v>1</v>
      </c>
      <c r="E46" s="184"/>
      <c r="F46" s="185" t="n">
        <f aca="false">B46*'Asset 6'!F29</f>
        <v>4068</v>
      </c>
      <c r="G46" s="0" t="n">
        <f aca="false">$B$46*'Asset 6'!G29</f>
        <v>4068</v>
      </c>
      <c r="H46" s="0" t="n">
        <f aca="false">$B$46*'Asset 6'!H29</f>
        <v>4068</v>
      </c>
      <c r="I46" s="0" t="n">
        <f aca="false">$B$46*'Asset 6'!I29</f>
        <v>4068</v>
      </c>
      <c r="J46" s="0" t="n">
        <f aca="false">$B$46*'Asset 6'!J29</f>
        <v>4068</v>
      </c>
      <c r="K46" s="0" t="n">
        <f aca="false">$B$46*'Asset 6'!K29</f>
        <v>4068</v>
      </c>
      <c r="L46" s="0" t="n">
        <f aca="false">$B$46*'Asset 6'!L29</f>
        <v>4068</v>
      </c>
      <c r="M46" s="0" t="n">
        <f aca="false">$B$46*'Asset 6'!M29</f>
        <v>4068</v>
      </c>
      <c r="N46" s="0" t="n">
        <f aca="false">$B$46*'Asset 6'!N29</f>
        <v>4068</v>
      </c>
      <c r="O46" s="0" t="n">
        <f aca="false">$B$46*'Asset 6'!O29</f>
        <v>4068</v>
      </c>
      <c r="P46" s="0" t="n">
        <f aca="false">$B$46*'Asset 6'!P29</f>
        <v>4068</v>
      </c>
      <c r="Q46" s="0" t="n">
        <f aca="false">$B$46*'Asset 6'!Q29</f>
        <v>4068</v>
      </c>
      <c r="R46" s="218" t="n">
        <f aca="false">R47/Q26</f>
        <v>5.07550810651413</v>
      </c>
      <c r="S46" s="32"/>
    </row>
    <row r="47" customFormat="false" ht="12.75" hidden="false" customHeight="false" outlineLevel="0" collapsed="false">
      <c r="A47" s="219" t="s">
        <v>164</v>
      </c>
      <c r="B47" s="114"/>
      <c r="C47" s="114"/>
      <c r="D47" s="114"/>
      <c r="E47" s="220"/>
      <c r="F47" s="187" t="n">
        <f aca="false">F38-F40</f>
        <v>-28743.495</v>
      </c>
      <c r="G47" s="221" t="n">
        <f aca="false">G38-G40</f>
        <v>-13777.9712399959</v>
      </c>
      <c r="H47" s="221" t="n">
        <f aca="false">H38-H40</f>
        <v>4379.43389400779</v>
      </c>
      <c r="I47" s="221" t="n">
        <f aca="false">I38-I40</f>
        <v>10444.008504607</v>
      </c>
      <c r="J47" s="221" t="n">
        <f aca="false">J38-J40</f>
        <v>15917.0911779063</v>
      </c>
      <c r="K47" s="221" t="n">
        <f aca="false">K38-K40</f>
        <v>20832.5884938657</v>
      </c>
      <c r="L47" s="221" t="n">
        <f aca="false">L38-L40</f>
        <v>25235.5843449651</v>
      </c>
      <c r="M47" s="221" t="n">
        <f aca="false">M38-M40</f>
        <v>30089.6482293048</v>
      </c>
      <c r="N47" s="221" t="n">
        <f aca="false">N38-N40</f>
        <v>35622.0000543048</v>
      </c>
      <c r="O47" s="221" t="n">
        <f aca="false">O38-O40</f>
        <v>41184.2829268249</v>
      </c>
      <c r="P47" s="221" t="n">
        <f aca="false">P38-P40</f>
        <v>46696.0805718048</v>
      </c>
      <c r="Q47" s="221" t="n">
        <f aca="false">Q38-Q40</f>
        <v>52258.3634443248</v>
      </c>
      <c r="R47" s="222" t="n">
        <f aca="false">'Asset 1'!R30*Assumptions!$C$37+'Asset 2'!R30*Assumptions!$C$40+'Asset 3'!R30*Assumptions!$C$43+'Asset 4'!R30*Assumptions!C46+'Asset 5'!R30*Assumptions!C49+'Asset 6'!R30*Assumptions!C52</f>
        <v>1772809</v>
      </c>
      <c r="S47" s="32"/>
    </row>
    <row r="48" customFormat="false" ht="12.75" hidden="false" customHeight="false" outlineLevel="0" collapsed="false">
      <c r="A48" s="223"/>
      <c r="E48" s="120"/>
      <c r="F48" s="224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32"/>
      <c r="S48" s="32"/>
    </row>
    <row r="49" customFormat="false" ht="12.75" hidden="false" customHeight="false" outlineLevel="0" collapsed="false">
      <c r="A49" s="225" t="s">
        <v>165</v>
      </c>
      <c r="B49" s="226" t="n">
        <f aca="false">Assumptions!D20</f>
        <v>20</v>
      </c>
      <c r="C49" s="226"/>
      <c r="D49" s="227" t="n">
        <f aca="false">CPurPrice</f>
        <v>533874.805714499</v>
      </c>
      <c r="E49" s="120"/>
      <c r="F49" s="224"/>
      <c r="G49" s="228" t="n">
        <f aca="false">1/B49</f>
        <v>0.05</v>
      </c>
      <c r="H49" s="228" t="n">
        <f aca="false">G49</f>
        <v>0.05</v>
      </c>
      <c r="I49" s="228" t="n">
        <f aca="false">H49</f>
        <v>0.05</v>
      </c>
      <c r="J49" s="228" t="n">
        <f aca="false">I49</f>
        <v>0.05</v>
      </c>
      <c r="K49" s="228" t="n">
        <f aca="false">J49</f>
        <v>0.05</v>
      </c>
      <c r="L49" s="228" t="n">
        <f aca="false">K49</f>
        <v>0.05</v>
      </c>
      <c r="M49" s="228" t="n">
        <f aca="false">L49</f>
        <v>0.05</v>
      </c>
      <c r="N49" s="228" t="n">
        <f aca="false">M49</f>
        <v>0.05</v>
      </c>
      <c r="O49" s="228" t="n">
        <f aca="false">N49</f>
        <v>0.05</v>
      </c>
      <c r="P49" s="228" t="n">
        <f aca="false">O49</f>
        <v>0.05</v>
      </c>
      <c r="Q49" s="229" t="n">
        <f aca="false">P49</f>
        <v>0.05</v>
      </c>
      <c r="R49" s="32"/>
      <c r="S49" s="32"/>
    </row>
    <row r="50" customFormat="false" ht="12.75" hidden="false" customHeight="false" outlineLevel="0" collapsed="false">
      <c r="A50" s="32" t="s">
        <v>166</v>
      </c>
      <c r="D50" s="230"/>
      <c r="E50" s="120"/>
      <c r="F50" s="224"/>
      <c r="G50" s="120" t="n">
        <f aca="false">D49/B49</f>
        <v>26693.7402857249</v>
      </c>
      <c r="H50" s="120" t="n">
        <f aca="false">+G50</f>
        <v>26693.7402857249</v>
      </c>
      <c r="I50" s="120" t="n">
        <f aca="false">+H50</f>
        <v>26693.7402857249</v>
      </c>
      <c r="J50" s="120" t="n">
        <f aca="false">+I50</f>
        <v>26693.7402857249</v>
      </c>
      <c r="K50" s="120" t="n">
        <f aca="false">+J50</f>
        <v>26693.7402857249</v>
      </c>
      <c r="L50" s="120" t="n">
        <f aca="false">+K50</f>
        <v>26693.7402857249</v>
      </c>
      <c r="M50" s="120" t="n">
        <f aca="false">+L50</f>
        <v>26693.7402857249</v>
      </c>
      <c r="N50" s="120" t="n">
        <f aca="false">+M50</f>
        <v>26693.7402857249</v>
      </c>
      <c r="O50" s="120" t="n">
        <f aca="false">+N50</f>
        <v>26693.7402857249</v>
      </c>
      <c r="P50" s="120" t="n">
        <f aca="false">+O50</f>
        <v>26693.7402857249</v>
      </c>
      <c r="Q50" s="120" t="n">
        <f aca="false">+P50</f>
        <v>26693.7402857249</v>
      </c>
      <c r="R50" s="32"/>
      <c r="S50" s="32"/>
    </row>
    <row r="51" customFormat="false" ht="15" hidden="false" customHeight="false" outlineLevel="0" collapsed="false">
      <c r="A51" s="32" t="s">
        <v>167</v>
      </c>
      <c r="E51" s="120"/>
      <c r="F51" s="224"/>
      <c r="G51" s="116" t="n">
        <f aca="false">($G$40*G$49)</f>
        <v>12177.75</v>
      </c>
      <c r="H51" s="116" t="n">
        <f aca="false">($G$40*H49)+($H$40*G49)</f>
        <v>24355.5</v>
      </c>
      <c r="I51" s="116" t="n">
        <f aca="false">($G$40*I49)+($H$40*H49)+($I$40*G49)</f>
        <v>36533.25</v>
      </c>
      <c r="J51" s="116" t="n">
        <f aca="false">($G$40*J49)+($H$40*I49)+($I$40*H49)+($J$40*G49)</f>
        <v>48711</v>
      </c>
      <c r="K51" s="116" t="n">
        <f aca="false">($G$40*K49)+($H$40*J49)+($I$40*I49)+($J$40*H49)+($K$40*G49)</f>
        <v>60888.75</v>
      </c>
      <c r="L51" s="116" t="n">
        <f aca="false">($G$40*L49)+($H$40*K49)+($I$40*J49)+($J$40*I49)+($K$40*H49)+($L$40*G49)</f>
        <v>73066.5</v>
      </c>
      <c r="M51" s="116" t="n">
        <f aca="false">($G$40*M49)+($H$40*L49)+($I$40*K49)+($J$40*J49)+($K$40*I49)+($L$40*H49)+($M$40*G49)</f>
        <v>85244.25</v>
      </c>
      <c r="N51" s="116" t="n">
        <f aca="false">($G$40*N49)+($H$40*M49)+($I$40*L49)+($J$40*K49)+($K$40*J49)+($L$40*I49)+($M$40*H49)+($N$40*G49)</f>
        <v>97422</v>
      </c>
      <c r="O51" s="116" t="n">
        <f aca="false">($G$40*O49)+($H$40*N49)+($I$40*M49)+($J$40*L49)+($K$40*K49)+($L$40*J49)+($M$40*I49)+($N$40*H49)+($O$40*G49)</f>
        <v>109599.75</v>
      </c>
      <c r="P51" s="116" t="n">
        <f aca="false">($G$40*P49)+($H$40*O49)+($I$40*N49)+($J$40*M49)+($K$40*L49)+($L$40*K49)+($M$40*J49)+($N$40*I49)+($O$40*H49)+($P$40*G49)</f>
        <v>121777.5</v>
      </c>
      <c r="Q51" s="116" t="n">
        <f aca="false">($G$40*Q49)+($H$40*P49)+($I$40*O49)+($J$40*N49)+($K$40*M49)+($L$40*L49)+($M$40*K49)+($N$40*J49)+($O$40*I49)+($P$40*H49)+($Q$40*G49)</f>
        <v>133955.25</v>
      </c>
      <c r="R51" s="32"/>
      <c r="S51" s="32"/>
    </row>
    <row r="52" customFormat="false" ht="12.75" hidden="false" customHeight="false" outlineLevel="0" collapsed="false">
      <c r="A52" s="52" t="s">
        <v>154</v>
      </c>
      <c r="E52" s="120"/>
      <c r="F52" s="224"/>
      <c r="G52" s="120" t="n">
        <f aca="false">+G50+G51</f>
        <v>38871.4902857249</v>
      </c>
      <c r="H52" s="120" t="n">
        <f aca="false">+H50+H51</f>
        <v>51049.2402857249</v>
      </c>
      <c r="I52" s="120" t="n">
        <f aca="false">+I50+I51</f>
        <v>63226.9902857249</v>
      </c>
      <c r="J52" s="120" t="n">
        <f aca="false">+J50+J51</f>
        <v>75404.7402857249</v>
      </c>
      <c r="K52" s="120" t="n">
        <f aca="false">+K50+K51</f>
        <v>87582.4902857249</v>
      </c>
      <c r="L52" s="120" t="n">
        <f aca="false">+L50+L51</f>
        <v>99760.2402857249</v>
      </c>
      <c r="M52" s="120" t="n">
        <f aca="false">+M50+M51</f>
        <v>111937.990285725</v>
      </c>
      <c r="N52" s="120" t="n">
        <f aca="false">+N50+N51</f>
        <v>124115.740285725</v>
      </c>
      <c r="O52" s="120" t="n">
        <f aca="false">+O50+O51</f>
        <v>136293.490285725</v>
      </c>
      <c r="P52" s="120" t="n">
        <f aca="false">+P50+P51</f>
        <v>148471.240285725</v>
      </c>
      <c r="Q52" s="120" t="n">
        <f aca="false">+Q50+Q51</f>
        <v>160648.990285725</v>
      </c>
      <c r="R52" s="32"/>
      <c r="S52" s="32"/>
    </row>
    <row r="53" customFormat="false" ht="12.75" hidden="false" customHeight="false" outlineLevel="0" collapsed="false">
      <c r="A53" s="32"/>
      <c r="E53" s="27"/>
      <c r="F53" s="231"/>
      <c r="R53" s="232"/>
      <c r="S53" s="32"/>
    </row>
    <row r="54" customFormat="false" ht="12.75" hidden="false" customHeight="false" outlineLevel="0" collapsed="false">
      <c r="A54" s="225" t="s">
        <v>168</v>
      </c>
      <c r="E54" s="27"/>
      <c r="F54" s="231"/>
      <c r="G54" s="233" t="n">
        <v>0.05</v>
      </c>
      <c r="H54" s="234" t="n">
        <v>0.095</v>
      </c>
      <c r="I54" s="234" t="n">
        <v>0.0855</v>
      </c>
      <c r="J54" s="234" t="n">
        <v>0.077</v>
      </c>
      <c r="K54" s="234" t="n">
        <v>0.0693</v>
      </c>
      <c r="L54" s="234" t="n">
        <v>0.0623</v>
      </c>
      <c r="M54" s="234" t="n">
        <v>0.059</v>
      </c>
      <c r="N54" s="234" t="n">
        <v>0.059</v>
      </c>
      <c r="O54" s="234" t="n">
        <v>0.0591</v>
      </c>
      <c r="P54" s="234" t="n">
        <v>0.059</v>
      </c>
      <c r="Q54" s="235" t="n">
        <v>0.0591</v>
      </c>
      <c r="R54" s="232"/>
      <c r="S54" s="32"/>
    </row>
    <row r="55" customFormat="false" ht="12.75" hidden="false" customHeight="false" outlineLevel="0" collapsed="false">
      <c r="A55" s="32" t="s">
        <v>166</v>
      </c>
      <c r="B55" s="236"/>
      <c r="C55" s="236"/>
      <c r="E55" s="27"/>
      <c r="F55" s="231"/>
      <c r="G55" s="32" t="n">
        <f aca="false">G54*$D$49</f>
        <v>26693.7402857249</v>
      </c>
      <c r="H55" s="32" t="n">
        <f aca="false">H54*$D$49</f>
        <v>50718.1065428774</v>
      </c>
      <c r="I55" s="32" t="n">
        <f aca="false">I54*$D$49</f>
        <v>45646.2958885896</v>
      </c>
      <c r="J55" s="32" t="n">
        <f aca="false">J54*$D$49</f>
        <v>41108.3600400164</v>
      </c>
      <c r="K55" s="32" t="n">
        <f aca="false">K54*$D$49</f>
        <v>36997.5240360147</v>
      </c>
      <c r="L55" s="32" t="n">
        <f aca="false">L54*$D$49</f>
        <v>33260.4003960133</v>
      </c>
      <c r="M55" s="32" t="n">
        <f aca="false">M54*$D$49</f>
        <v>31498.6135371554</v>
      </c>
      <c r="N55" s="32" t="n">
        <f aca="false">N54*$D$49</f>
        <v>31498.6135371554</v>
      </c>
      <c r="O55" s="32" t="n">
        <f aca="false">O54*$D$49</f>
        <v>31552.0010177269</v>
      </c>
      <c r="P55" s="32" t="n">
        <f aca="false">P54*$D$49</f>
        <v>31498.6135371554</v>
      </c>
      <c r="Q55" s="32" t="n">
        <f aca="false">Q54*$D$49</f>
        <v>31552.0010177269</v>
      </c>
    </row>
    <row r="56" customFormat="false" ht="15" hidden="false" customHeight="false" outlineLevel="0" collapsed="false">
      <c r="A56" s="32" t="s">
        <v>167</v>
      </c>
      <c r="B56" s="201"/>
      <c r="C56" s="201"/>
      <c r="E56" s="27"/>
      <c r="F56" s="231"/>
      <c r="G56" s="116" t="n">
        <f aca="false">($G$40*G$54)</f>
        <v>12177.75</v>
      </c>
      <c r="H56" s="116" t="n">
        <f aca="false">($G$40*H54)+($H$40*G54)</f>
        <v>35315.475</v>
      </c>
      <c r="I56" s="116" t="n">
        <f aca="false">($G$40*I54)+($H$40*H54)+($I$40*G54)</f>
        <v>56139.4275</v>
      </c>
      <c r="J56" s="116" t="n">
        <f aca="false">($G$40*J54)+($H$40*I54)+($I$40*H54)+($J$40*G54)</f>
        <v>74893.1625</v>
      </c>
      <c r="K56" s="116" t="n">
        <f aca="false">($G$40*K54)+($H$40*J54)+($I$40*I54)+($J$40*H54)+($K$40*G54)</f>
        <v>91771.524</v>
      </c>
      <c r="L56" s="116" t="n">
        <f aca="false">($G$40*L54)+($H$40*K54)+($I$40*J54)+($J$40*I54)+($K$40*H54)+($L$40*G54)</f>
        <v>106945.0005</v>
      </c>
      <c r="M56" s="116" t="n">
        <f aca="false">($G$40*M54)+($H$40*L54)+($I$40*K54)+($J$40*J54)+($K$40*I54)+($L$40*H54)+($M$40*G54)</f>
        <v>121314.7455</v>
      </c>
      <c r="N56" s="116" t="n">
        <f aca="false">($G$40*N54)+($H$40*M54)+($I$40*L54)+($J$40*K54)+($K$40*J54)+($L$40*I54)+($M$40*H54)+($N$40*G54)</f>
        <v>135684.4905</v>
      </c>
      <c r="O56" s="116" t="n">
        <f aca="false">($G$40*O54)+($H$40*N54)+($I$40*M54)+($J$40*L54)+($K$40*K54)+($L$40*J54)+($M$40*I54)+($N$40*H54)+($O$40*G54)</f>
        <v>150078.591</v>
      </c>
      <c r="P56" s="116" t="n">
        <f aca="false">($G$40*P54)+($H$40*O54)+($I$40*N54)+($J$40*M54)+($K$40*L54)+($L$40*K54)+($M$40*J54)+($N$40*I54)+($O$40*H54)+($P$40*G54)</f>
        <v>164448.336</v>
      </c>
      <c r="Q56" s="116" t="n">
        <f aca="false">($G$40*Q54)+($H$40*P54)+($I$40*O54)+($J$40*N54)+($K$40*M54)+($L$40*L54)+($M$40*K54)+($N$40*J54)+($O$40*I54)+($P$40*H54)+($Q$40*G54)</f>
        <v>178842.4365</v>
      </c>
    </row>
    <row r="57" customFormat="false" ht="12.75" hidden="false" customHeight="false" outlineLevel="0" collapsed="false">
      <c r="A57" s="52" t="s">
        <v>154</v>
      </c>
      <c r="E57" s="27"/>
      <c r="F57" s="231"/>
      <c r="G57" s="32" t="n">
        <f aca="false">SUM(G55:G56)</f>
        <v>38871.4902857249</v>
      </c>
      <c r="H57" s="32" t="n">
        <f aca="false">SUM(H55:H56)</f>
        <v>86033.5815428774</v>
      </c>
      <c r="I57" s="32" t="n">
        <f aca="false">SUM(I55:I56)</f>
        <v>101785.72338859</v>
      </c>
      <c r="J57" s="32" t="n">
        <f aca="false">SUM(J55:J56)</f>
        <v>116001.522540016</v>
      </c>
      <c r="K57" s="32" t="n">
        <f aca="false">SUM(K55:K56)</f>
        <v>128769.048036015</v>
      </c>
      <c r="L57" s="32" t="n">
        <f aca="false">SUM(L55:L56)</f>
        <v>140205.400896013</v>
      </c>
      <c r="M57" s="32" t="n">
        <f aca="false">SUM(M55:M56)</f>
        <v>152813.359037155</v>
      </c>
      <c r="N57" s="32" t="n">
        <f aca="false">SUM(N55:N56)</f>
        <v>167183.104037155</v>
      </c>
      <c r="O57" s="32" t="n">
        <f aca="false">SUM(O55:O56)</f>
        <v>181630.592017727</v>
      </c>
      <c r="P57" s="32" t="n">
        <f aca="false">SUM(P55:P56)</f>
        <v>195946.949537155</v>
      </c>
      <c r="Q57" s="32" t="n">
        <f aca="false">SUM(Q55:Q56)</f>
        <v>210394.437517727</v>
      </c>
    </row>
    <row r="58" customFormat="false" ht="12.75" hidden="false" customHeight="false" outlineLevel="0" collapsed="false">
      <c r="A58" s="52"/>
      <c r="E58" s="27"/>
      <c r="F58" s="167"/>
    </row>
    <row r="59" customFormat="false" ht="13.5" hidden="false" customHeight="false" outlineLevel="0" collapsed="false"/>
    <row r="60" customFormat="false" ht="15" hidden="false" customHeight="false" outlineLevel="0" collapsed="false">
      <c r="J60" s="237" t="s">
        <v>169</v>
      </c>
      <c r="K60" s="238" t="str">
        <f aca="false">(Assumptions!D12-1&amp;" EBITDA")</f>
        <v>1999 EBITDA</v>
      </c>
      <c r="L60" s="239"/>
      <c r="M60" s="240" t="s">
        <v>170</v>
      </c>
      <c r="N60" s="240"/>
      <c r="O60" s="240"/>
    </row>
    <row r="61" customFormat="false" ht="15" hidden="false" customHeight="false" outlineLevel="0" collapsed="false">
      <c r="J61" s="241" t="s">
        <v>171</v>
      </c>
      <c r="K61" s="242" t="s">
        <v>172</v>
      </c>
      <c r="L61" s="243" t="s">
        <v>173</v>
      </c>
      <c r="M61" s="244" t="n">
        <f aca="false">CDRate-0.025</f>
        <v>0.1</v>
      </c>
      <c r="N61" s="245" t="n">
        <f aca="false">Assumptions!D21</f>
        <v>0.125</v>
      </c>
      <c r="O61" s="246" t="n">
        <f aca="false">CDRate+0.025</f>
        <v>0.15</v>
      </c>
    </row>
    <row r="62" customFormat="false" ht="13.5" hidden="false" customHeight="false" outlineLevel="0" collapsed="false">
      <c r="I62" s="247" t="s">
        <v>174</v>
      </c>
      <c r="J62" s="248"/>
      <c r="K62" s="249"/>
      <c r="L62" s="250"/>
      <c r="M62" s="248"/>
      <c r="N62" s="249"/>
      <c r="O62" s="251"/>
    </row>
    <row r="63" customFormat="false" ht="13.5" hidden="false" customHeight="false" outlineLevel="0" collapsed="false">
      <c r="I63" s="54" t="n">
        <f aca="false">IF(ABS(J63-N63)&lt;0.05,0,1)</f>
        <v>0</v>
      </c>
      <c r="J63" s="252" t="n">
        <v>533874.805714499</v>
      </c>
      <c r="K63" s="253" t="n">
        <f aca="false">J63/F26</f>
        <v>1.52847030010993</v>
      </c>
      <c r="L63" s="254" t="str">
        <f aca="false">Assumptions!D6</f>
        <v>ETS</v>
      </c>
      <c r="M63" s="255" t="n">
        <f aca="false">NPV(M61,$G47:$R47)</f>
        <v>687708.500848256</v>
      </c>
      <c r="N63" s="256" t="n">
        <f aca="false">NPV(N61,$G47:$R47)</f>
        <v>533874.82796106</v>
      </c>
      <c r="O63" s="257" t="n">
        <f aca="false">NPV(O61,$G47:$R47)</f>
        <v>417355.576077312</v>
      </c>
    </row>
    <row r="64" customFormat="false" ht="12.75" hidden="false" customHeight="false" outlineLevel="0" collapsed="false">
      <c r="I64" s="258"/>
      <c r="J64" s="259" t="str">
        <f aca="false">IF(ABS(Asset1PurPrice*Assumptions!$C$37+Asset2PurPrice*Assumptions!$C$40+Asset3PurPrice*Assumptions!$C$43+Asset4PurPrice*Assumptions!C46+Asset5PurPrice*Assumptions!C49+Asset6PurPrice*Assumptions!C52-CPurPrice)&gt;1,CPurPrice-(Asset1PurPrice*Assumptions!$C$37+Asset2PurPrice*Assumptions!$C$40+Asset3PurPrice*Assumptions!$C$43+Asset4PurPrice*Assumptions!C46+Asset5PurPrice*Assumptions!C49+Asset6PurPrice*Assumptions!C52),"")</f>
        <v/>
      </c>
      <c r="K64" s="260"/>
      <c r="L64" s="27"/>
      <c r="M64" s="261"/>
      <c r="N64" s="261"/>
      <c r="O64" s="261"/>
    </row>
    <row r="65" customFormat="false" ht="13.5" hidden="false" customHeight="false" outlineLevel="0" collapsed="false"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</row>
    <row r="66" customFormat="false" ht="13.5" hidden="false" customHeight="false" outlineLevel="0" collapsed="false">
      <c r="J66" s="262" t="s">
        <v>175</v>
      </c>
      <c r="K66" s="263" t="e">
        <f aca="false">IRR(H47:R47)+G47</f>
        <v>#N/A</v>
      </c>
    </row>
  </sheetData>
  <mergeCells count="1">
    <mergeCell ref="M60:O60"/>
  </mergeCells>
  <conditionalFormatting sqref="D25">
    <cfRule type="cellIs" priority="2" operator="notBetween" aboveAverage="0" equalAverage="0" bottom="0" percent="0" rank="0" text="" dxfId="1">
      <formula>0.25</formula>
      <formula>-0.25</formula>
    </cfRule>
  </conditionalFormatting>
  <printOptions headings="false" gridLines="false" gridLinesSet="true" horizontalCentered="false" verticalCentered="false"/>
  <pageMargins left="0.5" right="0.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9"/>
  <sheetViews>
    <sheetView showFormulas="false" showGridLines="true" showRowColHeaders="true" showZeros="true" rightToLeft="false" tabSelected="false" showOutlineSymbols="true" defaultGridColor="true" view="normal" topLeftCell="A34" colorId="64" zoomScale="75" zoomScaleNormal="75" zoomScalePageLayoutView="100" workbookViewId="0">
      <selection pane="topLeft" activeCell="I71" activeCellId="0" sqref="G71:I7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56"/>
    <col collapsed="false" customWidth="true" hidden="false" outlineLevel="0" max="2" min="2" style="0" width="13.99"/>
    <col collapsed="false" customWidth="true" hidden="false" outlineLevel="0" max="3" min="3" style="0" width="12.85"/>
    <col collapsed="false" customWidth="true" hidden="false" outlineLevel="0" max="4" min="4" style="0" width="11.85"/>
    <col collapsed="false" customWidth="true" hidden="false" outlineLevel="0" max="5" min="5" style="27" width="9.14"/>
    <col collapsed="false" customWidth="true" hidden="false" outlineLevel="0" max="6" min="6" style="27" width="12.99"/>
    <col collapsed="false" customWidth="true" hidden="false" outlineLevel="0" max="7" min="7" style="0" width="12.28"/>
    <col collapsed="false" customWidth="true" hidden="false" outlineLevel="0" max="9" min="8" style="0" width="14.14"/>
    <col collapsed="false" customWidth="true" hidden="false" outlineLevel="0" max="11" min="10" style="0" width="12.28"/>
    <col collapsed="false" customWidth="true" hidden="false" outlineLevel="0" max="12" min="12" style="0" width="13.99"/>
    <col collapsed="false" customWidth="true" hidden="false" outlineLevel="0" max="14" min="13" style="0" width="13.41"/>
    <col collapsed="false" customWidth="true" hidden="false" outlineLevel="0" max="17" min="15" style="0" width="12.28"/>
    <col collapsed="false" customWidth="true" hidden="false" outlineLevel="0" max="18" min="18" style="0" width="13.41"/>
  </cols>
  <sheetData>
    <row r="1" customFormat="false" ht="18.75" hidden="false" customHeight="false" outlineLevel="0" collapsed="false">
      <c r="A1" s="155" t="str">
        <f aca="false">Assumptions!D5</f>
        <v>Oneok</v>
      </c>
      <c r="B1" s="21"/>
      <c r="E1" s="264"/>
    </row>
    <row r="2" customFormat="false" ht="15.75" hidden="false" customHeight="false" outlineLevel="0" collapsed="false">
      <c r="A2" s="265" t="s">
        <v>176</v>
      </c>
      <c r="B2" s="266"/>
      <c r="E2" s="36"/>
      <c r="F2" s="267" t="s">
        <v>45</v>
      </c>
      <c r="G2" s="268"/>
      <c r="H2" s="269"/>
      <c r="I2" s="190"/>
      <c r="R2" s="27"/>
    </row>
    <row r="3" customFormat="false" ht="12.75" hidden="false" customHeight="false" outlineLevel="0" collapsed="false">
      <c r="A3" s="270"/>
      <c r="B3" s="266"/>
      <c r="E3" s="36"/>
      <c r="F3" s="271" t="str">
        <f aca="false">IF(Asset1Loop&lt;&gt;0,"Run Macro","")</f>
        <v/>
      </c>
      <c r="G3" s="190"/>
      <c r="H3" s="272"/>
      <c r="I3" s="190"/>
      <c r="R3" s="27"/>
    </row>
    <row r="4" customFormat="false" ht="13.5" hidden="false" customHeight="false" outlineLevel="0" collapsed="false">
      <c r="A4" s="270"/>
      <c r="B4" s="266"/>
      <c r="E4" s="36"/>
      <c r="F4" s="273"/>
      <c r="G4" s="274"/>
      <c r="H4" s="275"/>
      <c r="I4" s="190"/>
      <c r="R4" s="27"/>
    </row>
    <row r="5" customFormat="false" ht="12.75" hidden="false" customHeight="false" outlineLevel="0" collapsed="false">
      <c r="A5" s="270"/>
      <c r="B5" s="266"/>
      <c r="E5" s="36"/>
      <c r="G5" s="190"/>
      <c r="H5" s="190"/>
      <c r="I5" s="190"/>
      <c r="R5" s="27"/>
    </row>
    <row r="6" customFormat="false" ht="12.75" hidden="false" customHeight="false" outlineLevel="0" collapsed="false">
      <c r="A6" s="270"/>
      <c r="B6" s="266"/>
      <c r="E6" s="36"/>
      <c r="G6" s="190"/>
      <c r="H6" s="190"/>
      <c r="I6" s="190"/>
      <c r="R6" s="27"/>
    </row>
    <row r="7" customFormat="false" ht="12.75" hidden="false" customHeight="false" outlineLevel="0" collapsed="false">
      <c r="E7" s="276"/>
      <c r="F7" s="277" t="n">
        <f aca="false">G7-1</f>
        <v>1999</v>
      </c>
      <c r="G7" s="109" t="n">
        <f aca="false">Assumptions!$D$12</f>
        <v>2000</v>
      </c>
      <c r="H7" s="109" t="n">
        <f aca="false">G7+1</f>
        <v>2001</v>
      </c>
      <c r="I7" s="109" t="n">
        <f aca="false">H7+1</f>
        <v>2002</v>
      </c>
      <c r="J7" s="109" t="n">
        <f aca="false">I7+1</f>
        <v>2003</v>
      </c>
      <c r="K7" s="109" t="n">
        <f aca="false">J7+1</f>
        <v>2004</v>
      </c>
      <c r="L7" s="109" t="n">
        <f aca="false">K7+1</f>
        <v>2005</v>
      </c>
      <c r="M7" s="109" t="n">
        <f aca="false">L7+1</f>
        <v>2006</v>
      </c>
      <c r="N7" s="109" t="n">
        <f aca="false">M7+1</f>
        <v>2007</v>
      </c>
      <c r="O7" s="109" t="n">
        <f aca="false">N7+1</f>
        <v>2008</v>
      </c>
      <c r="P7" s="109" t="n">
        <f aca="false">O7+1</f>
        <v>2009</v>
      </c>
      <c r="Q7" s="109" t="n">
        <f aca="false">P7+1</f>
        <v>2010</v>
      </c>
      <c r="R7" s="27"/>
    </row>
    <row r="8" customFormat="false" ht="12.75" hidden="false" customHeight="false" outlineLevel="0" collapsed="false">
      <c r="A8" s="45" t="s">
        <v>151</v>
      </c>
      <c r="E8" s="36"/>
      <c r="F8" s="278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27"/>
    </row>
    <row r="9" customFormat="false" ht="12.75" hidden="false" customHeight="false" outlineLevel="0" collapsed="false">
      <c r="E9" s="36"/>
      <c r="F9" s="278"/>
      <c r="H9" s="32"/>
      <c r="I9" s="32"/>
      <c r="J9" s="32"/>
      <c r="K9" s="32"/>
      <c r="L9" s="32"/>
      <c r="M9" s="32"/>
      <c r="N9" s="32"/>
      <c r="O9" s="32"/>
      <c r="P9" s="32"/>
      <c r="Q9" s="32"/>
      <c r="R9" s="27"/>
    </row>
    <row r="10" customFormat="false" ht="12.75" hidden="false" customHeight="false" outlineLevel="0" collapsed="false">
      <c r="D10" s="279"/>
      <c r="E10" s="36"/>
      <c r="F10" s="278"/>
      <c r="G10" s="232" t="str">
        <f aca="false">IF(C43=1,A46,IF(C43=2,A51,A54))</f>
        <v>1. Base Case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27"/>
    </row>
    <row r="11" customFormat="false" ht="12.75" hidden="false" customHeight="false" outlineLevel="0" collapsed="false">
      <c r="A11" s="280" t="s">
        <v>177</v>
      </c>
      <c r="B11" s="281"/>
      <c r="C11" s="282"/>
      <c r="D11" s="282"/>
      <c r="E11" s="283"/>
      <c r="F11" s="278" t="n">
        <f aca="false">F43</f>
        <v>109386</v>
      </c>
      <c r="G11" s="32" t="n">
        <f aca="false">G43</f>
        <v>109386</v>
      </c>
      <c r="H11" s="32" t="n">
        <f aca="false">H43</f>
        <v>109386</v>
      </c>
      <c r="I11" s="32" t="n">
        <f aca="false">I43</f>
        <v>109386</v>
      </c>
      <c r="J11" s="32" t="n">
        <f aca="false">J43</f>
        <v>109386</v>
      </c>
      <c r="K11" s="32" t="n">
        <f aca="false">K43</f>
        <v>109386</v>
      </c>
      <c r="L11" s="32" t="n">
        <f aca="false">L43</f>
        <v>109386</v>
      </c>
      <c r="M11" s="32" t="n">
        <f aca="false">M43</f>
        <v>109386</v>
      </c>
      <c r="N11" s="32" t="n">
        <f aca="false">N43</f>
        <v>109386</v>
      </c>
      <c r="O11" s="32" t="n">
        <f aca="false">O43</f>
        <v>109386</v>
      </c>
      <c r="P11" s="32" t="n">
        <f aca="false">P43</f>
        <v>109386</v>
      </c>
      <c r="Q11" s="32" t="n">
        <f aca="false">Q43</f>
        <v>109386</v>
      </c>
      <c r="R11" s="27"/>
    </row>
    <row r="12" customFormat="false" ht="12.75" hidden="false" customHeight="false" outlineLevel="0" collapsed="false">
      <c r="E12" s="36"/>
      <c r="F12" s="284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27"/>
    </row>
    <row r="13" customFormat="false" ht="12.75" hidden="false" customHeight="false" outlineLevel="0" collapsed="false">
      <c r="D13" s="279"/>
      <c r="E13" s="285"/>
      <c r="F13" s="278"/>
      <c r="G13" s="232" t="str">
        <f aca="false">IF(C60=1,A63,IF(C60=2,A68,A71))</f>
        <v>1. Base Case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27"/>
    </row>
    <row r="14" customFormat="false" ht="12.75" hidden="false" customHeight="false" outlineLevel="0" collapsed="false">
      <c r="A14" s="21" t="s">
        <v>178</v>
      </c>
      <c r="B14" s="286"/>
      <c r="C14" s="21"/>
      <c r="D14" s="282"/>
      <c r="E14" s="287"/>
      <c r="F14" s="278" t="n">
        <f aca="false">F60</f>
        <v>33894</v>
      </c>
      <c r="G14" s="32" t="n">
        <f aca="false">G60</f>
        <v>33894</v>
      </c>
      <c r="H14" s="32" t="n">
        <f aca="false">H60</f>
        <v>33894</v>
      </c>
      <c r="I14" s="32" t="n">
        <f aca="false">I60</f>
        <v>33894</v>
      </c>
      <c r="J14" s="32" t="n">
        <f aca="false">J60</f>
        <v>33894</v>
      </c>
      <c r="K14" s="32" t="n">
        <f aca="false">K60</f>
        <v>33894</v>
      </c>
      <c r="L14" s="32" t="n">
        <f aca="false">L60</f>
        <v>33894</v>
      </c>
      <c r="M14" s="32" t="n">
        <f aca="false">M60</f>
        <v>33894</v>
      </c>
      <c r="N14" s="32" t="n">
        <f aca="false">N60</f>
        <v>33894</v>
      </c>
      <c r="O14" s="32" t="n">
        <f aca="false">O60</f>
        <v>33894</v>
      </c>
      <c r="P14" s="32" t="n">
        <f aca="false">P60</f>
        <v>33894</v>
      </c>
      <c r="Q14" s="32" t="n">
        <f aca="false">Q60</f>
        <v>33894</v>
      </c>
      <c r="R14" s="27"/>
    </row>
    <row r="15" customFormat="false" ht="12.75" hidden="false" customHeight="false" outlineLevel="0" collapsed="false">
      <c r="A15" s="12" t="s">
        <v>156</v>
      </c>
      <c r="B15" s="12"/>
      <c r="C15" s="12"/>
      <c r="D15" s="192"/>
      <c r="E15" s="288"/>
      <c r="F15" s="289" t="n">
        <f aca="false">F11/F14</f>
        <v>3.22729686670207</v>
      </c>
      <c r="G15" s="195" t="n">
        <f aca="false">G11/G14</f>
        <v>3.22729686670207</v>
      </c>
      <c r="H15" s="195" t="n">
        <f aca="false">H11/H14</f>
        <v>3.22729686670207</v>
      </c>
      <c r="I15" s="195" t="n">
        <f aca="false">I11/I14</f>
        <v>3.22729686670207</v>
      </c>
      <c r="J15" s="195" t="n">
        <f aca="false">J11/J14</f>
        <v>3.22729686670207</v>
      </c>
      <c r="K15" s="195" t="n">
        <f aca="false">K11/K14</f>
        <v>3.22729686670207</v>
      </c>
      <c r="L15" s="195" t="n">
        <f aca="false">L11/L14</f>
        <v>3.22729686670207</v>
      </c>
      <c r="M15" s="195" t="n">
        <f aca="false">M11/M14</f>
        <v>3.22729686670207</v>
      </c>
      <c r="N15" s="195" t="n">
        <f aca="false">N11/N14</f>
        <v>3.22729686670207</v>
      </c>
      <c r="O15" s="195" t="n">
        <f aca="false">O11/O14</f>
        <v>3.22729686670207</v>
      </c>
      <c r="P15" s="195" t="n">
        <f aca="false">P11/P14</f>
        <v>3.22729686670207</v>
      </c>
      <c r="Q15" s="195" t="n">
        <f aca="false">Q11/Q14</f>
        <v>3.22729686670207</v>
      </c>
      <c r="R15" s="27"/>
    </row>
    <row r="16" customFormat="false" ht="12.75" hidden="false" customHeight="false" outlineLevel="0" collapsed="false">
      <c r="A16" s="113" t="s">
        <v>119</v>
      </c>
      <c r="B16" s="114"/>
      <c r="C16" s="114"/>
      <c r="D16" s="114"/>
      <c r="E16" s="290"/>
      <c r="F16" s="291" t="n">
        <f aca="false">(F11-F14)</f>
        <v>75492</v>
      </c>
      <c r="G16" s="115" t="n">
        <f aca="false">(G11-G14)</f>
        <v>75492</v>
      </c>
      <c r="H16" s="115" t="n">
        <f aca="false">(H11-H14)</f>
        <v>75492</v>
      </c>
      <c r="I16" s="115" t="n">
        <f aca="false">(I11-I14)</f>
        <v>75492</v>
      </c>
      <c r="J16" s="115" t="n">
        <f aca="false">(J11-J14)</f>
        <v>75492</v>
      </c>
      <c r="K16" s="115" t="n">
        <f aca="false">(K11-K14)</f>
        <v>75492</v>
      </c>
      <c r="L16" s="115" t="n">
        <f aca="false">(L11-L14)</f>
        <v>75492</v>
      </c>
      <c r="M16" s="115" t="n">
        <f aca="false">(M11-M14)</f>
        <v>75492</v>
      </c>
      <c r="N16" s="115" t="n">
        <f aca="false">(N11-N14)</f>
        <v>75492</v>
      </c>
      <c r="O16" s="115" t="n">
        <f aca="false">(O11-O14)</f>
        <v>75492</v>
      </c>
      <c r="P16" s="115" t="n">
        <f aca="false">(P11-P14)</f>
        <v>75492</v>
      </c>
      <c r="Q16" s="117" t="n">
        <f aca="false">(Q11-Q14)</f>
        <v>75492</v>
      </c>
      <c r="R16" s="183"/>
    </row>
    <row r="17" customFormat="false" ht="12.75" hidden="false" customHeight="false" outlineLevel="0" collapsed="false">
      <c r="E17" s="36"/>
      <c r="F17" s="278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27"/>
    </row>
    <row r="18" customFormat="false" ht="12.75" hidden="false" customHeight="false" outlineLevel="0" collapsed="false">
      <c r="A18" s="0" t="s">
        <v>157</v>
      </c>
      <c r="B18" s="201"/>
      <c r="E18" s="36"/>
      <c r="F18" s="278" t="n">
        <v>0</v>
      </c>
      <c r="G18" s="120" t="n">
        <f aca="false">G84</f>
        <v>13285.4057540438</v>
      </c>
      <c r="H18" s="120" t="n">
        <f aca="false">H84</f>
        <v>14916.3057540438</v>
      </c>
      <c r="I18" s="120" t="n">
        <f aca="false">I84</f>
        <v>16547.2057540438</v>
      </c>
      <c r="J18" s="120" t="n">
        <f aca="false">J84</f>
        <v>18178.1057540438</v>
      </c>
      <c r="K18" s="120" t="n">
        <f aca="false">K84</f>
        <v>19809.0057540438</v>
      </c>
      <c r="L18" s="120" t="n">
        <f aca="false">L84</f>
        <v>21439.9057540438</v>
      </c>
      <c r="M18" s="120" t="n">
        <f aca="false">M84</f>
        <v>23070.8057540438</v>
      </c>
      <c r="N18" s="120" t="n">
        <f aca="false">N84</f>
        <v>24701.7057540438</v>
      </c>
      <c r="O18" s="120" t="n">
        <f aca="false">O84</f>
        <v>26332.6057540438</v>
      </c>
      <c r="P18" s="120" t="n">
        <f aca="false">P84</f>
        <v>27963.5057540438</v>
      </c>
      <c r="Q18" s="120" t="n">
        <f aca="false">Q84</f>
        <v>29594.4057540438</v>
      </c>
      <c r="R18" s="27"/>
    </row>
    <row r="19" customFormat="false" ht="12.75" hidden="false" customHeight="false" outlineLevel="0" collapsed="false">
      <c r="E19" s="36"/>
      <c r="F19" s="278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7"/>
    </row>
    <row r="20" customFormat="false" ht="12.75" hidden="false" customHeight="false" outlineLevel="0" collapsed="false">
      <c r="A20" s="113" t="s">
        <v>122</v>
      </c>
      <c r="B20" s="114"/>
      <c r="C20" s="114"/>
      <c r="D20" s="114"/>
      <c r="E20" s="290"/>
      <c r="F20" s="291" t="n">
        <f aca="false">F16-F18</f>
        <v>75492</v>
      </c>
      <c r="G20" s="115" t="n">
        <f aca="false">G16-G18</f>
        <v>62206.5942459562</v>
      </c>
      <c r="H20" s="115" t="n">
        <f aca="false">H16-H18</f>
        <v>60575.6942459562</v>
      </c>
      <c r="I20" s="115" t="n">
        <f aca="false">I16-I18</f>
        <v>58944.7942459562</v>
      </c>
      <c r="J20" s="115" t="n">
        <f aca="false">J16-J18</f>
        <v>57313.8942459562</v>
      </c>
      <c r="K20" s="115" t="n">
        <f aca="false">K16-K18</f>
        <v>55682.9942459562</v>
      </c>
      <c r="L20" s="115" t="n">
        <f aca="false">L16-L18</f>
        <v>54052.0942459562</v>
      </c>
      <c r="M20" s="115" t="n">
        <f aca="false">M16-M18</f>
        <v>52421.1942459562</v>
      </c>
      <c r="N20" s="115" t="n">
        <f aca="false">N16-N18</f>
        <v>50790.2942459562</v>
      </c>
      <c r="O20" s="115" t="n">
        <f aca="false">O16-O18</f>
        <v>49159.3942459562</v>
      </c>
      <c r="P20" s="115" t="n">
        <f aca="false">P16-P18</f>
        <v>47528.4942459562</v>
      </c>
      <c r="Q20" s="117" t="n">
        <f aca="false">Q16-Q18</f>
        <v>45897.5942459562</v>
      </c>
      <c r="R20" s="27"/>
    </row>
    <row r="21" customFormat="false" ht="12.75" hidden="false" customHeight="false" outlineLevel="0" collapsed="false">
      <c r="E21" s="36"/>
      <c r="F21" s="278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27"/>
    </row>
    <row r="22" customFormat="false" ht="12.75" hidden="false" customHeight="false" outlineLevel="0" collapsed="false">
      <c r="A22" s="32" t="s">
        <v>159</v>
      </c>
      <c r="E22" s="216"/>
      <c r="F22" s="278"/>
      <c r="G22" s="32" t="n">
        <f aca="false">$B$24*(G16-G89)</f>
        <v>23949.5387846931</v>
      </c>
      <c r="H22" s="32" t="n">
        <f aca="false">$B$24*(H16-H89)</f>
        <v>18718.2491909169</v>
      </c>
      <c r="I22" s="32" t="n">
        <f aca="false">$B$24*(I16-I89)</f>
        <v>18497.0732718252</v>
      </c>
      <c r="J22" s="32" t="n">
        <f aca="false">$B$24*(J16-J89)</f>
        <v>18292.9000634274</v>
      </c>
      <c r="K22" s="32" t="n">
        <f aca="false">$B$24*(K16-K89)</f>
        <v>18113.6311605847</v>
      </c>
      <c r="L22" s="32" t="n">
        <f aca="false">$B$24*(L16-L89)</f>
        <v>17959.4499817276</v>
      </c>
      <c r="M22" s="32" t="n">
        <f aca="false">$B$24*(M16-M89)</f>
        <v>17514.6731029379</v>
      </c>
      <c r="N22" s="32" t="n">
        <f aca="false">$B$24*(N16-N89)</f>
        <v>16773.7552329379</v>
      </c>
      <c r="O22" s="32" t="n">
        <f aca="false">$B$24*(O16-O89)</f>
        <v>16022.6076005073</v>
      </c>
      <c r="P22" s="32" t="n">
        <f aca="false">$B$24*(P16-P89)</f>
        <v>15290.6636999379</v>
      </c>
      <c r="Q22" s="32" t="n">
        <f aca="false">$B$24*(Q16-Q89)</f>
        <v>14539.5160675073</v>
      </c>
      <c r="R22" s="27"/>
    </row>
    <row r="23" customFormat="false" ht="15" hidden="false" customHeight="false" outlineLevel="0" collapsed="false">
      <c r="A23" s="32" t="s">
        <v>160</v>
      </c>
      <c r="E23" s="292"/>
      <c r="F23" s="293"/>
      <c r="G23" s="116" t="n">
        <f aca="false">G24-G22</f>
        <v>0</v>
      </c>
      <c r="H23" s="116" t="n">
        <f aca="false">H24-H22</f>
        <v>4603.39309377619</v>
      </c>
      <c r="I23" s="116" t="n">
        <f aca="false">I24-I22</f>
        <v>4196.67251286788</v>
      </c>
      <c r="J23" s="116" t="n">
        <f aca="false">J24-J22</f>
        <v>3772.94922126571</v>
      </c>
      <c r="K23" s="116" t="n">
        <f aca="false">K24-K22</f>
        <v>3324.32162410846</v>
      </c>
      <c r="L23" s="116" t="n">
        <f aca="false">L24-L22</f>
        <v>2850.60630296549</v>
      </c>
      <c r="M23" s="116" t="n">
        <f aca="false">M24-M22</f>
        <v>2667.48668175524</v>
      </c>
      <c r="N23" s="116" t="n">
        <f aca="false">N24-N22</f>
        <v>2780.50805175524</v>
      </c>
      <c r="O23" s="116" t="n">
        <f aca="false">O24-O22</f>
        <v>2903.75918418585</v>
      </c>
      <c r="P23" s="116" t="n">
        <f aca="false">P24-P22</f>
        <v>3007.80658475524</v>
      </c>
      <c r="Q23" s="116" t="n">
        <f aca="false">Q24-Q22</f>
        <v>3131.05771718585</v>
      </c>
      <c r="R23" s="27"/>
    </row>
    <row r="24" customFormat="false" ht="12.75" hidden="false" customHeight="false" outlineLevel="0" collapsed="false">
      <c r="A24" s="209" t="s">
        <v>154</v>
      </c>
      <c r="B24" s="294" t="n">
        <f aca="false">Assumptions!D19</f>
        <v>0.385</v>
      </c>
      <c r="E24" s="216"/>
      <c r="F24" s="278" t="n">
        <v>0</v>
      </c>
      <c r="G24" s="32" t="n">
        <f aca="false">$B$24*G20</f>
        <v>23949.5387846931</v>
      </c>
      <c r="H24" s="32" t="n">
        <f aca="false">$B$24*H20</f>
        <v>23321.6422846931</v>
      </c>
      <c r="I24" s="32" t="n">
        <f aca="false">$B$24*I20</f>
        <v>22693.7457846931</v>
      </c>
      <c r="J24" s="32" t="n">
        <f aca="false">$B$24*J20</f>
        <v>22065.8492846931</v>
      </c>
      <c r="K24" s="32" t="n">
        <f aca="false">$B$24*K20</f>
        <v>21437.9527846931</v>
      </c>
      <c r="L24" s="32" t="n">
        <f aca="false">$B$24*L20</f>
        <v>20810.0562846931</v>
      </c>
      <c r="M24" s="32" t="n">
        <f aca="false">$B$24*M20</f>
        <v>20182.1597846931</v>
      </c>
      <c r="N24" s="32" t="n">
        <f aca="false">$B$24*N20</f>
        <v>19554.2632846931</v>
      </c>
      <c r="O24" s="32" t="n">
        <f aca="false">$B$24*O20</f>
        <v>18926.3667846931</v>
      </c>
      <c r="P24" s="32" t="n">
        <f aca="false">$B$24*P20</f>
        <v>18298.4702846931</v>
      </c>
      <c r="Q24" s="32" t="n">
        <f aca="false">$B$24*Q20</f>
        <v>17670.5737846931</v>
      </c>
      <c r="R24" s="27"/>
    </row>
    <row r="25" customFormat="false" ht="12.75" hidden="false" customHeight="false" outlineLevel="0" collapsed="false">
      <c r="A25" s="32"/>
      <c r="E25" s="36"/>
      <c r="F25" s="278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27"/>
    </row>
    <row r="26" customFormat="false" ht="12.75" hidden="false" customHeight="false" outlineLevel="0" collapsed="false">
      <c r="A26" s="295" t="s">
        <v>126</v>
      </c>
      <c r="B26" s="114"/>
      <c r="C26" s="114"/>
      <c r="D26" s="114"/>
      <c r="E26" s="296"/>
      <c r="F26" s="291" t="n">
        <f aca="false">F20-F24</f>
        <v>75492</v>
      </c>
      <c r="G26" s="115" t="n">
        <f aca="false">G20-G24</f>
        <v>38257.0554612631</v>
      </c>
      <c r="H26" s="115" t="n">
        <f aca="false">H20-H24</f>
        <v>37254.0519612631</v>
      </c>
      <c r="I26" s="115" t="n">
        <f aca="false">I20-I24</f>
        <v>36251.048461263</v>
      </c>
      <c r="J26" s="115" t="n">
        <f aca="false">J20-J24</f>
        <v>35248.0449612631</v>
      </c>
      <c r="K26" s="115" t="n">
        <f aca="false">K20-K24</f>
        <v>34245.0414612631</v>
      </c>
      <c r="L26" s="115" t="n">
        <f aca="false">L20-L24</f>
        <v>33242.0379612631</v>
      </c>
      <c r="M26" s="115" t="n">
        <f aca="false">M20-M24</f>
        <v>32239.0344612631</v>
      </c>
      <c r="N26" s="115" t="n">
        <f aca="false">N20-N24</f>
        <v>31236.0309612631</v>
      </c>
      <c r="O26" s="115" t="n">
        <f aca="false">O20-O24</f>
        <v>30233.0274612631</v>
      </c>
      <c r="P26" s="115" t="n">
        <f aca="false">P20-P24</f>
        <v>29230.0239612631</v>
      </c>
      <c r="Q26" s="117" t="n">
        <f aca="false">Q20-Q24</f>
        <v>28227.020461263</v>
      </c>
    </row>
    <row r="27" customFormat="false" ht="12.75" hidden="false" customHeight="false" outlineLevel="0" collapsed="false">
      <c r="A27" s="32"/>
      <c r="E27" s="36"/>
      <c r="F27" s="278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217" t="s">
        <v>119</v>
      </c>
    </row>
    <row r="28" customFormat="false" ht="12.75" hidden="false" customHeight="false" outlineLevel="0" collapsed="false">
      <c r="A28" s="32" t="s">
        <v>161</v>
      </c>
      <c r="E28" s="36"/>
      <c r="F28" s="278" t="n">
        <f aca="false">F26+F23+F18</f>
        <v>75492</v>
      </c>
      <c r="G28" s="32" t="n">
        <f aca="false">G26+G23+G18</f>
        <v>51542.4612153069</v>
      </c>
      <c r="H28" s="32" t="n">
        <f aca="false">H26+H23+H18</f>
        <v>56773.7508090831</v>
      </c>
      <c r="I28" s="32" t="n">
        <f aca="false">I26+I23+I18</f>
        <v>56994.9267281747</v>
      </c>
      <c r="J28" s="32" t="n">
        <f aca="false">J26+J23+J18</f>
        <v>57199.0999365726</v>
      </c>
      <c r="K28" s="32" t="n">
        <f aca="false">K26+K23+K18</f>
        <v>57378.3688394153</v>
      </c>
      <c r="L28" s="32" t="n">
        <f aca="false">L26+L23+L18</f>
        <v>57532.5500182724</v>
      </c>
      <c r="M28" s="32" t="n">
        <f aca="false">M26+M23+M18</f>
        <v>57977.3268970621</v>
      </c>
      <c r="N28" s="32" t="n">
        <f aca="false">N26+N23+N18</f>
        <v>58718.2447670621</v>
      </c>
      <c r="O28" s="32" t="n">
        <f aca="false">O26+O23+O18</f>
        <v>59469.3923994927</v>
      </c>
      <c r="P28" s="32" t="n">
        <f aca="false">P26+P23+P18</f>
        <v>60201.3363000621</v>
      </c>
      <c r="Q28" s="32" t="n">
        <f aca="false">Q26+Q23+Q18</f>
        <v>60952.4839324927</v>
      </c>
      <c r="R28" s="217" t="s">
        <v>162</v>
      </c>
    </row>
    <row r="29" customFormat="false" ht="12.75" hidden="false" customHeight="false" outlineLevel="0" collapsed="false">
      <c r="A29" s="32" t="s">
        <v>132</v>
      </c>
      <c r="B29" s="297" t="n">
        <f aca="false">Assumptions!C38</f>
        <v>1</v>
      </c>
      <c r="E29" s="36"/>
      <c r="F29" s="278" t="n">
        <f aca="false">F77</f>
        <v>32618</v>
      </c>
      <c r="G29" s="32" t="n">
        <f aca="false">G77</f>
        <v>32618</v>
      </c>
      <c r="H29" s="32" t="n">
        <f aca="false">H77</f>
        <v>32618</v>
      </c>
      <c r="I29" s="32" t="n">
        <f aca="false">I77</f>
        <v>32618</v>
      </c>
      <c r="J29" s="32" t="n">
        <f aca="false">J77</f>
        <v>32618</v>
      </c>
      <c r="K29" s="32" t="n">
        <f aca="false">K77</f>
        <v>32618</v>
      </c>
      <c r="L29" s="32" t="n">
        <f aca="false">L77</f>
        <v>32618</v>
      </c>
      <c r="M29" s="32" t="n">
        <f aca="false">M77</f>
        <v>32618</v>
      </c>
      <c r="N29" s="32" t="n">
        <f aca="false">N77</f>
        <v>32618</v>
      </c>
      <c r="O29" s="32" t="n">
        <f aca="false">O77</f>
        <v>32618</v>
      </c>
      <c r="P29" s="32" t="n">
        <f aca="false">P77</f>
        <v>32618</v>
      </c>
      <c r="Q29" s="32" t="n">
        <f aca="false">Q77</f>
        <v>32618</v>
      </c>
      <c r="R29" s="298" t="n">
        <f aca="false">Assumptions!E37</f>
        <v>5</v>
      </c>
    </row>
    <row r="30" customFormat="false" ht="12.75" hidden="false" customHeight="false" outlineLevel="0" collapsed="false">
      <c r="A30" s="299" t="s">
        <v>164</v>
      </c>
      <c r="B30" s="114"/>
      <c r="C30" s="114"/>
      <c r="D30" s="114"/>
      <c r="E30" s="290"/>
      <c r="F30" s="291" t="n">
        <f aca="false">F28-F29</f>
        <v>42874</v>
      </c>
      <c r="G30" s="115" t="n">
        <f aca="false">G28-G29</f>
        <v>18924.4612153069</v>
      </c>
      <c r="H30" s="115" t="n">
        <f aca="false">H28-H29</f>
        <v>24155.7508090831</v>
      </c>
      <c r="I30" s="115" t="n">
        <f aca="false">I28-I29</f>
        <v>24376.9267281747</v>
      </c>
      <c r="J30" s="115" t="n">
        <f aca="false">J28-J29</f>
        <v>24581.0999365726</v>
      </c>
      <c r="K30" s="115" t="n">
        <f aca="false">K28-K29</f>
        <v>24760.3688394153</v>
      </c>
      <c r="L30" s="115" t="n">
        <f aca="false">L28-L29</f>
        <v>24914.5500182724</v>
      </c>
      <c r="M30" s="115" t="n">
        <f aca="false">M28-M29</f>
        <v>25359.3268970621</v>
      </c>
      <c r="N30" s="115" t="n">
        <f aca="false">N28-N29</f>
        <v>26100.2447670621</v>
      </c>
      <c r="O30" s="115" t="n">
        <f aca="false">O28-O29</f>
        <v>26851.3923994927</v>
      </c>
      <c r="P30" s="115" t="n">
        <f aca="false">P28-P29</f>
        <v>27583.3363000621</v>
      </c>
      <c r="Q30" s="115" t="n">
        <f aca="false">Q28-Q29</f>
        <v>28334.4839324927</v>
      </c>
      <c r="R30" s="117" t="n">
        <f aca="false">Q16*$R$29</f>
        <v>377460</v>
      </c>
    </row>
    <row r="31" customFormat="false" ht="12.75" hidden="false" customHeight="false" outlineLevel="0" collapsed="false">
      <c r="A31" s="209"/>
      <c r="D31" s="52" t="s">
        <v>102</v>
      </c>
      <c r="E31" s="300" t="n">
        <f aca="false">IRR(F31:R31)</f>
        <v>0.125000005985759</v>
      </c>
      <c r="F31" s="278" t="n">
        <f aca="false">-Asset1PurPrice</f>
        <v>-233090.115080876</v>
      </c>
      <c r="G31" s="32" t="n">
        <f aca="false">G30</f>
        <v>18924.4612153069</v>
      </c>
      <c r="H31" s="32" t="n">
        <f aca="false">H30</f>
        <v>24155.7508090831</v>
      </c>
      <c r="I31" s="32" t="n">
        <f aca="false">I30</f>
        <v>24376.9267281747</v>
      </c>
      <c r="J31" s="32" t="n">
        <f aca="false">J30</f>
        <v>24581.0999365726</v>
      </c>
      <c r="K31" s="32" t="n">
        <f aca="false">K30</f>
        <v>24760.3688394153</v>
      </c>
      <c r="L31" s="32" t="n">
        <f aca="false">L30</f>
        <v>24914.5500182724</v>
      </c>
      <c r="M31" s="32" t="n">
        <f aca="false">M30</f>
        <v>25359.3268970621</v>
      </c>
      <c r="N31" s="32" t="n">
        <f aca="false">N30</f>
        <v>26100.2447670621</v>
      </c>
      <c r="O31" s="32" t="n">
        <f aca="false">O30</f>
        <v>26851.3923994927</v>
      </c>
      <c r="P31" s="32" t="n">
        <f aca="false">P30</f>
        <v>27583.3363000621</v>
      </c>
      <c r="Q31" s="32" t="n">
        <f aca="false">Q30</f>
        <v>28334.4839324927</v>
      </c>
      <c r="R31" s="32" t="n">
        <f aca="false">R30</f>
        <v>377460</v>
      </c>
    </row>
    <row r="32" customFormat="false" ht="13.5" hidden="false" customHeight="false" outlineLevel="0" collapsed="false">
      <c r="R32" s="32"/>
    </row>
    <row r="33" customFormat="false" ht="15" hidden="false" customHeight="false" outlineLevel="0" collapsed="false">
      <c r="F33" s="0"/>
      <c r="G33" s="301" t="s">
        <v>169</v>
      </c>
      <c r="H33" s="302" t="str">
        <f aca="false">(Assumptions!D12-1&amp;" EBITDA")</f>
        <v>1999 EBITDA</v>
      </c>
      <c r="I33" s="302" t="s">
        <v>179</v>
      </c>
      <c r="J33" s="303"/>
      <c r="K33" s="304" t="s">
        <v>170</v>
      </c>
      <c r="L33" s="304"/>
      <c r="M33" s="304"/>
      <c r="P33" s="32"/>
      <c r="Q33" s="32"/>
      <c r="R33" s="32"/>
    </row>
    <row r="34" customFormat="false" ht="15" hidden="false" customHeight="false" outlineLevel="0" collapsed="false">
      <c r="F34" s="0"/>
      <c r="G34" s="305" t="s">
        <v>171</v>
      </c>
      <c r="H34" s="306" t="s">
        <v>172</v>
      </c>
      <c r="I34" s="306" t="s">
        <v>180</v>
      </c>
      <c r="J34" s="307"/>
      <c r="K34" s="308" t="n">
        <f aca="false">Asset1Drate-0.025</f>
        <v>0.1</v>
      </c>
      <c r="L34" s="308" t="n">
        <f aca="false">Assumptions!H37</f>
        <v>0.125</v>
      </c>
      <c r="M34" s="309" t="n">
        <f aca="false">Asset1Drate+0.025</f>
        <v>0.15</v>
      </c>
      <c r="P34" s="32"/>
      <c r="Q34" s="32"/>
      <c r="R34" s="32"/>
    </row>
    <row r="35" customFormat="false" ht="12.75" hidden="false" customHeight="false" outlineLevel="0" collapsed="false">
      <c r="F35" s="52" t="s">
        <v>174</v>
      </c>
      <c r="G35" s="248"/>
      <c r="H35" s="310"/>
      <c r="I35" s="310"/>
      <c r="J35" s="249"/>
      <c r="K35" s="249"/>
      <c r="L35" s="249"/>
      <c r="M35" s="251"/>
      <c r="P35" s="32"/>
      <c r="Q35" s="32"/>
      <c r="R35" s="32"/>
    </row>
    <row r="36" customFormat="false" ht="13.5" hidden="false" customHeight="false" outlineLevel="0" collapsed="false">
      <c r="F36" s="0" t="n">
        <f aca="false">IF(ABS(G36-L36)&lt;0.05,0,1)</f>
        <v>0</v>
      </c>
      <c r="G36" s="311" t="n">
        <v>233090.115080876</v>
      </c>
      <c r="H36" s="312" t="n">
        <f aca="false">G36/F16</f>
        <v>3.08761345680173</v>
      </c>
      <c r="I36" s="313" t="str">
        <f aca="false">Assumptions!D40</f>
        <v>ETS</v>
      </c>
      <c r="J36" s="314"/>
      <c r="K36" s="315" t="n">
        <f aca="false">NPV(K34,$G$30:$R$30)</f>
        <v>279122.244142899</v>
      </c>
      <c r="L36" s="316" t="n">
        <f aca="false">NPV(L34,$G$30:$R$30)</f>
        <v>233090.124793623</v>
      </c>
      <c r="M36" s="317" t="n">
        <f aca="false">NPV(M34,$G$30:$R$30)</f>
        <v>197042.3720278</v>
      </c>
      <c r="P36" s="32"/>
      <c r="Q36" s="32"/>
      <c r="R36" s="32"/>
    </row>
    <row r="37" customFormat="false" ht="12.75" hidden="false" customHeight="false" outlineLevel="0" collapsed="false">
      <c r="F37" s="0"/>
      <c r="G37" s="32"/>
      <c r="H37" s="318"/>
      <c r="I37" s="318"/>
      <c r="J37" s="32"/>
      <c r="K37" s="32"/>
      <c r="L37" s="32"/>
      <c r="M37" s="32"/>
      <c r="P37" s="32"/>
      <c r="Q37" s="32"/>
      <c r="R37" s="32"/>
    </row>
    <row r="38" customFormat="false" ht="12.75" hidden="false" customHeight="false" outlineLevel="0" collapsed="false">
      <c r="F38" s="32"/>
      <c r="G38" s="32"/>
      <c r="H38" s="32"/>
      <c r="I38" s="32"/>
      <c r="J38" s="32"/>
      <c r="K38" s="32"/>
      <c r="L38" s="32"/>
      <c r="N38" s="32"/>
      <c r="O38" s="32"/>
      <c r="P38" s="32"/>
      <c r="Q38" s="32"/>
    </row>
    <row r="39" customFormat="false" ht="12.75" hidden="false" customHeight="false" outlineLevel="0" collapsed="false">
      <c r="E39" s="32"/>
      <c r="F39" s="32"/>
      <c r="G39" s="32"/>
      <c r="I39" s="27"/>
      <c r="J39" s="27"/>
      <c r="K39" s="27"/>
      <c r="L39" s="27"/>
      <c r="M39" s="27"/>
      <c r="N39" s="27"/>
      <c r="O39" s="27"/>
      <c r="P39" s="27"/>
      <c r="Q39" s="27"/>
    </row>
    <row r="40" customFormat="false" ht="12.75" hidden="false" customHeight="false" outlineLevel="0" collapsed="false">
      <c r="E40" s="32"/>
      <c r="F40" s="32"/>
      <c r="G40" s="32"/>
      <c r="H40" s="32"/>
      <c r="I40" s="27"/>
      <c r="J40" s="27"/>
      <c r="K40" s="27"/>
      <c r="L40" s="27"/>
      <c r="M40" s="27"/>
      <c r="N40" s="27"/>
      <c r="O40" s="27"/>
      <c r="P40" s="27"/>
      <c r="Q40" s="27"/>
    </row>
    <row r="41" customFormat="false" ht="13.5" hidden="false" customHeight="false" outlineLevel="0" collapsed="false">
      <c r="A41" s="13" t="s">
        <v>181</v>
      </c>
    </row>
    <row r="42" customFormat="false" ht="13.5" hidden="false" customHeight="false" outlineLevel="0" collapsed="false">
      <c r="B42" s="319" t="s">
        <v>182</v>
      </c>
      <c r="C42" s="320" t="s">
        <v>183</v>
      </c>
      <c r="F42" s="321" t="n">
        <f aca="false">G42-1</f>
        <v>1999</v>
      </c>
      <c r="G42" s="13" t="n">
        <f aca="false">Assumptions!D12</f>
        <v>2000</v>
      </c>
      <c r="H42" s="13" t="n">
        <f aca="false">G42+1</f>
        <v>2001</v>
      </c>
      <c r="I42" s="13" t="n">
        <f aca="false">H42+1</f>
        <v>2002</v>
      </c>
      <c r="J42" s="13" t="n">
        <f aca="false">I42+1</f>
        <v>2003</v>
      </c>
      <c r="K42" s="13" t="n">
        <f aca="false">J42+1</f>
        <v>2004</v>
      </c>
      <c r="L42" s="13" t="n">
        <f aca="false">K42+1</f>
        <v>2005</v>
      </c>
      <c r="M42" s="13" t="n">
        <f aca="false">L42+1</f>
        <v>2006</v>
      </c>
      <c r="N42" s="13" t="n">
        <f aca="false">M42+1</f>
        <v>2007</v>
      </c>
      <c r="O42" s="13" t="n">
        <f aca="false">N42+1</f>
        <v>2008</v>
      </c>
      <c r="P42" s="13" t="n">
        <f aca="false">O42+1</f>
        <v>2009</v>
      </c>
      <c r="Q42" s="13" t="n">
        <f aca="false">P42+1</f>
        <v>2010</v>
      </c>
    </row>
    <row r="43" customFormat="false" ht="13.5" hidden="false" customHeight="false" outlineLevel="0" collapsed="false">
      <c r="A43" s="322" t="str">
        <f aca="false">A2</f>
        <v>  T&amp;S - Cash Flow Analysis</v>
      </c>
      <c r="B43" s="323" t="n">
        <f aca="false">Assumptions!C38</f>
        <v>1</v>
      </c>
      <c r="C43" s="324" t="n">
        <v>1</v>
      </c>
      <c r="D43" s="114"/>
      <c r="E43" s="325"/>
      <c r="F43" s="291" t="n">
        <f aca="false">F48*$B$43</f>
        <v>109386</v>
      </c>
      <c r="G43" s="115" t="n">
        <f aca="false">CHOOSE($C$43,G48,G51,G54)*$B$43+G44</f>
        <v>109386</v>
      </c>
      <c r="H43" s="115" t="n">
        <f aca="false">CHOOSE($C$43,H48,H51,H54)*$B$43+H44</f>
        <v>109386</v>
      </c>
      <c r="I43" s="115" t="n">
        <f aca="false">CHOOSE($C$43,I48,I51,I54)*$B$43+I44</f>
        <v>109386</v>
      </c>
      <c r="J43" s="115" t="n">
        <f aca="false">CHOOSE($C$43,J48,J51,J54)*$B$43+J44</f>
        <v>109386</v>
      </c>
      <c r="K43" s="115" t="n">
        <f aca="false">CHOOSE($C$43,K48,K51,K54)*$B$43+K44</f>
        <v>109386</v>
      </c>
      <c r="L43" s="115" t="n">
        <f aca="false">CHOOSE($C$43,L48,L51,L54)*$B$43+L44</f>
        <v>109386</v>
      </c>
      <c r="M43" s="115" t="n">
        <f aca="false">CHOOSE($C$43,M48,M51,M54)*$B$43+M44</f>
        <v>109386</v>
      </c>
      <c r="N43" s="115" t="n">
        <f aca="false">CHOOSE($C$43,N48,N51,N54)*$B$43+N44</f>
        <v>109386</v>
      </c>
      <c r="O43" s="115" t="n">
        <f aca="false">CHOOSE($C$43,O48,O51,O54)*$B$43+O44</f>
        <v>109386</v>
      </c>
      <c r="P43" s="115" t="n">
        <f aca="false">CHOOSE($C$43,P48,P51,P54)*$B$43+P44</f>
        <v>109386</v>
      </c>
      <c r="Q43" s="117" t="n">
        <f aca="false">CHOOSE($C$43,Q48,Q51,Q54)*$B$43+Q44</f>
        <v>109386</v>
      </c>
    </row>
    <row r="44" customFormat="false" ht="12.75" hidden="false" customHeight="false" outlineLevel="0" collapsed="false">
      <c r="C44" s="326"/>
      <c r="F44" s="284" t="s">
        <v>184</v>
      </c>
      <c r="G44" s="32" t="n">
        <v>0</v>
      </c>
      <c r="H44" s="32" t="n">
        <v>0</v>
      </c>
      <c r="I44" s="32" t="n">
        <v>0</v>
      </c>
      <c r="J44" s="32" t="n">
        <v>0</v>
      </c>
      <c r="K44" s="32" t="n">
        <v>0</v>
      </c>
      <c r="L44" s="32" t="n">
        <v>0</v>
      </c>
      <c r="M44" s="32" t="n">
        <v>0</v>
      </c>
      <c r="N44" s="32" t="n">
        <v>0</v>
      </c>
      <c r="O44" s="32" t="n">
        <v>0</v>
      </c>
      <c r="P44" s="32" t="n">
        <v>0</v>
      </c>
      <c r="Q44" s="32" t="n">
        <v>0</v>
      </c>
    </row>
    <row r="45" customFormat="false" ht="12.75" hidden="false" customHeight="false" outlineLevel="0" collapsed="false">
      <c r="C45" s="327"/>
      <c r="D45" s="279"/>
      <c r="F45" s="209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customFormat="false" ht="12.75" hidden="false" customHeight="false" outlineLevel="0" collapsed="false">
      <c r="A46" s="12" t="str">
        <f aca="false">Assumptions!B58</f>
        <v>1. Base Case</v>
      </c>
      <c r="C46" s="327" t="n">
        <v>1</v>
      </c>
    </row>
    <row r="47" customFormat="false" ht="15" hidden="false" customHeight="false" outlineLevel="0" collapsed="false">
      <c r="A47" s="0" t="s">
        <v>185</v>
      </c>
      <c r="C47" s="327"/>
      <c r="D47" s="328"/>
      <c r="E47" s="36"/>
      <c r="F47" s="293" t="n">
        <v>109386</v>
      </c>
      <c r="G47" s="116" t="n">
        <f aca="false">F47</f>
        <v>109386</v>
      </c>
      <c r="H47" s="116" t="n">
        <f aca="false">G47</f>
        <v>109386</v>
      </c>
      <c r="I47" s="116" t="n">
        <f aca="false">H47</f>
        <v>109386</v>
      </c>
      <c r="J47" s="116" t="n">
        <f aca="false">I47</f>
        <v>109386</v>
      </c>
      <c r="K47" s="116" t="n">
        <f aca="false">J47</f>
        <v>109386</v>
      </c>
      <c r="L47" s="116" t="n">
        <f aca="false">K47</f>
        <v>109386</v>
      </c>
      <c r="M47" s="116" t="n">
        <f aca="false">L47</f>
        <v>109386</v>
      </c>
      <c r="N47" s="116" t="n">
        <f aca="false">M47</f>
        <v>109386</v>
      </c>
      <c r="O47" s="116" t="n">
        <f aca="false">N47</f>
        <v>109386</v>
      </c>
      <c r="P47" s="116" t="n">
        <f aca="false">O47</f>
        <v>109386</v>
      </c>
      <c r="Q47" s="116" t="n">
        <f aca="false">P47</f>
        <v>109386</v>
      </c>
    </row>
    <row r="48" customFormat="false" ht="12.75" hidden="false" customHeight="false" outlineLevel="0" collapsed="false">
      <c r="A48" s="190" t="s">
        <v>154</v>
      </c>
      <c r="B48" s="329" t="n">
        <v>1</v>
      </c>
      <c r="C48" s="327"/>
      <c r="D48" s="282"/>
      <c r="E48" s="283"/>
      <c r="F48" s="278" t="n">
        <f aca="false">SUM(F47)*$B$48</f>
        <v>109386</v>
      </c>
      <c r="G48" s="32" t="n">
        <f aca="false">SUM(G47)*$B$48+G49</f>
        <v>109386</v>
      </c>
      <c r="H48" s="32" t="n">
        <f aca="false">SUM(H47)*$B$48+H49</f>
        <v>109386</v>
      </c>
      <c r="I48" s="32" t="n">
        <f aca="false">SUM(I47)*$B$48+I49</f>
        <v>109386</v>
      </c>
      <c r="J48" s="32" t="n">
        <f aca="false">SUM(J47)*$B$48+J49</f>
        <v>109386</v>
      </c>
      <c r="K48" s="32" t="n">
        <f aca="false">SUM(K47)*$B$48+K49</f>
        <v>109386</v>
      </c>
      <c r="L48" s="32" t="n">
        <f aca="false">SUM(L47)*$B$48+L49</f>
        <v>109386</v>
      </c>
      <c r="M48" s="32" t="n">
        <f aca="false">SUM(M47)*$B$48+M49</f>
        <v>109386</v>
      </c>
      <c r="N48" s="32" t="n">
        <f aca="false">SUM(N47)*$B$48+N49</f>
        <v>109386</v>
      </c>
      <c r="O48" s="32" t="n">
        <f aca="false">SUM(O47)*$B$48+O49</f>
        <v>109386</v>
      </c>
      <c r="P48" s="32" t="n">
        <f aca="false">SUM(P47)*$B$48+P49</f>
        <v>109386</v>
      </c>
      <c r="Q48" s="32" t="n">
        <f aca="false">SUM(Q47)*$B$48+Q49</f>
        <v>109386</v>
      </c>
    </row>
    <row r="49" customFormat="false" ht="12.75" hidden="false" customHeight="false" outlineLevel="0" collapsed="false">
      <c r="C49" s="327"/>
      <c r="F49" s="284" t="s">
        <v>184</v>
      </c>
      <c r="G49" s="32" t="n">
        <v>0</v>
      </c>
      <c r="H49" s="32" t="n">
        <v>0</v>
      </c>
      <c r="I49" s="32" t="n">
        <f aca="false">H49</f>
        <v>0</v>
      </c>
      <c r="J49" s="32" t="n">
        <f aca="false">I49</f>
        <v>0</v>
      </c>
      <c r="K49" s="32" t="n">
        <f aca="false">J49</f>
        <v>0</v>
      </c>
      <c r="L49" s="32" t="n">
        <f aca="false">K49</f>
        <v>0</v>
      </c>
      <c r="M49" s="32" t="n">
        <f aca="false">L49</f>
        <v>0</v>
      </c>
      <c r="N49" s="32" t="n">
        <f aca="false">M49</f>
        <v>0</v>
      </c>
      <c r="O49" s="32" t="n">
        <f aca="false">N49</f>
        <v>0</v>
      </c>
      <c r="P49" s="32" t="n">
        <f aca="false">O49</f>
        <v>0</v>
      </c>
      <c r="Q49" s="32" t="n">
        <f aca="false">P49</f>
        <v>0</v>
      </c>
    </row>
    <row r="50" customFormat="false" ht="12.75" hidden="false" customHeight="false" outlineLevel="0" collapsed="false">
      <c r="C50" s="327"/>
    </row>
    <row r="51" customFormat="false" ht="12.75" hidden="false" customHeight="false" outlineLevel="0" collapsed="false">
      <c r="A51" s="12" t="str">
        <f aca="false">Assumptions!B59</f>
        <v>2. Optimistic</v>
      </c>
      <c r="B51" s="329" t="n">
        <v>1.02</v>
      </c>
      <c r="C51" s="327" t="n">
        <v>2</v>
      </c>
      <c r="D51" s="282"/>
      <c r="F51" s="278" t="n">
        <f aca="false">F48</f>
        <v>109386</v>
      </c>
      <c r="G51" s="133" t="n">
        <f aca="false">F51*$B$51+G52</f>
        <v>111573.72</v>
      </c>
      <c r="H51" s="133" t="n">
        <f aca="false">G51*$B$51+H52</f>
        <v>113805.1944</v>
      </c>
      <c r="I51" s="133" t="n">
        <f aca="false">H51*$B$51+I52</f>
        <v>116081.298288</v>
      </c>
      <c r="J51" s="133" t="n">
        <f aca="false">I51*$B$51+J52</f>
        <v>118402.92425376</v>
      </c>
      <c r="K51" s="133" t="n">
        <f aca="false">J51*$B$51+K52</f>
        <v>120770.982738835</v>
      </c>
      <c r="L51" s="133" t="n">
        <f aca="false">K51*$B$51+L52</f>
        <v>123186.402393612</v>
      </c>
      <c r="M51" s="133" t="n">
        <f aca="false">L51*$B$51+M52</f>
        <v>125650.130441484</v>
      </c>
      <c r="N51" s="133" t="n">
        <f aca="false">M51*$B$51+N52</f>
        <v>128163.133050314</v>
      </c>
      <c r="O51" s="133" t="n">
        <f aca="false">N51*$B$51+O52</f>
        <v>130726.39571132</v>
      </c>
      <c r="P51" s="133" t="n">
        <f aca="false">O51*$B$51+P52</f>
        <v>133340.923625547</v>
      </c>
      <c r="Q51" s="133" t="n">
        <f aca="false">P51*$B$51+Q52</f>
        <v>136007.742098057</v>
      </c>
    </row>
    <row r="52" customFormat="false" ht="12.75" hidden="false" customHeight="false" outlineLevel="0" collapsed="false">
      <c r="C52" s="327"/>
      <c r="F52" s="284" t="s">
        <v>184</v>
      </c>
      <c r="G52" s="32" t="n">
        <v>0</v>
      </c>
      <c r="H52" s="32" t="n">
        <v>0</v>
      </c>
      <c r="I52" s="32" t="n">
        <f aca="false">H52</f>
        <v>0</v>
      </c>
      <c r="J52" s="32" t="n">
        <f aca="false">I52</f>
        <v>0</v>
      </c>
      <c r="K52" s="32" t="n">
        <f aca="false">J52</f>
        <v>0</v>
      </c>
      <c r="L52" s="32" t="n">
        <f aca="false">K52</f>
        <v>0</v>
      </c>
      <c r="M52" s="32" t="n">
        <f aca="false">L52</f>
        <v>0</v>
      </c>
      <c r="N52" s="32" t="n">
        <f aca="false">M52</f>
        <v>0</v>
      </c>
      <c r="O52" s="32" t="n">
        <f aca="false">N52</f>
        <v>0</v>
      </c>
      <c r="P52" s="32" t="n">
        <f aca="false">O52</f>
        <v>0</v>
      </c>
      <c r="Q52" s="32" t="n">
        <f aca="false">P52</f>
        <v>0</v>
      </c>
    </row>
    <row r="53" customFormat="false" ht="12.75" hidden="false" customHeight="false" outlineLevel="0" collapsed="false">
      <c r="C53" s="327"/>
    </row>
    <row r="54" customFormat="false" ht="12.75" hidden="false" customHeight="false" outlineLevel="0" collapsed="false">
      <c r="A54" s="12" t="str">
        <f aca="false">Assumptions!B60</f>
        <v>3. Pessimistic</v>
      </c>
      <c r="B54" s="329" t="n">
        <v>0.99</v>
      </c>
      <c r="C54" s="327" t="n">
        <v>3</v>
      </c>
      <c r="D54" s="282"/>
      <c r="F54" s="278" t="n">
        <f aca="false">F48</f>
        <v>109386</v>
      </c>
      <c r="G54" s="133" t="n">
        <f aca="false">F54*$B$54+G55</f>
        <v>108292.14</v>
      </c>
      <c r="H54" s="133" t="n">
        <f aca="false">G54*$B$54+H55</f>
        <v>107209.2186</v>
      </c>
      <c r="I54" s="133" t="n">
        <f aca="false">H54*$B$54+I55</f>
        <v>106137.126414</v>
      </c>
      <c r="J54" s="133" t="n">
        <f aca="false">I54*$B$54+J55</f>
        <v>105075.75514986</v>
      </c>
      <c r="K54" s="133" t="n">
        <f aca="false">J54*$B$54+K55</f>
        <v>104024.997598361</v>
      </c>
      <c r="L54" s="133" t="n">
        <f aca="false">K54*$B$54+L55</f>
        <v>102984.747622378</v>
      </c>
      <c r="M54" s="133" t="n">
        <f aca="false">L54*$B$54+M55</f>
        <v>101954.900146154</v>
      </c>
      <c r="N54" s="133" t="n">
        <f aca="false">M54*$B$54+N55</f>
        <v>100935.351144692</v>
      </c>
      <c r="O54" s="133" t="n">
        <f aca="false">N54*$B$54+O55</f>
        <v>99925.9976332455</v>
      </c>
      <c r="P54" s="133" t="n">
        <f aca="false">O54*$B$54+P55</f>
        <v>98926.7376569131</v>
      </c>
      <c r="Q54" s="133" t="n">
        <f aca="false">P54*$B$54+Q55</f>
        <v>97937.470280344</v>
      </c>
    </row>
    <row r="55" customFormat="false" ht="13.5" hidden="false" customHeight="false" outlineLevel="0" collapsed="false">
      <c r="C55" s="330"/>
      <c r="F55" s="284" t="s">
        <v>184</v>
      </c>
      <c r="G55" s="32" t="n">
        <v>0</v>
      </c>
      <c r="H55" s="32" t="n">
        <v>0</v>
      </c>
      <c r="I55" s="32" t="n">
        <f aca="false">H55</f>
        <v>0</v>
      </c>
      <c r="J55" s="32" t="n">
        <f aca="false">I55</f>
        <v>0</v>
      </c>
      <c r="K55" s="32" t="n">
        <f aca="false">J55</f>
        <v>0</v>
      </c>
      <c r="L55" s="32" t="n">
        <f aca="false">K55</f>
        <v>0</v>
      </c>
      <c r="M55" s="32" t="n">
        <f aca="false">L55</f>
        <v>0</v>
      </c>
      <c r="N55" s="32" t="n">
        <f aca="false">M55</f>
        <v>0</v>
      </c>
      <c r="O55" s="32" t="n">
        <f aca="false">N55</f>
        <v>0</v>
      </c>
      <c r="P55" s="32" t="n">
        <f aca="false">O55</f>
        <v>0</v>
      </c>
      <c r="Q55" s="32" t="n">
        <f aca="false">P55</f>
        <v>0</v>
      </c>
    </row>
    <row r="58" customFormat="false" ht="13.5" hidden="false" customHeight="false" outlineLevel="0" collapsed="false">
      <c r="A58" s="13" t="s">
        <v>186</v>
      </c>
    </row>
    <row r="59" customFormat="false" ht="13.5" hidden="false" customHeight="false" outlineLevel="0" collapsed="false">
      <c r="B59" s="319" t="s">
        <v>182</v>
      </c>
      <c r="C59" s="320" t="s">
        <v>183</v>
      </c>
      <c r="F59" s="321" t="n">
        <f aca="false">G59-1</f>
        <v>1999</v>
      </c>
      <c r="G59" s="13" t="n">
        <f aca="false">Assumptions!D12</f>
        <v>2000</v>
      </c>
      <c r="H59" s="13" t="n">
        <f aca="false">G59+1</f>
        <v>2001</v>
      </c>
      <c r="I59" s="13" t="n">
        <f aca="false">H59+1</f>
        <v>2002</v>
      </c>
      <c r="J59" s="13" t="n">
        <f aca="false">I59+1</f>
        <v>2003</v>
      </c>
      <c r="K59" s="13" t="n">
        <f aca="false">J59+1</f>
        <v>2004</v>
      </c>
      <c r="L59" s="13" t="n">
        <f aca="false">K59+1</f>
        <v>2005</v>
      </c>
      <c r="M59" s="13" t="n">
        <f aca="false">L59+1</f>
        <v>2006</v>
      </c>
      <c r="N59" s="13" t="n">
        <f aca="false">M59+1</f>
        <v>2007</v>
      </c>
      <c r="O59" s="13" t="n">
        <f aca="false">N59+1</f>
        <v>2008</v>
      </c>
      <c r="P59" s="13" t="n">
        <f aca="false">O59+1</f>
        <v>2009</v>
      </c>
      <c r="Q59" s="13" t="n">
        <f aca="false">P59+1</f>
        <v>2010</v>
      </c>
    </row>
    <row r="60" customFormat="false" ht="13.5" hidden="false" customHeight="false" outlineLevel="0" collapsed="false">
      <c r="A60" s="322" t="str">
        <f aca="false">A2</f>
        <v>  T&amp;S - Cash Flow Analysis</v>
      </c>
      <c r="B60" s="323" t="n">
        <f aca="false">Assumptions!C38</f>
        <v>1</v>
      </c>
      <c r="C60" s="331" t="n">
        <v>1</v>
      </c>
      <c r="D60" s="114"/>
      <c r="E60" s="325"/>
      <c r="F60" s="332" t="n">
        <f aca="false">F65*$B$60</f>
        <v>33894</v>
      </c>
      <c r="G60" s="115" t="n">
        <f aca="false">CHOOSE($C$60,G65,G68,G71)*$B$60+G61</f>
        <v>33894</v>
      </c>
      <c r="H60" s="115" t="n">
        <f aca="false">CHOOSE($C$60,H65,H68,H71)*$B$60+H61</f>
        <v>33894</v>
      </c>
      <c r="I60" s="115" t="n">
        <f aca="false">CHOOSE($C$60,I65,I68,I71)*$B$60+I61</f>
        <v>33894</v>
      </c>
      <c r="J60" s="115" t="n">
        <f aca="false">CHOOSE($C$60,J65,J68,J71)*$B$60+J61</f>
        <v>33894</v>
      </c>
      <c r="K60" s="115" t="n">
        <f aca="false">CHOOSE($C$60,K65,K68,K71)*$B$60+K61</f>
        <v>33894</v>
      </c>
      <c r="L60" s="115" t="n">
        <f aca="false">CHOOSE($C$60,L65,L68,L71)*$B$60+L61</f>
        <v>33894</v>
      </c>
      <c r="M60" s="115" t="n">
        <f aca="false">CHOOSE($C$60,M65,M68,M71)*$B$60+M61</f>
        <v>33894</v>
      </c>
      <c r="N60" s="115" t="n">
        <f aca="false">CHOOSE($C$60,N65,N68,N71)*$B$60+N61</f>
        <v>33894</v>
      </c>
      <c r="O60" s="115" t="n">
        <f aca="false">CHOOSE($C$60,O65,O68,O71)*$B$60+O61</f>
        <v>33894</v>
      </c>
      <c r="P60" s="115" t="n">
        <f aca="false">CHOOSE($C$60,P65,P68,P71)*$B$60+P61</f>
        <v>33894</v>
      </c>
      <c r="Q60" s="117" t="n">
        <f aca="false">CHOOSE($C$60,Q65,Q68,Q71)*$B$60+Q61</f>
        <v>33894</v>
      </c>
    </row>
    <row r="61" customFormat="false" ht="12.75" hidden="false" customHeight="false" outlineLevel="0" collapsed="false">
      <c r="C61" s="333"/>
      <c r="F61" s="284" t="s">
        <v>184</v>
      </c>
      <c r="G61" s="32" t="n">
        <v>0</v>
      </c>
      <c r="H61" s="32" t="n">
        <v>0</v>
      </c>
      <c r="I61" s="32" t="n">
        <v>0</v>
      </c>
      <c r="J61" s="32" t="n">
        <v>0</v>
      </c>
      <c r="K61" s="32" t="n">
        <v>0</v>
      </c>
      <c r="L61" s="32" t="n">
        <v>0</v>
      </c>
      <c r="M61" s="32" t="n">
        <v>0</v>
      </c>
      <c r="N61" s="32" t="n">
        <v>0</v>
      </c>
      <c r="O61" s="32" t="n">
        <v>0</v>
      </c>
      <c r="P61" s="32" t="n">
        <v>0</v>
      </c>
      <c r="Q61" s="32" t="n">
        <v>0</v>
      </c>
    </row>
    <row r="62" customFormat="false" ht="12.75" hidden="false" customHeight="false" outlineLevel="0" collapsed="false">
      <c r="C62" s="334"/>
      <c r="D62" s="279"/>
      <c r="E62" s="285"/>
    </row>
    <row r="63" customFormat="false" ht="12.75" hidden="false" customHeight="false" outlineLevel="0" collapsed="false">
      <c r="A63" s="12" t="str">
        <f aca="false">Assumptions!B64</f>
        <v>1. Base Case</v>
      </c>
      <c r="C63" s="334"/>
    </row>
    <row r="64" customFormat="false" ht="15" hidden="false" customHeight="false" outlineLevel="0" collapsed="false">
      <c r="A64" s="0" t="s">
        <v>185</v>
      </c>
      <c r="C64" s="334"/>
      <c r="D64" s="282"/>
      <c r="E64" s="26"/>
      <c r="F64" s="293" t="n">
        <v>33894</v>
      </c>
      <c r="G64" s="116" t="n">
        <f aca="false">F64</f>
        <v>33894</v>
      </c>
      <c r="H64" s="335" t="n">
        <f aca="false">G64</f>
        <v>33894</v>
      </c>
      <c r="I64" s="335" t="n">
        <f aca="false">H64</f>
        <v>33894</v>
      </c>
      <c r="J64" s="335" t="n">
        <f aca="false">I64</f>
        <v>33894</v>
      </c>
      <c r="K64" s="335" t="n">
        <f aca="false">J64</f>
        <v>33894</v>
      </c>
      <c r="L64" s="335" t="n">
        <f aca="false">K64</f>
        <v>33894</v>
      </c>
      <c r="M64" s="335" t="n">
        <f aca="false">L64</f>
        <v>33894</v>
      </c>
      <c r="N64" s="335" t="n">
        <f aca="false">M64</f>
        <v>33894</v>
      </c>
      <c r="O64" s="335" t="n">
        <f aca="false">N64</f>
        <v>33894</v>
      </c>
      <c r="P64" s="335" t="n">
        <f aca="false">O64</f>
        <v>33894</v>
      </c>
      <c r="Q64" s="335" t="n">
        <f aca="false">P64</f>
        <v>33894</v>
      </c>
    </row>
    <row r="65" customFormat="false" ht="12.75" hidden="false" customHeight="false" outlineLevel="0" collapsed="false">
      <c r="A65" s="190" t="s">
        <v>154</v>
      </c>
      <c r="B65" s="336" t="n">
        <v>1</v>
      </c>
      <c r="C65" s="327" t="n">
        <v>1</v>
      </c>
      <c r="D65" s="282"/>
      <c r="F65" s="337" t="n">
        <f aca="false">SUM(F64)</f>
        <v>33894</v>
      </c>
      <c r="G65" s="131" t="n">
        <f aca="false">SUM(G64)*$B$65+G66</f>
        <v>33894</v>
      </c>
      <c r="H65" s="131" t="n">
        <f aca="false">SUM(H64)*$B$65+H66</f>
        <v>33894</v>
      </c>
      <c r="I65" s="131" t="n">
        <f aca="false">SUM(I64)*$B$65+I66</f>
        <v>33894</v>
      </c>
      <c r="J65" s="131" t="n">
        <f aca="false">SUM(J64)*$B$65+J66</f>
        <v>33894</v>
      </c>
      <c r="K65" s="131" t="n">
        <f aca="false">SUM(K64)*$B$65+K66</f>
        <v>33894</v>
      </c>
      <c r="L65" s="131" t="n">
        <f aca="false">SUM(L64)*$B$65+L66</f>
        <v>33894</v>
      </c>
      <c r="M65" s="131" t="n">
        <f aca="false">SUM(M64)*$B$65+M66</f>
        <v>33894</v>
      </c>
      <c r="N65" s="131" t="n">
        <f aca="false">SUM(N64)*$B$65+N66</f>
        <v>33894</v>
      </c>
      <c r="O65" s="131" t="n">
        <f aca="false">SUM(O64)*$B$65+O66</f>
        <v>33894</v>
      </c>
      <c r="P65" s="131" t="n">
        <f aca="false">SUM(P64)*$B$65+P66</f>
        <v>33894</v>
      </c>
      <c r="Q65" s="131" t="n">
        <f aca="false">SUM(Q64)*$B$65+Q66</f>
        <v>33894</v>
      </c>
    </row>
    <row r="66" customFormat="false" ht="12.75" hidden="false" customHeight="false" outlineLevel="0" collapsed="false">
      <c r="C66" s="334"/>
      <c r="F66" s="284" t="s">
        <v>184</v>
      </c>
      <c r="G66" s="32" t="n">
        <v>0</v>
      </c>
      <c r="H66" s="32" t="n">
        <v>0</v>
      </c>
      <c r="I66" s="32" t="n">
        <v>0</v>
      </c>
      <c r="J66" s="32" t="n">
        <v>0</v>
      </c>
      <c r="K66" s="32" t="n">
        <v>0</v>
      </c>
      <c r="L66" s="32" t="n">
        <v>0</v>
      </c>
      <c r="M66" s="32" t="n">
        <v>0</v>
      </c>
      <c r="N66" s="32" t="n">
        <v>0</v>
      </c>
      <c r="O66" s="32" t="n">
        <v>0</v>
      </c>
      <c r="P66" s="32" t="n">
        <v>0</v>
      </c>
      <c r="Q66" s="32" t="n">
        <v>0</v>
      </c>
    </row>
    <row r="67" customFormat="false" ht="12.75" hidden="false" customHeight="false" outlineLevel="0" collapsed="false">
      <c r="C67" s="334"/>
    </row>
    <row r="68" customFormat="false" ht="12.75" hidden="false" customHeight="false" outlineLevel="0" collapsed="false">
      <c r="A68" s="12" t="str">
        <f aca="false">Assumptions!B65</f>
        <v>2. Optimistic</v>
      </c>
      <c r="B68" s="336" t="n">
        <v>0.99</v>
      </c>
      <c r="C68" s="327" t="n">
        <v>2</v>
      </c>
      <c r="D68" s="282"/>
      <c r="F68" s="337" t="n">
        <f aca="false">F65</f>
        <v>33894</v>
      </c>
      <c r="G68" s="133" t="n">
        <f aca="false">F68*$B$68+G69</f>
        <v>33555.06</v>
      </c>
      <c r="H68" s="133" t="n">
        <f aca="false">G68*$B$68+H69</f>
        <v>33219.5094</v>
      </c>
      <c r="I68" s="133" t="n">
        <f aca="false">H68*$B$68+I69</f>
        <v>32887.314306</v>
      </c>
      <c r="J68" s="133" t="n">
        <f aca="false">I68*$B$68+J69</f>
        <v>32558.44116294</v>
      </c>
      <c r="K68" s="133" t="n">
        <f aca="false">J68*$B$68+K69</f>
        <v>32232.8567513106</v>
      </c>
      <c r="L68" s="133" t="n">
        <f aca="false">K68*$B$68+L69</f>
        <v>31910.5281837975</v>
      </c>
      <c r="M68" s="133" t="n">
        <f aca="false">L68*$B$68+M69</f>
        <v>31591.4229019595</v>
      </c>
      <c r="N68" s="133" t="n">
        <f aca="false">M68*$B$68+N69</f>
        <v>31275.5086729399</v>
      </c>
      <c r="O68" s="133" t="n">
        <f aca="false">N68*$B$68+O69</f>
        <v>30962.7535862105</v>
      </c>
      <c r="P68" s="133" t="n">
        <f aca="false">O68*$B$68+P69</f>
        <v>30653.1260503484</v>
      </c>
      <c r="Q68" s="133" t="n">
        <f aca="false">P68*$B$68+Q69</f>
        <v>30346.5947898449</v>
      </c>
    </row>
    <row r="69" customFormat="false" ht="12.75" hidden="false" customHeight="false" outlineLevel="0" collapsed="false">
      <c r="C69" s="338"/>
      <c r="F69" s="284" t="s">
        <v>184</v>
      </c>
      <c r="G69" s="32" t="n">
        <v>0</v>
      </c>
      <c r="H69" s="32" t="n">
        <v>0</v>
      </c>
      <c r="I69" s="32" t="n">
        <f aca="false">H69</f>
        <v>0</v>
      </c>
      <c r="J69" s="32" t="n">
        <f aca="false">I69</f>
        <v>0</v>
      </c>
      <c r="K69" s="32" t="n">
        <f aca="false">J69</f>
        <v>0</v>
      </c>
      <c r="L69" s="32" t="n">
        <f aca="false">K69</f>
        <v>0</v>
      </c>
      <c r="M69" s="32" t="n">
        <f aca="false">L69</f>
        <v>0</v>
      </c>
      <c r="N69" s="32" t="n">
        <f aca="false">M69</f>
        <v>0</v>
      </c>
      <c r="O69" s="32" t="n">
        <f aca="false">N69</f>
        <v>0</v>
      </c>
      <c r="P69" s="32" t="n">
        <f aca="false">O69</f>
        <v>0</v>
      </c>
      <c r="Q69" s="32" t="n">
        <f aca="false">P69</f>
        <v>0</v>
      </c>
    </row>
    <row r="70" customFormat="false" ht="12.75" hidden="false" customHeight="false" outlineLevel="0" collapsed="false">
      <c r="C70" s="338"/>
    </row>
    <row r="71" customFormat="false" ht="12.75" hidden="false" customHeight="false" outlineLevel="0" collapsed="false">
      <c r="A71" s="12" t="str">
        <f aca="false">Assumptions!B66</f>
        <v>3. Pessimistic</v>
      </c>
      <c r="B71" s="336" t="n">
        <v>1.01</v>
      </c>
      <c r="C71" s="327" t="n">
        <v>3</v>
      </c>
      <c r="D71" s="282"/>
      <c r="F71" s="337" t="n">
        <f aca="false">F65</f>
        <v>33894</v>
      </c>
      <c r="G71" s="133" t="n">
        <f aca="false">F71*$B$71+G72</f>
        <v>34232.94</v>
      </c>
      <c r="H71" s="133" t="n">
        <f aca="false">G71*$B$71+H72</f>
        <v>34575.2694</v>
      </c>
      <c r="I71" s="133" t="n">
        <f aca="false">H71*$B$71+I72</f>
        <v>34921.022094</v>
      </c>
      <c r="J71" s="133" t="n">
        <f aca="false">I71*$B$71+J72</f>
        <v>35270.23231494</v>
      </c>
      <c r="K71" s="133" t="n">
        <f aca="false">J71*$B$71+K72</f>
        <v>35622.9346380894</v>
      </c>
      <c r="L71" s="133" t="n">
        <f aca="false">K71*$B$71+L72</f>
        <v>35979.1639844703</v>
      </c>
      <c r="M71" s="133" t="n">
        <f aca="false">L71*$B$71+M72</f>
        <v>36338.955624315</v>
      </c>
      <c r="N71" s="133" t="n">
        <f aca="false">M71*$B$71+N72</f>
        <v>36702.3451805582</v>
      </c>
      <c r="O71" s="133" t="n">
        <f aca="false">N71*$B$71+O72</f>
        <v>37069.3686323637</v>
      </c>
      <c r="P71" s="133" t="n">
        <f aca="false">O71*$B$71+P72</f>
        <v>37440.0623186874</v>
      </c>
      <c r="Q71" s="133" t="n">
        <f aca="false">P71*$B$71+Q72</f>
        <v>37814.4629418743</v>
      </c>
    </row>
    <row r="72" customFormat="false" ht="13.5" hidden="false" customHeight="false" outlineLevel="0" collapsed="false">
      <c r="C72" s="330"/>
      <c r="F72" s="284" t="s">
        <v>184</v>
      </c>
      <c r="G72" s="32" t="n">
        <v>0</v>
      </c>
      <c r="H72" s="32" t="n">
        <v>0</v>
      </c>
      <c r="I72" s="32" t="n">
        <f aca="false">H72</f>
        <v>0</v>
      </c>
      <c r="J72" s="32" t="n">
        <f aca="false">I72</f>
        <v>0</v>
      </c>
      <c r="K72" s="32" t="n">
        <f aca="false">J72</f>
        <v>0</v>
      </c>
      <c r="L72" s="32" t="n">
        <f aca="false">K72</f>
        <v>0</v>
      </c>
      <c r="M72" s="32" t="n">
        <f aca="false">L72</f>
        <v>0</v>
      </c>
      <c r="N72" s="32" t="n">
        <f aca="false">M72</f>
        <v>0</v>
      </c>
      <c r="O72" s="32" t="n">
        <f aca="false">N72</f>
        <v>0</v>
      </c>
      <c r="P72" s="32" t="n">
        <f aca="false">O72</f>
        <v>0</v>
      </c>
      <c r="Q72" s="32" t="n">
        <f aca="false">P72</f>
        <v>0</v>
      </c>
    </row>
    <row r="73" customFormat="false" ht="12.75" hidden="false" customHeight="false" outlineLevel="0" collapsed="false">
      <c r="C73" s="21"/>
      <c r="F73" s="284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</row>
    <row r="74" customFormat="false" ht="12.75" hidden="false" customHeight="false" outlineLevel="0" collapsed="false">
      <c r="A74" s="13" t="s">
        <v>132</v>
      </c>
      <c r="C74" s="21"/>
      <c r="F74" s="284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</row>
    <row r="75" customFormat="false" ht="12.75" hidden="false" customHeight="false" outlineLevel="0" collapsed="false">
      <c r="A75" s="0" t="s">
        <v>187</v>
      </c>
      <c r="C75" s="21"/>
      <c r="F75" s="284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</row>
    <row r="76" customFormat="false" ht="12.75" hidden="false" customHeight="false" outlineLevel="0" collapsed="false">
      <c r="A76" s="0" t="s">
        <v>188</v>
      </c>
      <c r="C76" s="21"/>
      <c r="F76" s="284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</row>
    <row r="77" customFormat="false" ht="12.75" hidden="false" customHeight="false" outlineLevel="0" collapsed="false">
      <c r="A77" s="52" t="s">
        <v>154</v>
      </c>
      <c r="F77" s="131" t="n">
        <v>32618</v>
      </c>
      <c r="G77" s="133" t="n">
        <f aca="false">F77</f>
        <v>32618</v>
      </c>
      <c r="H77" s="133" t="n">
        <f aca="false">G77</f>
        <v>32618</v>
      </c>
      <c r="I77" s="133" t="n">
        <f aca="false">H77</f>
        <v>32618</v>
      </c>
      <c r="J77" s="133" t="n">
        <f aca="false">I77</f>
        <v>32618</v>
      </c>
      <c r="K77" s="133" t="n">
        <f aca="false">J77</f>
        <v>32618</v>
      </c>
      <c r="L77" s="133" t="n">
        <f aca="false">K77</f>
        <v>32618</v>
      </c>
      <c r="M77" s="133" t="n">
        <f aca="false">L77</f>
        <v>32618</v>
      </c>
      <c r="N77" s="133" t="n">
        <f aca="false">M77</f>
        <v>32618</v>
      </c>
      <c r="O77" s="133" t="n">
        <f aca="false">N77</f>
        <v>32618</v>
      </c>
      <c r="P77" s="133" t="n">
        <f aca="false">O77</f>
        <v>32618</v>
      </c>
      <c r="Q77" s="133" t="n">
        <f aca="false">P77</f>
        <v>32618</v>
      </c>
    </row>
    <row r="78" customFormat="false" ht="12.75" hidden="false" customHeight="false" outlineLevel="0" collapsed="false">
      <c r="A78" s="52"/>
    </row>
    <row r="79" customFormat="false" ht="12.75" hidden="false" customHeight="false" outlineLevel="0" collapsed="false">
      <c r="A79" s="52"/>
    </row>
    <row r="80" customFormat="false" ht="12.75" hidden="false" customHeight="false" outlineLevel="0" collapsed="false">
      <c r="A80" s="13" t="s">
        <v>189</v>
      </c>
    </row>
    <row r="81" customFormat="false" ht="12.75" hidden="false" customHeight="false" outlineLevel="0" collapsed="false">
      <c r="A81" s="225" t="s">
        <v>165</v>
      </c>
      <c r="B81" s="54" t="n">
        <f aca="false">Assumptions!D20</f>
        <v>20</v>
      </c>
      <c r="C81" s="227" t="n">
        <f aca="false">Asset1PurPrice</f>
        <v>233090.115080876</v>
      </c>
      <c r="D81" s="32"/>
      <c r="E81" s="36"/>
      <c r="F81" s="278"/>
      <c r="G81" s="339" t="n">
        <f aca="false">1/B81</f>
        <v>0.05</v>
      </c>
      <c r="H81" s="228" t="n">
        <f aca="false">G81</f>
        <v>0.05</v>
      </c>
      <c r="I81" s="228" t="n">
        <f aca="false">H81</f>
        <v>0.05</v>
      </c>
      <c r="J81" s="228" t="n">
        <f aca="false">I81</f>
        <v>0.05</v>
      </c>
      <c r="K81" s="228" t="n">
        <f aca="false">J81</f>
        <v>0.05</v>
      </c>
      <c r="L81" s="228" t="n">
        <f aca="false">K81</f>
        <v>0.05</v>
      </c>
      <c r="M81" s="228" t="n">
        <f aca="false">L81</f>
        <v>0.05</v>
      </c>
      <c r="N81" s="228" t="n">
        <f aca="false">M81</f>
        <v>0.05</v>
      </c>
      <c r="O81" s="228" t="n">
        <f aca="false">N81</f>
        <v>0.05</v>
      </c>
      <c r="P81" s="228" t="n">
        <f aca="false">O81</f>
        <v>0.05</v>
      </c>
      <c r="Q81" s="229" t="n">
        <f aca="false">P81</f>
        <v>0.05</v>
      </c>
    </row>
    <row r="82" customFormat="false" ht="12.75" hidden="false" customHeight="false" outlineLevel="0" collapsed="false">
      <c r="A82" s="32" t="s">
        <v>166</v>
      </c>
      <c r="C82" s="26"/>
      <c r="D82" s="26"/>
      <c r="E82" s="36"/>
      <c r="F82" s="278"/>
      <c r="G82" s="120" t="n">
        <f aca="false">C81/B81</f>
        <v>11654.5057540438</v>
      </c>
      <c r="H82" s="120" t="n">
        <f aca="false">+G82</f>
        <v>11654.5057540438</v>
      </c>
      <c r="I82" s="120" t="n">
        <f aca="false">+H82</f>
        <v>11654.5057540438</v>
      </c>
      <c r="J82" s="120" t="n">
        <f aca="false">+I82</f>
        <v>11654.5057540438</v>
      </c>
      <c r="K82" s="120" t="n">
        <f aca="false">+J82</f>
        <v>11654.5057540438</v>
      </c>
      <c r="L82" s="120" t="n">
        <f aca="false">+K82</f>
        <v>11654.5057540438</v>
      </c>
      <c r="M82" s="120" t="n">
        <f aca="false">+L82</f>
        <v>11654.5057540438</v>
      </c>
      <c r="N82" s="120" t="n">
        <f aca="false">+M82</f>
        <v>11654.5057540438</v>
      </c>
      <c r="O82" s="120" t="n">
        <f aca="false">+N82</f>
        <v>11654.5057540438</v>
      </c>
      <c r="P82" s="120" t="n">
        <f aca="false">+O82</f>
        <v>11654.5057540438</v>
      </c>
      <c r="Q82" s="120" t="n">
        <f aca="false">+P82</f>
        <v>11654.5057540438</v>
      </c>
    </row>
    <row r="83" customFormat="false" ht="15" hidden="false" customHeight="false" outlineLevel="0" collapsed="false">
      <c r="A83" s="32" t="s">
        <v>167</v>
      </c>
      <c r="E83" s="36"/>
      <c r="F83" s="278"/>
      <c r="G83" s="116" t="n">
        <f aca="false">($G$29*G81)</f>
        <v>1630.9</v>
      </c>
      <c r="H83" s="116" t="n">
        <f aca="false">($G$29*H81)+($H$29*G81)</f>
        <v>3261.8</v>
      </c>
      <c r="I83" s="116" t="n">
        <f aca="false">($G$29*I81)+($H$29*H81)+($I$29*G81)</f>
        <v>4892.7</v>
      </c>
      <c r="J83" s="116" t="n">
        <f aca="false">($G$29*J81)+($H$29*I81)+($I$29*H81)+($J$29*G81)</f>
        <v>6523.6</v>
      </c>
      <c r="K83" s="116" t="n">
        <f aca="false">($G$29*K81)+($H$29*J81)+($I$29*I81)+($J$29*H81)+($K$29*G81)</f>
        <v>8154.5</v>
      </c>
      <c r="L83" s="116" t="n">
        <f aca="false">($G$29*L81)+($H$29*K81)+($I$29*J81)+($J$29*I81)+($K$29*H81)+($L$29*G81)</f>
        <v>9785.4</v>
      </c>
      <c r="M83" s="116" t="n">
        <f aca="false">($G$29*M81)+($H$29*L81)+($I$29*K81)+($J$29*J81)+($K$29*I81)+($L$29*H81)+($M$29*G81)</f>
        <v>11416.3</v>
      </c>
      <c r="N83" s="116" t="n">
        <f aca="false">($G$29*N81)+($H$29*M81)+($I$29*L81)+($J$29*K81)+($K$29*J81)+($L$29*I81)+($M$29*H81)+($N$29*G81)</f>
        <v>13047.2</v>
      </c>
      <c r="O83" s="116" t="n">
        <f aca="false">($G$29*O81)+($H$29*N81)+($I$29*M81)+($J$29*L81)+($K$29*K81)+($L$29*J81)+($M$29*I81)+($N$29*H81)+($O$29*G81)</f>
        <v>14678.1</v>
      </c>
      <c r="P83" s="116" t="n">
        <f aca="false">($G$29*P81)+($H$29*O81)+($I$29*N81)+($J$29*M81)+($K$29*L81)+($L$29*K81)+($M$29*J81)+($N$29*I81)+($O$29*H81)+($P$29*G81)</f>
        <v>16309</v>
      </c>
      <c r="Q83" s="116" t="n">
        <f aca="false">($G$29*Q81)+($H$29*P81)+($I$29*O81)+($J$29*N81)+($K$29*M81)+($L$29*L81)+($M$29*K81)+($N$29*J81)+($O$29*I81)+($P$29*H81)+($Q$29*G81)</f>
        <v>17939.9</v>
      </c>
    </row>
    <row r="84" customFormat="false" ht="12.75" hidden="false" customHeight="false" outlineLevel="0" collapsed="false">
      <c r="A84" s="52" t="s">
        <v>154</v>
      </c>
      <c r="E84" s="36"/>
      <c r="F84" s="278"/>
      <c r="G84" s="32" t="n">
        <f aca="false">SUM(G82:G83)</f>
        <v>13285.4057540438</v>
      </c>
      <c r="H84" s="32" t="n">
        <f aca="false">SUM(H82:H83)</f>
        <v>14916.3057540438</v>
      </c>
      <c r="I84" s="32" t="n">
        <f aca="false">SUM(I82:I83)</f>
        <v>16547.2057540438</v>
      </c>
      <c r="J84" s="32" t="n">
        <f aca="false">SUM(J82:J83)</f>
        <v>18178.1057540438</v>
      </c>
      <c r="K84" s="32" t="n">
        <f aca="false">SUM(K82:K83)</f>
        <v>19809.0057540438</v>
      </c>
      <c r="L84" s="32" t="n">
        <f aca="false">SUM(L82:L83)</f>
        <v>21439.9057540438</v>
      </c>
      <c r="M84" s="32" t="n">
        <f aca="false">SUM(M82:M83)</f>
        <v>23070.8057540438</v>
      </c>
      <c r="N84" s="32" t="n">
        <f aca="false">SUM(N82:N83)</f>
        <v>24701.7057540438</v>
      </c>
      <c r="O84" s="32" t="n">
        <f aca="false">SUM(O82:O83)</f>
        <v>26332.6057540438</v>
      </c>
      <c r="P84" s="32" t="n">
        <f aca="false">SUM(P82:P83)</f>
        <v>27963.5057540438</v>
      </c>
      <c r="Q84" s="32" t="n">
        <f aca="false">SUM(Q82:Q83)</f>
        <v>29594.4057540438</v>
      </c>
    </row>
    <row r="85" customFormat="false" ht="12.75" hidden="false" customHeight="false" outlineLevel="0" collapsed="false">
      <c r="A85" s="32"/>
      <c r="E85" s="36"/>
      <c r="F85" s="278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</row>
    <row r="86" customFormat="false" ht="12.75" hidden="false" customHeight="false" outlineLevel="0" collapsed="false">
      <c r="A86" s="96" t="s">
        <v>168</v>
      </c>
      <c r="E86" s="36"/>
      <c r="F86" s="278"/>
      <c r="G86" s="233" t="n">
        <v>0.05</v>
      </c>
      <c r="H86" s="234" t="n">
        <v>0.095</v>
      </c>
      <c r="I86" s="234" t="n">
        <v>0.0855</v>
      </c>
      <c r="J86" s="234" t="n">
        <v>0.077</v>
      </c>
      <c r="K86" s="234" t="n">
        <v>0.0693</v>
      </c>
      <c r="L86" s="234" t="n">
        <v>0.0623</v>
      </c>
      <c r="M86" s="234" t="n">
        <v>0.059</v>
      </c>
      <c r="N86" s="234" t="n">
        <v>0.059</v>
      </c>
      <c r="O86" s="234" t="n">
        <v>0.0591</v>
      </c>
      <c r="P86" s="234" t="n">
        <v>0.059</v>
      </c>
      <c r="Q86" s="235" t="n">
        <v>0.0591</v>
      </c>
    </row>
    <row r="87" customFormat="false" ht="12.75" hidden="false" customHeight="false" outlineLevel="0" collapsed="false">
      <c r="A87" s="32" t="s">
        <v>166</v>
      </c>
      <c r="B87" s="236"/>
      <c r="E87" s="36"/>
      <c r="F87" s="278"/>
      <c r="G87" s="32" t="n">
        <f aca="false">G86*$C$81</f>
        <v>11654.5057540438</v>
      </c>
      <c r="H87" s="32" t="n">
        <f aca="false">H86*$C$81</f>
        <v>22143.5609326833</v>
      </c>
      <c r="I87" s="32" t="n">
        <f aca="false">I86*$C$81</f>
        <v>19929.2048394149</v>
      </c>
      <c r="J87" s="32" t="n">
        <f aca="false">J86*$C$81</f>
        <v>17947.9388612275</v>
      </c>
      <c r="K87" s="32" t="n">
        <f aca="false">K86*$C$81</f>
        <v>16153.1449751047</v>
      </c>
      <c r="L87" s="32" t="n">
        <f aca="false">L86*$C$81</f>
        <v>14521.5141695386</v>
      </c>
      <c r="M87" s="32" t="n">
        <f aca="false">M86*$C$81</f>
        <v>13752.3167897717</v>
      </c>
      <c r="N87" s="32" t="n">
        <f aca="false">N86*$C$81</f>
        <v>13752.3167897717</v>
      </c>
      <c r="O87" s="32" t="n">
        <f aca="false">O86*$C$81</f>
        <v>13775.6258012798</v>
      </c>
      <c r="P87" s="32" t="n">
        <f aca="false">P86*$C$81</f>
        <v>13752.3167897717</v>
      </c>
      <c r="Q87" s="32" t="n">
        <f aca="false">Q86*$C$81</f>
        <v>13775.6258012798</v>
      </c>
    </row>
    <row r="88" customFormat="false" ht="15" hidden="false" customHeight="false" outlineLevel="0" collapsed="false">
      <c r="A88" s="32" t="s">
        <v>167</v>
      </c>
      <c r="B88" s="201"/>
      <c r="E88" s="216"/>
      <c r="F88" s="278"/>
      <c r="G88" s="116" t="n">
        <f aca="false">($G$29*G$86)</f>
        <v>1630.9</v>
      </c>
      <c r="H88" s="116" t="n">
        <f aca="false">($G$29*H86)+($H$29*G86)</f>
        <v>4729.61</v>
      </c>
      <c r="I88" s="116" t="n">
        <f aca="false">($G$29*I86)+($H$29*H86)+($I$29*G86)</f>
        <v>7518.449</v>
      </c>
      <c r="J88" s="116" t="n">
        <f aca="false">($G$29*J86)+($H$29*I86)+($I$29*H86)+($J$29*G86)</f>
        <v>10030.035</v>
      </c>
      <c r="K88" s="116" t="n">
        <f aca="false">($G$29*K86)+($H$29*J86)+($I$29*I86)+($J$29*H86)+($K$29*G86)</f>
        <v>12290.4624</v>
      </c>
      <c r="L88" s="116" t="n">
        <f aca="false">($G$29*L86)+($H$29*K86)+($I$29*J86)+($J$29*I86)+($K$29*H86)+($L$29*G86)</f>
        <v>14322.5638</v>
      </c>
      <c r="M88" s="116" t="n">
        <f aca="false">($G$29*M86)+($H$29*L86)+($I$29*K86)+($J$29*J86)+($K$29*I86)+($L$29*H86)+($M$29*G86)</f>
        <v>16247.0258</v>
      </c>
      <c r="N88" s="116" t="n">
        <f aca="false">($G$29*N86)+($H$29*M86)+($I$29*L86)+($J$29*K86)+($K$29*J86)+($L$29*I86)+($M$29*H86)+($N$29*G86)</f>
        <v>18171.4878</v>
      </c>
      <c r="O88" s="116" t="n">
        <f aca="false">($G$29*O86)+($H$29*N86)+($I$29*M86)+($J$29*L86)+($K$29*K86)+($L$29*J86)+($M$29*I86)+($N$29*H86)+($O$29*G86)</f>
        <v>20099.2116</v>
      </c>
      <c r="P88" s="116" t="n">
        <f aca="false">($G$29*P86)+($H$29*O86)+($I$29*N86)+($J$29*M86)+($K$29*L86)+($L$29*K86)+($M$29*J86)+($N$29*I86)+($O$29*H86)+($P$29*G86)</f>
        <v>22023.6736</v>
      </c>
      <c r="Q88" s="116" t="n">
        <f aca="false">($G$29*Q86)+($H$29*P86)+($I$29*O86)+($J$29*N86)+($K$29*M86)+($L$29*L86)+($M$29*K86)+($N$29*J86)+($O$29*I86)+($P$29*H86)+($Q$29*G86)</f>
        <v>23951.3974</v>
      </c>
    </row>
    <row r="89" customFormat="false" ht="12.75" hidden="false" customHeight="false" outlineLevel="0" collapsed="false">
      <c r="A89" s="52" t="s">
        <v>154</v>
      </c>
      <c r="E89" s="36"/>
      <c r="F89" s="278"/>
      <c r="G89" s="32" t="n">
        <f aca="false">SUM(G87:G88)</f>
        <v>13285.4057540438</v>
      </c>
      <c r="H89" s="32" t="n">
        <f aca="false">SUM(H87:H88)</f>
        <v>26873.1709326833</v>
      </c>
      <c r="I89" s="32" t="n">
        <f aca="false">SUM(I87:I88)</f>
        <v>27447.6538394149</v>
      </c>
      <c r="J89" s="32" t="n">
        <f aca="false">SUM(J87:J88)</f>
        <v>27977.9738612275</v>
      </c>
      <c r="K89" s="32" t="n">
        <f aca="false">SUM(K87:K88)</f>
        <v>28443.6073751047</v>
      </c>
      <c r="L89" s="32" t="n">
        <f aca="false">SUM(L87:L88)</f>
        <v>28844.0779695386</v>
      </c>
      <c r="M89" s="32" t="n">
        <f aca="false">SUM(M87:M88)</f>
        <v>29999.3425897717</v>
      </c>
      <c r="N89" s="32" t="n">
        <f aca="false">SUM(N87:N88)</f>
        <v>31923.8045897717</v>
      </c>
      <c r="O89" s="32" t="n">
        <f aca="false">SUM(O87:O88)</f>
        <v>33874.8374012798</v>
      </c>
      <c r="P89" s="32" t="n">
        <f aca="false">SUM(P87:P88)</f>
        <v>35775.9903897717</v>
      </c>
      <c r="Q89" s="32" t="n">
        <f aca="false">SUM(Q87:Q88)</f>
        <v>37727.0232012798</v>
      </c>
    </row>
  </sheetData>
  <mergeCells count="1">
    <mergeCell ref="K33:M33"/>
  </mergeCells>
  <conditionalFormatting sqref="D68 D71 D54 D51 C11:D11 D14:D15 D47:D48 D64:D65">
    <cfRule type="cellIs" priority="2" operator="notBetween" aboveAverage="0" equalAverage="0" bottom="0" percent="0" rank="0" text="" dxfId="2">
      <formula>0.25</formula>
      <formula>-0.25</formula>
    </cfRule>
  </conditionalFormatting>
  <printOptions headings="false" gridLines="false" gridLinesSet="true" horizontalCentered="false" verticalCentered="false"/>
  <pageMargins left="0.5" right="0.5" top="0.75" bottom="0.75" header="0.511811023622047" footer="0.5"/>
  <pageSetup paperSize="1" scale="4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rowBreaks count="1" manualBreakCount="1">
    <brk id="39" man="true" max="16383" min="0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"/>
  <sheetViews>
    <sheetView showFormulas="false" showGridLines="true" showRowColHeaders="true" showZeros="true" rightToLeft="false" tabSelected="false" showOutlineSymbols="true" defaultGridColor="true" view="normal" topLeftCell="A37" colorId="64" zoomScale="75" zoomScaleNormal="75" zoomScalePageLayoutView="100" workbookViewId="0">
      <selection pane="topLeft" activeCell="G73" activeCellId="0" sqref="G73:G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56"/>
    <col collapsed="false" customWidth="true" hidden="false" outlineLevel="0" max="2" min="2" style="0" width="13.99"/>
    <col collapsed="false" customWidth="true" hidden="false" outlineLevel="0" max="3" min="3" style="0" width="12.85"/>
    <col collapsed="false" customWidth="true" hidden="false" outlineLevel="0" max="4" min="4" style="0" width="11.85"/>
    <col collapsed="false" customWidth="true" hidden="false" outlineLevel="0" max="5" min="5" style="27" width="9.14"/>
    <col collapsed="false" customWidth="true" hidden="false" outlineLevel="0" max="6" min="6" style="27" width="12.99"/>
    <col collapsed="false" customWidth="true" hidden="false" outlineLevel="0" max="7" min="7" style="0" width="12.28"/>
    <col collapsed="false" customWidth="true" hidden="false" outlineLevel="0" max="9" min="8" style="0" width="14.14"/>
    <col collapsed="false" customWidth="true" hidden="false" outlineLevel="0" max="11" min="10" style="0" width="12.28"/>
    <col collapsed="false" customWidth="true" hidden="false" outlineLevel="0" max="12" min="12" style="0" width="13.99"/>
    <col collapsed="false" customWidth="true" hidden="false" outlineLevel="0" max="14" min="13" style="0" width="13.41"/>
    <col collapsed="false" customWidth="true" hidden="false" outlineLevel="0" max="17" min="15" style="0" width="12.28"/>
    <col collapsed="false" customWidth="true" hidden="false" outlineLevel="0" max="18" min="18" style="0" width="13.41"/>
  </cols>
  <sheetData>
    <row r="1" customFormat="false" ht="18.75" hidden="false" customHeight="false" outlineLevel="0" collapsed="false">
      <c r="A1" s="155" t="str">
        <f aca="false">Assumptions!D5</f>
        <v>Oneok</v>
      </c>
      <c r="B1" s="21"/>
      <c r="E1" s="264"/>
    </row>
    <row r="2" customFormat="false" ht="15.75" hidden="false" customHeight="false" outlineLevel="0" collapsed="false">
      <c r="A2" s="265" t="s">
        <v>190</v>
      </c>
      <c r="B2" s="266"/>
      <c r="E2" s="36"/>
      <c r="F2" s="267" t="s">
        <v>45</v>
      </c>
      <c r="G2" s="268"/>
      <c r="H2" s="269"/>
      <c r="I2" s="190"/>
      <c r="R2" s="27"/>
    </row>
    <row r="3" customFormat="false" ht="12.75" hidden="false" customHeight="false" outlineLevel="0" collapsed="false">
      <c r="A3" s="270"/>
      <c r="B3" s="266"/>
      <c r="E3" s="36"/>
      <c r="F3" s="271" t="str">
        <f aca="false">IF(Asset2Loop&lt;&gt;0,"Run Macro","")</f>
        <v/>
      </c>
      <c r="G3" s="190"/>
      <c r="H3" s="272"/>
      <c r="I3" s="190"/>
      <c r="R3" s="27"/>
    </row>
    <row r="4" customFormat="false" ht="13.5" hidden="false" customHeight="false" outlineLevel="0" collapsed="false">
      <c r="A4" s="270"/>
      <c r="B4" s="266"/>
      <c r="E4" s="36"/>
      <c r="F4" s="273"/>
      <c r="G4" s="274"/>
      <c r="H4" s="275"/>
      <c r="I4" s="190"/>
      <c r="R4" s="27"/>
    </row>
    <row r="5" customFormat="false" ht="12.75" hidden="false" customHeight="false" outlineLevel="0" collapsed="false">
      <c r="A5" s="270"/>
      <c r="B5" s="266"/>
      <c r="E5" s="36"/>
      <c r="F5" s="167"/>
      <c r="G5" s="190"/>
      <c r="H5" s="190"/>
      <c r="I5" s="190"/>
      <c r="R5" s="27"/>
    </row>
    <row r="6" customFormat="false" ht="12.75" hidden="false" customHeight="false" outlineLevel="0" collapsed="false">
      <c r="A6" s="270"/>
      <c r="B6" s="266"/>
      <c r="E6" s="36"/>
      <c r="G6" s="190"/>
      <c r="H6" s="190"/>
      <c r="I6" s="190"/>
      <c r="R6" s="27"/>
    </row>
    <row r="7" customFormat="false" ht="12.75" hidden="false" customHeight="false" outlineLevel="0" collapsed="false">
      <c r="E7" s="276"/>
      <c r="F7" s="277" t="n">
        <f aca="false">G7-1</f>
        <v>1999</v>
      </c>
      <c r="G7" s="109" t="n">
        <f aca="false">Assumptions!$D$12</f>
        <v>2000</v>
      </c>
      <c r="H7" s="109" t="n">
        <f aca="false">G7+1</f>
        <v>2001</v>
      </c>
      <c r="I7" s="109" t="n">
        <f aca="false">H7+1</f>
        <v>2002</v>
      </c>
      <c r="J7" s="109" t="n">
        <f aca="false">I7+1</f>
        <v>2003</v>
      </c>
      <c r="K7" s="109" t="n">
        <f aca="false">J7+1</f>
        <v>2004</v>
      </c>
      <c r="L7" s="109" t="n">
        <f aca="false">K7+1</f>
        <v>2005</v>
      </c>
      <c r="M7" s="109" t="n">
        <f aca="false">L7+1</f>
        <v>2006</v>
      </c>
      <c r="N7" s="109" t="n">
        <f aca="false">M7+1</f>
        <v>2007</v>
      </c>
      <c r="O7" s="109" t="n">
        <f aca="false">N7+1</f>
        <v>2008</v>
      </c>
      <c r="P7" s="109" t="n">
        <f aca="false">O7+1</f>
        <v>2009</v>
      </c>
      <c r="Q7" s="109" t="n">
        <f aca="false">P7+1</f>
        <v>2010</v>
      </c>
      <c r="R7" s="27"/>
    </row>
    <row r="8" customFormat="false" ht="12.75" hidden="false" customHeight="false" outlineLevel="0" collapsed="false">
      <c r="A8" s="45" t="s">
        <v>151</v>
      </c>
      <c r="E8" s="36"/>
      <c r="F8" s="278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27"/>
    </row>
    <row r="9" customFormat="false" ht="12.75" hidden="false" customHeight="false" outlineLevel="0" collapsed="false">
      <c r="E9" s="36"/>
      <c r="F9" s="278"/>
      <c r="H9" s="32"/>
      <c r="I9" s="32"/>
      <c r="J9" s="32"/>
      <c r="K9" s="32"/>
      <c r="L9" s="32"/>
      <c r="M9" s="32"/>
      <c r="N9" s="32"/>
      <c r="O9" s="32"/>
      <c r="P9" s="32"/>
      <c r="Q9" s="32"/>
      <c r="R9" s="27"/>
    </row>
    <row r="10" customFormat="false" ht="12.75" hidden="false" customHeight="false" outlineLevel="0" collapsed="false">
      <c r="D10" s="279"/>
      <c r="E10" s="36"/>
      <c r="F10" s="278"/>
      <c r="G10" s="232" t="str">
        <f aca="false">IF(C43=1,A46,IF(C43=2,A51,A54))</f>
        <v>1. Base Case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27"/>
    </row>
    <row r="11" customFormat="false" ht="12.75" hidden="false" customHeight="false" outlineLevel="0" collapsed="false">
      <c r="A11" s="280" t="s">
        <v>177</v>
      </c>
      <c r="B11" s="281"/>
      <c r="C11" s="282"/>
      <c r="D11" s="282"/>
      <c r="E11" s="283"/>
      <c r="F11" s="278" t="n">
        <f aca="false">F43</f>
        <v>35443</v>
      </c>
      <c r="G11" s="32" t="n">
        <f aca="false">G43</f>
        <v>35443</v>
      </c>
      <c r="H11" s="32" t="n">
        <f aca="false">H43</f>
        <v>35443</v>
      </c>
      <c r="I11" s="32" t="n">
        <f aca="false">I43</f>
        <v>35443</v>
      </c>
      <c r="J11" s="32" t="n">
        <f aca="false">J43</f>
        <v>35443</v>
      </c>
      <c r="K11" s="32" t="n">
        <f aca="false">K43</f>
        <v>35443</v>
      </c>
      <c r="L11" s="32" t="n">
        <f aca="false">L43</f>
        <v>35443</v>
      </c>
      <c r="M11" s="32" t="n">
        <f aca="false">M43</f>
        <v>35443</v>
      </c>
      <c r="N11" s="32" t="n">
        <f aca="false">N43</f>
        <v>35443</v>
      </c>
      <c r="O11" s="32" t="n">
        <f aca="false">O43</f>
        <v>35443</v>
      </c>
      <c r="P11" s="32" t="n">
        <f aca="false">P43</f>
        <v>35443</v>
      </c>
      <c r="Q11" s="32" t="n">
        <f aca="false">Q43</f>
        <v>35443</v>
      </c>
      <c r="R11" s="27"/>
    </row>
    <row r="12" customFormat="false" ht="12.75" hidden="false" customHeight="false" outlineLevel="0" collapsed="false">
      <c r="E12" s="36"/>
      <c r="F12" s="284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27"/>
    </row>
    <row r="13" customFormat="false" ht="12.75" hidden="false" customHeight="false" outlineLevel="0" collapsed="false">
      <c r="D13" s="279"/>
      <c r="E13" s="285"/>
      <c r="F13" s="278"/>
      <c r="G13" s="232" t="str">
        <f aca="false">IF(C60=1,A63,IF(C60=2,A68,A71))</f>
        <v>1. Base Case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27"/>
    </row>
    <row r="14" customFormat="false" ht="12.75" hidden="false" customHeight="false" outlineLevel="0" collapsed="false">
      <c r="A14" s="21" t="s">
        <v>178</v>
      </c>
      <c r="B14" s="286"/>
      <c r="C14" s="21"/>
      <c r="D14" s="282"/>
      <c r="E14" s="287"/>
      <c r="F14" s="278" t="n">
        <f aca="false">F60</f>
        <v>9069</v>
      </c>
      <c r="G14" s="32" t="n">
        <f aca="false">G60</f>
        <v>9069</v>
      </c>
      <c r="H14" s="32" t="n">
        <f aca="false">H60</f>
        <v>9069</v>
      </c>
      <c r="I14" s="32" t="n">
        <f aca="false">I60</f>
        <v>9069</v>
      </c>
      <c r="J14" s="32" t="n">
        <f aca="false">J60</f>
        <v>9069</v>
      </c>
      <c r="K14" s="32" t="n">
        <f aca="false">K60</f>
        <v>9069</v>
      </c>
      <c r="L14" s="32" t="n">
        <f aca="false">L60</f>
        <v>9069</v>
      </c>
      <c r="M14" s="32" t="n">
        <f aca="false">M60</f>
        <v>9069</v>
      </c>
      <c r="N14" s="32" t="n">
        <f aca="false">N60</f>
        <v>9069</v>
      </c>
      <c r="O14" s="32" t="n">
        <f aca="false">O60</f>
        <v>9069</v>
      </c>
      <c r="P14" s="32" t="n">
        <f aca="false">P60</f>
        <v>9069</v>
      </c>
      <c r="Q14" s="32" t="n">
        <f aca="false">Q60</f>
        <v>9069</v>
      </c>
      <c r="R14" s="27"/>
    </row>
    <row r="15" customFormat="false" ht="12.75" hidden="false" customHeight="false" outlineLevel="0" collapsed="false">
      <c r="A15" s="12" t="s">
        <v>156</v>
      </c>
      <c r="B15" s="12"/>
      <c r="C15" s="12"/>
      <c r="D15" s="192"/>
      <c r="E15" s="288"/>
      <c r="F15" s="289" t="n">
        <f aca="false">F11/F14</f>
        <v>3.90814863821811</v>
      </c>
      <c r="G15" s="195" t="n">
        <f aca="false">G11/G14</f>
        <v>3.90814863821811</v>
      </c>
      <c r="H15" s="195" t="n">
        <f aca="false">H11/H14</f>
        <v>3.90814863821811</v>
      </c>
      <c r="I15" s="195" t="n">
        <f aca="false">I11/I14</f>
        <v>3.90814863821811</v>
      </c>
      <c r="J15" s="195" t="n">
        <f aca="false">J11/J14</f>
        <v>3.90814863821811</v>
      </c>
      <c r="K15" s="195" t="n">
        <f aca="false">K11/K14</f>
        <v>3.90814863821811</v>
      </c>
      <c r="L15" s="195" t="n">
        <f aca="false">L11/L14</f>
        <v>3.90814863821811</v>
      </c>
      <c r="M15" s="195" t="n">
        <f aca="false">M11/M14</f>
        <v>3.90814863821811</v>
      </c>
      <c r="N15" s="195" t="n">
        <f aca="false">N11/N14</f>
        <v>3.90814863821811</v>
      </c>
      <c r="O15" s="195" t="n">
        <f aca="false">O11/O14</f>
        <v>3.90814863821811</v>
      </c>
      <c r="P15" s="195" t="n">
        <f aca="false">P11/P14</f>
        <v>3.90814863821811</v>
      </c>
      <c r="Q15" s="195" t="n">
        <f aca="false">Q11/Q14</f>
        <v>3.90814863821811</v>
      </c>
      <c r="R15" s="27"/>
    </row>
    <row r="16" customFormat="false" ht="12.75" hidden="false" customHeight="false" outlineLevel="0" collapsed="false">
      <c r="A16" s="113" t="s">
        <v>119</v>
      </c>
      <c r="B16" s="114"/>
      <c r="C16" s="114"/>
      <c r="D16" s="114"/>
      <c r="E16" s="290"/>
      <c r="F16" s="291" t="n">
        <f aca="false">(F11-F14)</f>
        <v>26374</v>
      </c>
      <c r="G16" s="115" t="n">
        <f aca="false">(G11-G14)</f>
        <v>26374</v>
      </c>
      <c r="H16" s="115" t="n">
        <f aca="false">(H11-H14)</f>
        <v>26374</v>
      </c>
      <c r="I16" s="115" t="n">
        <f aca="false">(I11-I14)</f>
        <v>26374</v>
      </c>
      <c r="J16" s="115" t="n">
        <f aca="false">(J11-J14)</f>
        <v>26374</v>
      </c>
      <c r="K16" s="115" t="n">
        <f aca="false">(K11-K14)</f>
        <v>26374</v>
      </c>
      <c r="L16" s="115" t="n">
        <f aca="false">(L11-L14)</f>
        <v>26374</v>
      </c>
      <c r="M16" s="115" t="n">
        <f aca="false">(M11-M14)</f>
        <v>26374</v>
      </c>
      <c r="N16" s="115" t="n">
        <f aca="false">(N11-N14)</f>
        <v>26374</v>
      </c>
      <c r="O16" s="115" t="n">
        <f aca="false">(O11-O14)</f>
        <v>26374</v>
      </c>
      <c r="P16" s="115" t="n">
        <f aca="false">(P11-P14)</f>
        <v>26374</v>
      </c>
      <c r="Q16" s="117" t="n">
        <f aca="false">(Q11-Q14)</f>
        <v>26374</v>
      </c>
      <c r="R16" s="27"/>
    </row>
    <row r="17" customFormat="false" ht="12.75" hidden="false" customHeight="false" outlineLevel="0" collapsed="false">
      <c r="E17" s="36"/>
      <c r="F17" s="278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27"/>
    </row>
    <row r="18" customFormat="false" ht="12.75" hidden="false" customHeight="false" outlineLevel="0" collapsed="false">
      <c r="A18" s="0" t="s">
        <v>157</v>
      </c>
      <c r="B18" s="201"/>
      <c r="E18" s="36"/>
      <c r="F18" s="278" t="n">
        <v>0</v>
      </c>
      <c r="G18" s="120" t="n">
        <f aca="false">G83</f>
        <v>6806.4420202628</v>
      </c>
      <c r="H18" s="120" t="n">
        <f aca="false">H83</f>
        <v>7016.2420202628</v>
      </c>
      <c r="I18" s="120" t="n">
        <f aca="false">I83</f>
        <v>7226.0420202628</v>
      </c>
      <c r="J18" s="120" t="n">
        <f aca="false">J83</f>
        <v>7435.8420202628</v>
      </c>
      <c r="K18" s="120" t="n">
        <f aca="false">K83</f>
        <v>7645.6420202628</v>
      </c>
      <c r="L18" s="120" t="n">
        <f aca="false">L83</f>
        <v>7855.4420202628</v>
      </c>
      <c r="M18" s="120" t="n">
        <f aca="false">M83</f>
        <v>8065.2420202628</v>
      </c>
      <c r="N18" s="120" t="n">
        <f aca="false">N83</f>
        <v>8275.0420202628</v>
      </c>
      <c r="O18" s="120" t="n">
        <f aca="false">O83</f>
        <v>8484.8420202628</v>
      </c>
      <c r="P18" s="120" t="n">
        <f aca="false">P83</f>
        <v>8694.6420202628</v>
      </c>
      <c r="Q18" s="120" t="n">
        <f aca="false">Q83</f>
        <v>8904.4420202628</v>
      </c>
      <c r="R18" s="27"/>
    </row>
    <row r="19" customFormat="false" ht="12.75" hidden="false" customHeight="false" outlineLevel="0" collapsed="false">
      <c r="E19" s="36"/>
      <c r="F19" s="278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7"/>
    </row>
    <row r="20" customFormat="false" ht="12.75" hidden="false" customHeight="false" outlineLevel="0" collapsed="false">
      <c r="A20" s="113" t="s">
        <v>122</v>
      </c>
      <c r="B20" s="114"/>
      <c r="C20" s="114"/>
      <c r="D20" s="114"/>
      <c r="E20" s="290"/>
      <c r="F20" s="291" t="n">
        <f aca="false">F16-F18</f>
        <v>26374</v>
      </c>
      <c r="G20" s="115" t="n">
        <f aca="false">G16-G18</f>
        <v>19567.5579797372</v>
      </c>
      <c r="H20" s="115" t="n">
        <f aca="false">H16-H18</f>
        <v>19357.7579797372</v>
      </c>
      <c r="I20" s="115" t="n">
        <f aca="false">I16-I18</f>
        <v>19147.9579797372</v>
      </c>
      <c r="J20" s="115" t="n">
        <f aca="false">J16-J18</f>
        <v>18938.1579797372</v>
      </c>
      <c r="K20" s="115" t="n">
        <f aca="false">K16-K18</f>
        <v>18728.3579797372</v>
      </c>
      <c r="L20" s="115" t="n">
        <f aca="false">L16-L18</f>
        <v>18518.5579797372</v>
      </c>
      <c r="M20" s="115" t="n">
        <f aca="false">M16-M18</f>
        <v>18308.7579797372</v>
      </c>
      <c r="N20" s="115" t="n">
        <f aca="false">N16-N18</f>
        <v>18098.9579797372</v>
      </c>
      <c r="O20" s="115" t="n">
        <f aca="false">O16-O18</f>
        <v>17889.1579797372</v>
      </c>
      <c r="P20" s="115" t="n">
        <f aca="false">P16-P18</f>
        <v>17679.3579797372</v>
      </c>
      <c r="Q20" s="117" t="n">
        <f aca="false">Q16-Q18</f>
        <v>17469.5579797372</v>
      </c>
      <c r="R20" s="27"/>
    </row>
    <row r="21" customFormat="false" ht="12.75" hidden="false" customHeight="false" outlineLevel="0" collapsed="false">
      <c r="E21" s="36"/>
      <c r="F21" s="278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27"/>
    </row>
    <row r="22" customFormat="false" ht="12.75" hidden="false" customHeight="false" outlineLevel="0" collapsed="false">
      <c r="A22" s="32" t="s">
        <v>159</v>
      </c>
      <c r="E22" s="216"/>
      <c r="F22" s="278"/>
      <c r="G22" s="32" t="n">
        <f aca="false">$B$24*(G16-G88)</f>
        <v>7533.50982219882</v>
      </c>
      <c r="H22" s="32" t="n">
        <f aca="false">$B$24*(H16-H88)</f>
        <v>5094.30466217776</v>
      </c>
      <c r="I22" s="32" t="n">
        <f aca="false">$B$24*(I16-I88)</f>
        <v>5438.72719595998</v>
      </c>
      <c r="J22" s="32" t="n">
        <f aca="false">$B$24*(J16-J88)</f>
        <v>5746.08699618618</v>
      </c>
      <c r="K22" s="32" t="n">
        <f aca="false">$B$24*(K16-K88)</f>
        <v>6025.25052356757</v>
      </c>
      <c r="L22" s="32" t="n">
        <f aca="false">$B$24*(L16-L88)</f>
        <v>6280.16637045973</v>
      </c>
      <c r="M22" s="32" t="n">
        <f aca="false">$B$24*(M16-M88)</f>
        <v>6352.47490419461</v>
      </c>
      <c r="N22" s="32" t="n">
        <f aca="false">$B$24*(N16-N88)</f>
        <v>6257.16276419461</v>
      </c>
      <c r="O22" s="32" t="n">
        <f aca="false">$B$24*(O16-O88)</f>
        <v>6156.60966383901</v>
      </c>
      <c r="P22" s="32" t="n">
        <f aca="false">$B$24*(P16-P88)</f>
        <v>6066.37693819461</v>
      </c>
      <c r="Q22" s="32" t="n">
        <f aca="false">$B$24*(Q16-Q88)</f>
        <v>5965.82383783901</v>
      </c>
      <c r="R22" s="27"/>
    </row>
    <row r="23" customFormat="false" ht="15" hidden="false" customHeight="false" outlineLevel="0" collapsed="false">
      <c r="A23" s="32" t="s">
        <v>160</v>
      </c>
      <c r="E23" s="292"/>
      <c r="F23" s="293"/>
      <c r="G23" s="116" t="n">
        <f aca="false">G24-G22</f>
        <v>0</v>
      </c>
      <c r="H23" s="116" t="n">
        <f aca="false">H24-H22</f>
        <v>2358.43216002106</v>
      </c>
      <c r="I23" s="116" t="n">
        <f aca="false">I24-I22</f>
        <v>1933.23662623884</v>
      </c>
      <c r="J23" s="116" t="n">
        <f aca="false">J24-J22</f>
        <v>1545.10382601264</v>
      </c>
      <c r="K23" s="116" t="n">
        <f aca="false">K24-K22</f>
        <v>1185.16729863126</v>
      </c>
      <c r="L23" s="116" t="n">
        <f aca="false">L24-L22</f>
        <v>849.47845173909</v>
      </c>
      <c r="M23" s="116" t="n">
        <f aca="false">M24-M22</f>
        <v>696.396918004211</v>
      </c>
      <c r="N23" s="116" t="n">
        <f aca="false">N24-N22</f>
        <v>710.936058004213</v>
      </c>
      <c r="O23" s="116" t="n">
        <f aca="false">O24-O22</f>
        <v>730.716158359815</v>
      </c>
      <c r="P23" s="116" t="n">
        <f aca="false">P24-P22</f>
        <v>740.175884004211</v>
      </c>
      <c r="Q23" s="116" t="n">
        <f aca="false">Q24-Q22</f>
        <v>759.955984359815</v>
      </c>
      <c r="R23" s="27"/>
    </row>
    <row r="24" customFormat="false" ht="12.75" hidden="false" customHeight="false" outlineLevel="0" collapsed="false">
      <c r="A24" s="209" t="s">
        <v>154</v>
      </c>
      <c r="B24" s="294" t="n">
        <f aca="false">Assumptions!D19</f>
        <v>0.385</v>
      </c>
      <c r="E24" s="216"/>
      <c r="F24" s="278" t="n">
        <v>0</v>
      </c>
      <c r="G24" s="32" t="n">
        <f aca="false">$B$24*G20</f>
        <v>7533.50982219882</v>
      </c>
      <c r="H24" s="32" t="n">
        <f aca="false">$B$24*H20</f>
        <v>7452.73682219882</v>
      </c>
      <c r="I24" s="32" t="n">
        <f aca="false">$B$24*I20</f>
        <v>7371.96382219882</v>
      </c>
      <c r="J24" s="32" t="n">
        <f aca="false">$B$24*J20</f>
        <v>7291.19082219882</v>
      </c>
      <c r="K24" s="32" t="n">
        <f aca="false">$B$24*K20</f>
        <v>7210.41782219882</v>
      </c>
      <c r="L24" s="32" t="n">
        <f aca="false">$B$24*L20</f>
        <v>7129.64482219882</v>
      </c>
      <c r="M24" s="32" t="n">
        <f aca="false">$B$24*M20</f>
        <v>7048.87182219882</v>
      </c>
      <c r="N24" s="32" t="n">
        <f aca="false">$B$24*N20</f>
        <v>6968.09882219882</v>
      </c>
      <c r="O24" s="32" t="n">
        <f aca="false">$B$24*O20</f>
        <v>6887.32582219882</v>
      </c>
      <c r="P24" s="32" t="n">
        <f aca="false">$B$24*P20</f>
        <v>6806.55282219882</v>
      </c>
      <c r="Q24" s="32" t="n">
        <f aca="false">$B$24*Q20</f>
        <v>6725.77982219882</v>
      </c>
      <c r="R24" s="27"/>
    </row>
    <row r="25" customFormat="false" ht="12.75" hidden="false" customHeight="false" outlineLevel="0" collapsed="false">
      <c r="A25" s="32"/>
      <c r="B25" s="54"/>
      <c r="E25" s="36"/>
      <c r="F25" s="278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27"/>
    </row>
    <row r="26" customFormat="false" ht="12.75" hidden="false" customHeight="false" outlineLevel="0" collapsed="false">
      <c r="A26" s="295" t="s">
        <v>126</v>
      </c>
      <c r="B26" s="124"/>
      <c r="C26" s="114"/>
      <c r="D26" s="114"/>
      <c r="E26" s="296"/>
      <c r="F26" s="291" t="n">
        <f aca="false">F20-F24</f>
        <v>26374</v>
      </c>
      <c r="G26" s="115" t="n">
        <f aca="false">G20-G24</f>
        <v>12034.0481575384</v>
      </c>
      <c r="H26" s="115" t="n">
        <f aca="false">H20-H24</f>
        <v>11905.0211575384</v>
      </c>
      <c r="I26" s="115" t="n">
        <f aca="false">I20-I24</f>
        <v>11775.9941575384</v>
      </c>
      <c r="J26" s="115" t="n">
        <f aca="false">J20-J24</f>
        <v>11646.9671575384</v>
      </c>
      <c r="K26" s="115" t="n">
        <f aca="false">K20-K24</f>
        <v>11517.9401575384</v>
      </c>
      <c r="L26" s="115" t="n">
        <f aca="false">L20-L24</f>
        <v>11388.9131575384</v>
      </c>
      <c r="M26" s="115" t="n">
        <f aca="false">M20-M24</f>
        <v>11259.8861575384</v>
      </c>
      <c r="N26" s="115" t="n">
        <f aca="false">N20-N24</f>
        <v>11130.8591575384</v>
      </c>
      <c r="O26" s="115" t="n">
        <f aca="false">O20-O24</f>
        <v>11001.8321575384</v>
      </c>
      <c r="P26" s="115" t="n">
        <f aca="false">P20-P24</f>
        <v>10872.8051575384</v>
      </c>
      <c r="Q26" s="117" t="n">
        <f aca="false">Q20-Q24</f>
        <v>10743.7781575384</v>
      </c>
      <c r="R26" s="340" t="s">
        <v>119</v>
      </c>
    </row>
    <row r="27" customFormat="false" ht="12.75" hidden="false" customHeight="false" outlineLevel="0" collapsed="false">
      <c r="A27" s="32"/>
      <c r="B27" s="54"/>
      <c r="E27" s="36"/>
      <c r="F27" s="278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217" t="s">
        <v>162</v>
      </c>
    </row>
    <row r="28" customFormat="false" ht="12.75" hidden="false" customHeight="false" outlineLevel="0" collapsed="false">
      <c r="A28" s="32" t="s">
        <v>161</v>
      </c>
      <c r="B28" s="54"/>
      <c r="E28" s="36"/>
      <c r="F28" s="278" t="n">
        <f aca="false">F26+F23+F18</f>
        <v>26374</v>
      </c>
      <c r="G28" s="32" t="n">
        <f aca="false">G26+G23+G18</f>
        <v>18840.4901778012</v>
      </c>
      <c r="H28" s="32" t="n">
        <f aca="false">H26+H23+H18</f>
        <v>21279.6953378222</v>
      </c>
      <c r="I28" s="32" t="n">
        <f aca="false">I26+I23+I18</f>
        <v>20935.27280404</v>
      </c>
      <c r="J28" s="32" t="n">
        <f aca="false">J26+J23+J18</f>
        <v>20627.9130038138</v>
      </c>
      <c r="K28" s="32" t="n">
        <f aca="false">K26+K23+K18</f>
        <v>20348.7494764324</v>
      </c>
      <c r="L28" s="32" t="n">
        <f aca="false">L26+L23+L18</f>
        <v>20093.8336295403</v>
      </c>
      <c r="M28" s="32" t="n">
        <f aca="false">M26+M23+M18</f>
        <v>20021.5250958054</v>
      </c>
      <c r="N28" s="32" t="n">
        <f aca="false">N26+N23+N18</f>
        <v>20116.8372358054</v>
      </c>
      <c r="O28" s="32" t="n">
        <f aca="false">O26+O23+O18</f>
        <v>20217.390336161</v>
      </c>
      <c r="P28" s="32" t="n">
        <f aca="false">P26+P23+P18</f>
        <v>20307.6230618054</v>
      </c>
      <c r="Q28" s="32" t="n">
        <f aca="false">Q26+Q23+Q18</f>
        <v>20408.176162161</v>
      </c>
      <c r="R28" s="217" t="s">
        <v>163</v>
      </c>
    </row>
    <row r="29" customFormat="false" ht="12.75" hidden="false" customHeight="false" outlineLevel="0" collapsed="false">
      <c r="A29" s="32" t="s">
        <v>132</v>
      </c>
      <c r="B29" s="297" t="n">
        <f aca="false">Assumptions!C41</f>
        <v>1</v>
      </c>
      <c r="E29" s="36"/>
      <c r="F29" s="278" t="n">
        <f aca="false">F77*$B$29</f>
        <v>4196</v>
      </c>
      <c r="G29" s="32" t="n">
        <f aca="false">$B$29*G77</f>
        <v>4196</v>
      </c>
      <c r="H29" s="32" t="n">
        <f aca="false">$B$29*H77</f>
        <v>4196</v>
      </c>
      <c r="I29" s="32" t="n">
        <f aca="false">$B$29*I77</f>
        <v>4196</v>
      </c>
      <c r="J29" s="32" t="n">
        <f aca="false">$B$29*J77</f>
        <v>4196</v>
      </c>
      <c r="K29" s="32" t="n">
        <f aca="false">$B$29*K77</f>
        <v>4196</v>
      </c>
      <c r="L29" s="32" t="n">
        <f aca="false">$B$29*L77</f>
        <v>4196</v>
      </c>
      <c r="M29" s="32" t="n">
        <f aca="false">$B$29*M77</f>
        <v>4196</v>
      </c>
      <c r="N29" s="32" t="n">
        <f aca="false">$B$29*N77</f>
        <v>4196</v>
      </c>
      <c r="O29" s="32" t="n">
        <f aca="false">$B$29*O77</f>
        <v>4196</v>
      </c>
      <c r="P29" s="32" t="n">
        <f aca="false">$B$29*P77</f>
        <v>4196</v>
      </c>
      <c r="Q29" s="32" t="n">
        <f aca="false">$B$29*Q77</f>
        <v>4196</v>
      </c>
      <c r="R29" s="341" t="n">
        <f aca="false">Assumptions!E40</f>
        <v>6</v>
      </c>
    </row>
    <row r="30" customFormat="false" ht="12.75" hidden="false" customHeight="false" outlineLevel="0" collapsed="false">
      <c r="A30" s="299" t="s">
        <v>164</v>
      </c>
      <c r="B30" s="114"/>
      <c r="C30" s="114"/>
      <c r="D30" s="114"/>
      <c r="E30" s="290"/>
      <c r="F30" s="291" t="n">
        <f aca="false">F28-F29</f>
        <v>22178</v>
      </c>
      <c r="G30" s="115" t="n">
        <f aca="false">G28-G29</f>
        <v>14644.4901778012</v>
      </c>
      <c r="H30" s="115" t="n">
        <f aca="false">H28-H29</f>
        <v>17083.6953378222</v>
      </c>
      <c r="I30" s="115" t="n">
        <f aca="false">I28-I29</f>
        <v>16739.27280404</v>
      </c>
      <c r="J30" s="115" t="n">
        <f aca="false">J28-J29</f>
        <v>16431.9130038138</v>
      </c>
      <c r="K30" s="115" t="n">
        <f aca="false">K28-K29</f>
        <v>16152.7494764324</v>
      </c>
      <c r="L30" s="115" t="n">
        <f aca="false">L28-L29</f>
        <v>15897.8336295403</v>
      </c>
      <c r="M30" s="115" t="n">
        <f aca="false">M28-M29</f>
        <v>15825.5250958054</v>
      </c>
      <c r="N30" s="115" t="n">
        <f aca="false">N28-N29</f>
        <v>15920.8372358054</v>
      </c>
      <c r="O30" s="115" t="n">
        <f aca="false">O28-O29</f>
        <v>16021.390336161</v>
      </c>
      <c r="P30" s="115" t="n">
        <f aca="false">P28-P29</f>
        <v>16111.6230618054</v>
      </c>
      <c r="Q30" s="115" t="n">
        <f aca="false">Q28-Q29</f>
        <v>16212.176162161</v>
      </c>
      <c r="R30" s="117" t="n">
        <f aca="false">Q16*R29</f>
        <v>158244</v>
      </c>
    </row>
    <row r="31" customFormat="false" ht="12.75" hidden="false" customHeight="false" outlineLevel="0" collapsed="false">
      <c r="A31" s="209"/>
      <c r="E31" s="36"/>
      <c r="F31" s="278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</row>
    <row r="32" customFormat="false" ht="13.5" hidden="false" customHeight="false" outlineLevel="0" collapsed="false">
      <c r="R32" s="32"/>
    </row>
    <row r="33" customFormat="false" ht="15" hidden="false" customHeight="false" outlineLevel="0" collapsed="false">
      <c r="F33" s="0"/>
      <c r="G33" s="301" t="s">
        <v>169</v>
      </c>
      <c r="H33" s="302" t="str">
        <f aca="false">(Assumptions!D12-1&amp;" EBITDA")</f>
        <v>1999 EBITDA</v>
      </c>
      <c r="I33" s="302" t="s">
        <v>179</v>
      </c>
      <c r="J33" s="303"/>
      <c r="K33" s="304" t="s">
        <v>170</v>
      </c>
      <c r="L33" s="304"/>
      <c r="M33" s="304"/>
      <c r="P33" s="32"/>
      <c r="Q33" s="32"/>
      <c r="R33" s="32"/>
    </row>
    <row r="34" customFormat="false" ht="15" hidden="false" customHeight="false" outlineLevel="0" collapsed="false">
      <c r="F34" s="0"/>
      <c r="G34" s="305" t="s">
        <v>171</v>
      </c>
      <c r="H34" s="306" t="s">
        <v>172</v>
      </c>
      <c r="I34" s="306" t="s">
        <v>180</v>
      </c>
      <c r="J34" s="307"/>
      <c r="K34" s="308" t="n">
        <f aca="false">Asset2DRate-0.025</f>
        <v>0.1</v>
      </c>
      <c r="L34" s="308" t="n">
        <f aca="false">Assumptions!H43</f>
        <v>0.125</v>
      </c>
      <c r="M34" s="309" t="n">
        <f aca="false">Asset2DRate+0.025</f>
        <v>0.15</v>
      </c>
      <c r="P34" s="32"/>
      <c r="Q34" s="32"/>
      <c r="R34" s="32"/>
    </row>
    <row r="35" customFormat="false" ht="12.75" hidden="false" customHeight="false" outlineLevel="0" collapsed="false">
      <c r="F35" s="52" t="s">
        <v>174</v>
      </c>
      <c r="G35" s="248"/>
      <c r="H35" s="310"/>
      <c r="I35" s="310"/>
      <c r="J35" s="249"/>
      <c r="K35" s="249"/>
      <c r="L35" s="249"/>
      <c r="M35" s="251"/>
      <c r="P35" s="32"/>
      <c r="Q35" s="32"/>
      <c r="R35" s="32"/>
    </row>
    <row r="36" customFormat="false" ht="13.5" hidden="false" customHeight="false" outlineLevel="0" collapsed="false">
      <c r="F36" s="0" t="n">
        <f aca="false">IF(ABS(G36-L36)&lt;0.05,0,1)</f>
        <v>0</v>
      </c>
      <c r="G36" s="311" t="n">
        <v>131932.840405256</v>
      </c>
      <c r="H36" s="312" t="n">
        <f aca="false">G36/F16</f>
        <v>5.00238266494487</v>
      </c>
      <c r="I36" s="313" t="str">
        <f aca="false">Assumptions!D40</f>
        <v>ETS</v>
      </c>
      <c r="J36" s="314"/>
      <c r="K36" s="342" t="n">
        <f aca="false">NPV(K34,$G$30:$R$30)</f>
        <v>154893.340009193</v>
      </c>
      <c r="L36" s="343" t="n">
        <f aca="false">NPV(L34,$G$30:$R$30)</f>
        <v>131932.876058772</v>
      </c>
      <c r="M36" s="317" t="n">
        <f aca="false">NPV(M34,$G$30:$R$30)</f>
        <v>113709.663283578</v>
      </c>
      <c r="P36" s="32"/>
      <c r="Q36" s="32"/>
      <c r="R36" s="32"/>
    </row>
    <row r="37" customFormat="false" ht="12.75" hidden="false" customHeight="false" outlineLevel="0" collapsed="false">
      <c r="F37" s="0"/>
      <c r="G37" s="32"/>
      <c r="H37" s="318"/>
      <c r="I37" s="318"/>
      <c r="J37" s="32"/>
      <c r="K37" s="32"/>
      <c r="L37" s="32"/>
      <c r="M37" s="32"/>
      <c r="P37" s="32"/>
      <c r="Q37" s="32"/>
      <c r="R37" s="32"/>
    </row>
    <row r="38" customFormat="false" ht="12.75" hidden="false" customHeight="false" outlineLevel="0" collapsed="false">
      <c r="F38" s="32"/>
      <c r="G38" s="32"/>
      <c r="H38" s="32"/>
      <c r="I38" s="32"/>
      <c r="J38" s="32"/>
      <c r="K38" s="32"/>
      <c r="L38" s="32"/>
      <c r="N38" s="32"/>
      <c r="O38" s="32"/>
      <c r="P38" s="32"/>
      <c r="Q38" s="32"/>
    </row>
    <row r="39" customFormat="false" ht="12.75" hidden="false" customHeight="false" outlineLevel="0" collapsed="false">
      <c r="E39" s="32"/>
      <c r="F39" s="32"/>
      <c r="G39" s="32"/>
      <c r="I39" s="27"/>
      <c r="J39" s="27"/>
      <c r="K39" s="27"/>
      <c r="L39" s="27"/>
      <c r="M39" s="27"/>
      <c r="N39" s="27"/>
      <c r="O39" s="27"/>
      <c r="P39" s="27"/>
      <c r="Q39" s="27"/>
    </row>
    <row r="40" customFormat="false" ht="12.75" hidden="false" customHeight="false" outlineLevel="0" collapsed="false">
      <c r="E40" s="32"/>
      <c r="F40" s="32"/>
      <c r="G40" s="32"/>
      <c r="H40" s="32"/>
      <c r="I40" s="27"/>
      <c r="J40" s="27"/>
      <c r="K40" s="27"/>
      <c r="L40" s="27"/>
      <c r="M40" s="27"/>
      <c r="N40" s="27"/>
      <c r="O40" s="27"/>
      <c r="P40" s="27"/>
      <c r="Q40" s="27"/>
    </row>
    <row r="41" customFormat="false" ht="13.5" hidden="false" customHeight="false" outlineLevel="0" collapsed="false">
      <c r="A41" s="13" t="s">
        <v>181</v>
      </c>
    </row>
    <row r="42" customFormat="false" ht="13.5" hidden="false" customHeight="false" outlineLevel="0" collapsed="false">
      <c r="B42" s="319" t="s">
        <v>182</v>
      </c>
      <c r="C42" s="320" t="s">
        <v>183</v>
      </c>
      <c r="F42" s="321" t="n">
        <f aca="false">G42-1</f>
        <v>1999</v>
      </c>
      <c r="G42" s="13" t="n">
        <f aca="false">Assumptions!D12</f>
        <v>2000</v>
      </c>
      <c r="H42" s="13" t="n">
        <f aca="false">G42+1</f>
        <v>2001</v>
      </c>
      <c r="I42" s="13" t="n">
        <f aca="false">H42+1</f>
        <v>2002</v>
      </c>
      <c r="J42" s="13" t="n">
        <f aca="false">I42+1</f>
        <v>2003</v>
      </c>
      <c r="K42" s="13" t="n">
        <f aca="false">J42+1</f>
        <v>2004</v>
      </c>
      <c r="L42" s="13" t="n">
        <f aca="false">K42+1</f>
        <v>2005</v>
      </c>
      <c r="M42" s="13" t="n">
        <f aca="false">L42+1</f>
        <v>2006</v>
      </c>
      <c r="N42" s="13" t="n">
        <f aca="false">M42+1</f>
        <v>2007</v>
      </c>
      <c r="O42" s="13" t="n">
        <f aca="false">N42+1</f>
        <v>2008</v>
      </c>
      <c r="P42" s="13" t="n">
        <f aca="false">O42+1</f>
        <v>2009</v>
      </c>
      <c r="Q42" s="13" t="n">
        <f aca="false">P42+1</f>
        <v>2010</v>
      </c>
    </row>
    <row r="43" customFormat="false" ht="13.5" hidden="false" customHeight="false" outlineLevel="0" collapsed="false">
      <c r="A43" s="322" t="str">
        <f aca="false">A2</f>
        <v>  Marketing - Cash Flow Analysis</v>
      </c>
      <c r="B43" s="323" t="n">
        <f aca="false">Assumptions!C41</f>
        <v>1</v>
      </c>
      <c r="C43" s="324" t="n">
        <v>1</v>
      </c>
      <c r="D43" s="114"/>
      <c r="E43" s="325"/>
      <c r="F43" s="291" t="n">
        <f aca="false">F48*$B$43</f>
        <v>35443</v>
      </c>
      <c r="G43" s="115" t="n">
        <f aca="false">CHOOSE($C$43,G48,G51,G54)*$B$43+G44</f>
        <v>35443</v>
      </c>
      <c r="H43" s="115" t="n">
        <f aca="false">CHOOSE($C$43,H48,H51,H54)*$B$43+H44</f>
        <v>35443</v>
      </c>
      <c r="I43" s="115" t="n">
        <f aca="false">CHOOSE($C$43,I48,I51,I54)*$B$43+I44</f>
        <v>35443</v>
      </c>
      <c r="J43" s="115" t="n">
        <f aca="false">CHOOSE($C$43,J48,J51,J54)*$B$43+J44</f>
        <v>35443</v>
      </c>
      <c r="K43" s="115" t="n">
        <f aca="false">CHOOSE($C$43,K48,K51,K54)*$B$43+K44</f>
        <v>35443</v>
      </c>
      <c r="L43" s="115" t="n">
        <f aca="false">CHOOSE($C$43,L48,L51,L54)*$B$43+L44</f>
        <v>35443</v>
      </c>
      <c r="M43" s="115" t="n">
        <f aca="false">CHOOSE($C$43,M48,M51,M54)*$B$43+M44</f>
        <v>35443</v>
      </c>
      <c r="N43" s="115" t="n">
        <f aca="false">CHOOSE($C$43,N48,N51,N54)*$B$43+N44</f>
        <v>35443</v>
      </c>
      <c r="O43" s="115" t="n">
        <f aca="false">CHOOSE($C$43,O48,O51,O54)*$B$43+O44</f>
        <v>35443</v>
      </c>
      <c r="P43" s="115" t="n">
        <f aca="false">CHOOSE($C$43,P48,P51,P54)*$B$43+P44</f>
        <v>35443</v>
      </c>
      <c r="Q43" s="117" t="n">
        <f aca="false">CHOOSE($C$43,Q48,Q51,Q54)*$B$43+Q44</f>
        <v>35443</v>
      </c>
    </row>
    <row r="44" customFormat="false" ht="12.75" hidden="false" customHeight="false" outlineLevel="0" collapsed="false">
      <c r="C44" s="326"/>
      <c r="F44" s="284" t="s">
        <v>184</v>
      </c>
      <c r="G44" s="32" t="n">
        <v>0</v>
      </c>
      <c r="H44" s="32" t="n">
        <v>0</v>
      </c>
      <c r="I44" s="32" t="n">
        <v>0</v>
      </c>
      <c r="J44" s="32" t="n">
        <v>0</v>
      </c>
      <c r="K44" s="32" t="n">
        <v>0</v>
      </c>
      <c r="L44" s="32" t="n">
        <v>0</v>
      </c>
      <c r="M44" s="32" t="n">
        <v>0</v>
      </c>
      <c r="N44" s="32" t="n">
        <v>0</v>
      </c>
      <c r="O44" s="32" t="n">
        <v>0</v>
      </c>
      <c r="P44" s="32" t="n">
        <v>0</v>
      </c>
      <c r="Q44" s="32" t="n">
        <v>0</v>
      </c>
    </row>
    <row r="45" customFormat="false" ht="12.75" hidden="false" customHeight="false" outlineLevel="0" collapsed="false">
      <c r="C45" s="327"/>
      <c r="D45" s="279"/>
      <c r="F45" s="284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customFormat="false" ht="12.75" hidden="false" customHeight="false" outlineLevel="0" collapsed="false">
      <c r="A46" s="0" t="str">
        <f aca="false">Assumptions!B58</f>
        <v>1. Base Case</v>
      </c>
      <c r="C46" s="327" t="n">
        <v>1</v>
      </c>
      <c r="F46" s="123"/>
    </row>
    <row r="47" customFormat="false" ht="15" hidden="false" customHeight="false" outlineLevel="0" collapsed="false">
      <c r="A47" s="0" t="s">
        <v>185</v>
      </c>
      <c r="C47" s="327"/>
      <c r="D47" s="328"/>
      <c r="E47" s="36"/>
      <c r="F47" s="293" t="n">
        <v>35443</v>
      </c>
      <c r="G47" s="116" t="n">
        <f aca="false">F47</f>
        <v>35443</v>
      </c>
      <c r="H47" s="116" t="n">
        <f aca="false">G47</f>
        <v>35443</v>
      </c>
      <c r="I47" s="116" t="n">
        <f aca="false">H47</f>
        <v>35443</v>
      </c>
      <c r="J47" s="116" t="n">
        <f aca="false">I47</f>
        <v>35443</v>
      </c>
      <c r="K47" s="116" t="n">
        <f aca="false">J47</f>
        <v>35443</v>
      </c>
      <c r="L47" s="116" t="n">
        <f aca="false">K47</f>
        <v>35443</v>
      </c>
      <c r="M47" s="116" t="n">
        <f aca="false">L47</f>
        <v>35443</v>
      </c>
      <c r="N47" s="116" t="n">
        <f aca="false">M47</f>
        <v>35443</v>
      </c>
      <c r="O47" s="116" t="n">
        <f aca="false">N47</f>
        <v>35443</v>
      </c>
      <c r="P47" s="116" t="n">
        <f aca="false">O47</f>
        <v>35443</v>
      </c>
      <c r="Q47" s="116" t="n">
        <f aca="false">P47</f>
        <v>35443</v>
      </c>
    </row>
    <row r="48" customFormat="false" ht="12.75" hidden="false" customHeight="false" outlineLevel="0" collapsed="false">
      <c r="A48" s="190" t="s">
        <v>154</v>
      </c>
      <c r="B48" s="329" t="n">
        <v>1</v>
      </c>
      <c r="C48" s="327"/>
      <c r="D48" s="282"/>
      <c r="E48" s="283"/>
      <c r="F48" s="278" t="n">
        <f aca="false">SUM(F47)*$B$48</f>
        <v>35443</v>
      </c>
      <c r="G48" s="32" t="n">
        <f aca="false">SUM(G47)*$B$48+G49</f>
        <v>35443</v>
      </c>
      <c r="H48" s="32" t="n">
        <f aca="false">SUM(H47)*$B$48+H49</f>
        <v>35443</v>
      </c>
      <c r="I48" s="32" t="n">
        <f aca="false">SUM(I47)*$B$48+I49</f>
        <v>35443</v>
      </c>
      <c r="J48" s="32" t="n">
        <f aca="false">SUM(J47)*$B$48+J49</f>
        <v>35443</v>
      </c>
      <c r="K48" s="32" t="n">
        <f aca="false">SUM(K47)*$B$48+K49</f>
        <v>35443</v>
      </c>
      <c r="L48" s="32" t="n">
        <f aca="false">SUM(L47)*$B$48+L49</f>
        <v>35443</v>
      </c>
      <c r="M48" s="32" t="n">
        <f aca="false">SUM(M47)*$B$48+M49</f>
        <v>35443</v>
      </c>
      <c r="N48" s="32" t="n">
        <f aca="false">SUM(N47)*$B$48+N49</f>
        <v>35443</v>
      </c>
      <c r="O48" s="32" t="n">
        <f aca="false">SUM(O47)*$B$48+O49</f>
        <v>35443</v>
      </c>
      <c r="P48" s="32" t="n">
        <f aca="false">SUM(P47)*$B$48+P49</f>
        <v>35443</v>
      </c>
      <c r="Q48" s="32" t="n">
        <f aca="false">SUM(Q47)*$B$48+Q49</f>
        <v>35443</v>
      </c>
    </row>
    <row r="49" customFormat="false" ht="12.75" hidden="false" customHeight="false" outlineLevel="0" collapsed="false">
      <c r="C49" s="327"/>
      <c r="F49" s="284" t="s">
        <v>184</v>
      </c>
      <c r="G49" s="32" t="n">
        <v>0</v>
      </c>
      <c r="H49" s="32" t="n">
        <v>0</v>
      </c>
      <c r="I49" s="32" t="n">
        <f aca="false">H49</f>
        <v>0</v>
      </c>
      <c r="J49" s="32" t="n">
        <f aca="false">I49</f>
        <v>0</v>
      </c>
      <c r="K49" s="32" t="n">
        <f aca="false">J49</f>
        <v>0</v>
      </c>
      <c r="L49" s="32" t="n">
        <f aca="false">K49</f>
        <v>0</v>
      </c>
      <c r="M49" s="32" t="n">
        <f aca="false">L49</f>
        <v>0</v>
      </c>
      <c r="N49" s="32" t="n">
        <f aca="false">M49</f>
        <v>0</v>
      </c>
      <c r="O49" s="32" t="n">
        <f aca="false">N49</f>
        <v>0</v>
      </c>
      <c r="P49" s="32" t="n">
        <f aca="false">O49</f>
        <v>0</v>
      </c>
      <c r="Q49" s="32" t="n">
        <f aca="false">P49</f>
        <v>0</v>
      </c>
    </row>
    <row r="50" customFormat="false" ht="12.75" hidden="false" customHeight="false" outlineLevel="0" collapsed="false">
      <c r="C50" s="327"/>
      <c r="F50" s="123"/>
    </row>
    <row r="51" customFormat="false" ht="12.75" hidden="false" customHeight="false" outlineLevel="0" collapsed="false">
      <c r="A51" s="0" t="str">
        <f aca="false">Assumptions!B59</f>
        <v>2. Optimistic</v>
      </c>
      <c r="B51" s="329" t="n">
        <v>1.02</v>
      </c>
      <c r="C51" s="327" t="n">
        <v>2</v>
      </c>
      <c r="D51" s="282"/>
      <c r="F51" s="278" t="n">
        <f aca="false">F48</f>
        <v>35443</v>
      </c>
      <c r="G51" s="133" t="n">
        <f aca="false">F51*$B$51+G52</f>
        <v>36151.86</v>
      </c>
      <c r="H51" s="133" t="n">
        <f aca="false">G51*$B$51+H52</f>
        <v>36874.8972</v>
      </c>
      <c r="I51" s="133" t="n">
        <f aca="false">H51*$B$51+I52</f>
        <v>37612.395144</v>
      </c>
      <c r="J51" s="133" t="n">
        <f aca="false">I51*$B$51+J52</f>
        <v>38364.64304688</v>
      </c>
      <c r="K51" s="133" t="n">
        <f aca="false">J51*$B$51+K52</f>
        <v>39131.9359078176</v>
      </c>
      <c r="L51" s="133" t="n">
        <f aca="false">K51*$B$51+L52</f>
        <v>39914.574625974</v>
      </c>
      <c r="M51" s="133" t="n">
        <f aca="false">L51*$B$51+M52</f>
        <v>40712.8661184934</v>
      </c>
      <c r="N51" s="133" t="n">
        <f aca="false">M51*$B$51+N52</f>
        <v>41527.1234408633</v>
      </c>
      <c r="O51" s="133" t="n">
        <f aca="false">N51*$B$51+O52</f>
        <v>42357.6659096806</v>
      </c>
      <c r="P51" s="133" t="n">
        <f aca="false">O51*$B$51+P52</f>
        <v>43204.8192278742</v>
      </c>
      <c r="Q51" s="133" t="n">
        <f aca="false">P51*$B$51+Q52</f>
        <v>44068.9156124317</v>
      </c>
    </row>
    <row r="52" customFormat="false" ht="12.75" hidden="false" customHeight="false" outlineLevel="0" collapsed="false">
      <c r="C52" s="327"/>
      <c r="F52" s="284" t="s">
        <v>184</v>
      </c>
      <c r="G52" s="32" t="n">
        <v>0</v>
      </c>
      <c r="H52" s="32" t="n">
        <v>0</v>
      </c>
      <c r="I52" s="32" t="n">
        <f aca="false">H52</f>
        <v>0</v>
      </c>
      <c r="J52" s="32" t="n">
        <f aca="false">I52</f>
        <v>0</v>
      </c>
      <c r="K52" s="32" t="n">
        <f aca="false">J52</f>
        <v>0</v>
      </c>
      <c r="L52" s="32" t="n">
        <f aca="false">K52</f>
        <v>0</v>
      </c>
      <c r="M52" s="32" t="n">
        <f aca="false">L52</f>
        <v>0</v>
      </c>
      <c r="N52" s="32" t="n">
        <f aca="false">M52</f>
        <v>0</v>
      </c>
      <c r="O52" s="32" t="n">
        <f aca="false">N52</f>
        <v>0</v>
      </c>
      <c r="P52" s="32" t="n">
        <f aca="false">O52</f>
        <v>0</v>
      </c>
      <c r="Q52" s="32" t="n">
        <f aca="false">P52</f>
        <v>0</v>
      </c>
    </row>
    <row r="53" customFormat="false" ht="12.75" hidden="false" customHeight="false" outlineLevel="0" collapsed="false">
      <c r="C53" s="327"/>
      <c r="F53" s="123"/>
    </row>
    <row r="54" customFormat="false" ht="12.75" hidden="false" customHeight="false" outlineLevel="0" collapsed="false">
      <c r="A54" s="0" t="str">
        <f aca="false">Assumptions!B60</f>
        <v>3. Pessimistic</v>
      </c>
      <c r="B54" s="329" t="n">
        <v>0.99</v>
      </c>
      <c r="C54" s="327" t="n">
        <v>3</v>
      </c>
      <c r="D54" s="282"/>
      <c r="F54" s="278" t="n">
        <f aca="false">F48</f>
        <v>35443</v>
      </c>
      <c r="G54" s="133" t="n">
        <f aca="false">F54*$B$54+G55</f>
        <v>35088.57</v>
      </c>
      <c r="H54" s="133" t="n">
        <f aca="false">G54*$B$54+H55</f>
        <v>34737.6843</v>
      </c>
      <c r="I54" s="133" t="n">
        <f aca="false">H54*$B$54+I55</f>
        <v>34390.307457</v>
      </c>
      <c r="J54" s="133" t="n">
        <f aca="false">I54*$B$54+J55</f>
        <v>34046.40438243</v>
      </c>
      <c r="K54" s="133" t="n">
        <f aca="false">J54*$B$54+K55</f>
        <v>33705.9403386057</v>
      </c>
      <c r="L54" s="133" t="n">
        <f aca="false">K54*$B$54+L55</f>
        <v>33368.8809352197</v>
      </c>
      <c r="M54" s="133" t="n">
        <f aca="false">L54*$B$54+M55</f>
        <v>33035.1921258675</v>
      </c>
      <c r="N54" s="133" t="n">
        <f aca="false">M54*$B$54+N55</f>
        <v>32704.8402046088</v>
      </c>
      <c r="O54" s="133" t="n">
        <f aca="false">N54*$B$54+O55</f>
        <v>32377.7918025627</v>
      </c>
      <c r="P54" s="133" t="n">
        <f aca="false">O54*$B$54+P55</f>
        <v>32054.0138845371</v>
      </c>
      <c r="Q54" s="133" t="n">
        <f aca="false">P54*$B$54+Q55</f>
        <v>31733.4737456917</v>
      </c>
    </row>
    <row r="55" customFormat="false" ht="13.5" hidden="false" customHeight="false" outlineLevel="0" collapsed="false">
      <c r="C55" s="330"/>
      <c r="F55" s="284" t="s">
        <v>184</v>
      </c>
      <c r="G55" s="32" t="n">
        <v>0</v>
      </c>
      <c r="H55" s="32" t="n">
        <v>0</v>
      </c>
      <c r="I55" s="32" t="n">
        <f aca="false">H55</f>
        <v>0</v>
      </c>
      <c r="J55" s="32" t="n">
        <f aca="false">I55</f>
        <v>0</v>
      </c>
      <c r="K55" s="32" t="n">
        <f aca="false">J55</f>
        <v>0</v>
      </c>
      <c r="L55" s="32" t="n">
        <f aca="false">K55</f>
        <v>0</v>
      </c>
      <c r="M55" s="32" t="n">
        <f aca="false">L55</f>
        <v>0</v>
      </c>
      <c r="N55" s="32" t="n">
        <f aca="false">M55</f>
        <v>0</v>
      </c>
      <c r="O55" s="32" t="n">
        <f aca="false">N55</f>
        <v>0</v>
      </c>
      <c r="P55" s="32" t="n">
        <f aca="false">O55</f>
        <v>0</v>
      </c>
      <c r="Q55" s="32" t="n">
        <f aca="false">P55</f>
        <v>0</v>
      </c>
    </row>
    <row r="58" customFormat="false" ht="13.5" hidden="false" customHeight="false" outlineLevel="0" collapsed="false">
      <c r="A58" s="13" t="s">
        <v>186</v>
      </c>
    </row>
    <row r="59" customFormat="false" ht="13.5" hidden="false" customHeight="false" outlineLevel="0" collapsed="false">
      <c r="B59" s="319" t="s">
        <v>182</v>
      </c>
      <c r="C59" s="320" t="s">
        <v>183</v>
      </c>
      <c r="F59" s="321" t="n">
        <f aca="false">G59-1</f>
        <v>1999</v>
      </c>
      <c r="G59" s="13" t="n">
        <f aca="false">Assumptions!D12</f>
        <v>2000</v>
      </c>
      <c r="H59" s="13" t="n">
        <f aca="false">G59+1</f>
        <v>2001</v>
      </c>
      <c r="I59" s="13" t="n">
        <f aca="false">H59+1</f>
        <v>2002</v>
      </c>
      <c r="J59" s="13" t="n">
        <f aca="false">I59+1</f>
        <v>2003</v>
      </c>
      <c r="K59" s="13" t="n">
        <f aca="false">J59+1</f>
        <v>2004</v>
      </c>
      <c r="L59" s="13" t="n">
        <f aca="false">K59+1</f>
        <v>2005</v>
      </c>
      <c r="M59" s="13" t="n">
        <f aca="false">L59+1</f>
        <v>2006</v>
      </c>
      <c r="N59" s="13" t="n">
        <f aca="false">M59+1</f>
        <v>2007</v>
      </c>
      <c r="O59" s="13" t="n">
        <f aca="false">N59+1</f>
        <v>2008</v>
      </c>
      <c r="P59" s="13" t="n">
        <f aca="false">O59+1</f>
        <v>2009</v>
      </c>
      <c r="Q59" s="13" t="n">
        <f aca="false">P59+1</f>
        <v>2010</v>
      </c>
    </row>
    <row r="60" customFormat="false" ht="13.5" hidden="false" customHeight="false" outlineLevel="0" collapsed="false">
      <c r="A60" s="322" t="str">
        <f aca="false">A2</f>
        <v>  Marketing - Cash Flow Analysis</v>
      </c>
      <c r="B60" s="323" t="n">
        <f aca="false">Assumptions!C41</f>
        <v>1</v>
      </c>
      <c r="C60" s="331" t="n">
        <v>1</v>
      </c>
      <c r="D60" s="114"/>
      <c r="E60" s="325"/>
      <c r="F60" s="332" t="n">
        <f aca="false">F65*$B$60</f>
        <v>9069</v>
      </c>
      <c r="G60" s="115" t="n">
        <f aca="false">CHOOSE($C$60,G65,G68,G71)*$B$60+G61</f>
        <v>9069</v>
      </c>
      <c r="H60" s="115" t="n">
        <f aca="false">CHOOSE($C$60,H65,H68,H71)*$B$60+H61</f>
        <v>9069</v>
      </c>
      <c r="I60" s="115" t="n">
        <f aca="false">CHOOSE($C$60,I65,I68,I71)*$B$60+I61</f>
        <v>9069</v>
      </c>
      <c r="J60" s="115" t="n">
        <f aca="false">CHOOSE($C$60,J65,J68,J71)*$B$60+J61</f>
        <v>9069</v>
      </c>
      <c r="K60" s="115" t="n">
        <f aca="false">CHOOSE($C$60,K65,K68,K71)*$B$60+K61</f>
        <v>9069</v>
      </c>
      <c r="L60" s="115" t="n">
        <f aca="false">CHOOSE($C$60,L65,L68,L71)*$B$60+L61</f>
        <v>9069</v>
      </c>
      <c r="M60" s="115" t="n">
        <f aca="false">CHOOSE($C$60,M65,M68,M71)*$B$60+M61</f>
        <v>9069</v>
      </c>
      <c r="N60" s="115" t="n">
        <f aca="false">CHOOSE($C$60,N65,N68,N71)*$B$60+N61</f>
        <v>9069</v>
      </c>
      <c r="O60" s="115" t="n">
        <f aca="false">CHOOSE($C$60,O65,O68,O71)*$B$60+O61</f>
        <v>9069</v>
      </c>
      <c r="P60" s="115" t="n">
        <f aca="false">CHOOSE($C$60,P65,P68,P71)*$B$60+P61</f>
        <v>9069</v>
      </c>
      <c r="Q60" s="117" t="n">
        <f aca="false">CHOOSE($C$60,Q65,Q68,Q71)*$B$60+Q61</f>
        <v>9069</v>
      </c>
    </row>
    <row r="61" customFormat="false" ht="12.75" hidden="false" customHeight="false" outlineLevel="0" collapsed="false">
      <c r="C61" s="333"/>
      <c r="F61" s="284" t="s">
        <v>184</v>
      </c>
      <c r="G61" s="32" t="n">
        <v>0</v>
      </c>
      <c r="H61" s="32" t="n">
        <v>0</v>
      </c>
      <c r="I61" s="32" t="n">
        <v>0</v>
      </c>
      <c r="J61" s="32" t="n">
        <v>0</v>
      </c>
      <c r="K61" s="32" t="n">
        <v>0</v>
      </c>
      <c r="L61" s="32" t="n">
        <v>0</v>
      </c>
      <c r="M61" s="32" t="n">
        <v>0</v>
      </c>
      <c r="N61" s="32" t="n">
        <v>0</v>
      </c>
      <c r="O61" s="32" t="n">
        <v>0</v>
      </c>
      <c r="P61" s="32" t="n">
        <v>0</v>
      </c>
      <c r="Q61" s="32" t="n">
        <v>0</v>
      </c>
    </row>
    <row r="62" customFormat="false" ht="12.75" hidden="false" customHeight="false" outlineLevel="0" collapsed="false">
      <c r="C62" s="334"/>
      <c r="D62" s="279"/>
      <c r="E62" s="285"/>
    </row>
    <row r="63" customFormat="false" ht="12.75" hidden="false" customHeight="false" outlineLevel="0" collapsed="false">
      <c r="A63" s="0" t="str">
        <f aca="false">Assumptions!B64</f>
        <v>1. Base Case</v>
      </c>
      <c r="C63" s="334"/>
    </row>
    <row r="64" customFormat="false" ht="15" hidden="false" customHeight="false" outlineLevel="0" collapsed="false">
      <c r="A64" s="0" t="s">
        <v>185</v>
      </c>
      <c r="C64" s="334"/>
      <c r="D64" s="282"/>
      <c r="E64" s="26"/>
      <c r="F64" s="293" t="n">
        <v>9069</v>
      </c>
      <c r="G64" s="335" t="n">
        <f aca="false">F64</f>
        <v>9069</v>
      </c>
      <c r="H64" s="335" t="n">
        <f aca="false">G64</f>
        <v>9069</v>
      </c>
      <c r="I64" s="335" t="n">
        <f aca="false">H64</f>
        <v>9069</v>
      </c>
      <c r="J64" s="335" t="n">
        <f aca="false">I64</f>
        <v>9069</v>
      </c>
      <c r="K64" s="335" t="n">
        <f aca="false">J64</f>
        <v>9069</v>
      </c>
      <c r="L64" s="335" t="n">
        <f aca="false">K64</f>
        <v>9069</v>
      </c>
      <c r="M64" s="335" t="n">
        <f aca="false">L64</f>
        <v>9069</v>
      </c>
      <c r="N64" s="335" t="n">
        <f aca="false">M64</f>
        <v>9069</v>
      </c>
      <c r="O64" s="335" t="n">
        <f aca="false">N64</f>
        <v>9069</v>
      </c>
      <c r="P64" s="335" t="n">
        <f aca="false">O64</f>
        <v>9069</v>
      </c>
      <c r="Q64" s="335" t="n">
        <f aca="false">P64</f>
        <v>9069</v>
      </c>
    </row>
    <row r="65" customFormat="false" ht="12.75" hidden="false" customHeight="false" outlineLevel="0" collapsed="false">
      <c r="A65" s="190" t="s">
        <v>154</v>
      </c>
      <c r="B65" s="336" t="n">
        <v>1</v>
      </c>
      <c r="C65" s="327" t="n">
        <v>1</v>
      </c>
      <c r="D65" s="282"/>
      <c r="F65" s="337" t="n">
        <f aca="false">SUM(F64)</f>
        <v>9069</v>
      </c>
      <c r="G65" s="131" t="n">
        <f aca="false">SUM(G64)*$B$65+G66</f>
        <v>9069</v>
      </c>
      <c r="H65" s="131" t="n">
        <f aca="false">SUM(H64)*$B$65+H66</f>
        <v>9069</v>
      </c>
      <c r="I65" s="131" t="n">
        <f aca="false">SUM(I64)*$B$65+I66</f>
        <v>9069</v>
      </c>
      <c r="J65" s="131" t="n">
        <f aca="false">SUM(J64)*$B$65+J66</f>
        <v>9069</v>
      </c>
      <c r="K65" s="131" t="n">
        <f aca="false">SUM(K64)*$B$65+K66</f>
        <v>9069</v>
      </c>
      <c r="L65" s="131" t="n">
        <f aca="false">SUM(L64)*$B$65+L66</f>
        <v>9069</v>
      </c>
      <c r="M65" s="131" t="n">
        <f aca="false">SUM(M64)*$B$65+M66</f>
        <v>9069</v>
      </c>
      <c r="N65" s="131" t="n">
        <f aca="false">SUM(N64)*$B$65+N66</f>
        <v>9069</v>
      </c>
      <c r="O65" s="131" t="n">
        <f aca="false">SUM(O64)*$B$65+O66</f>
        <v>9069</v>
      </c>
      <c r="P65" s="131" t="n">
        <f aca="false">SUM(P64)*$B$65+P66</f>
        <v>9069</v>
      </c>
      <c r="Q65" s="131" t="n">
        <f aca="false">SUM(Q64)*$B$65+Q66</f>
        <v>9069</v>
      </c>
    </row>
    <row r="66" customFormat="false" ht="12.75" hidden="false" customHeight="false" outlineLevel="0" collapsed="false">
      <c r="C66" s="334"/>
      <c r="F66" s="284" t="s">
        <v>184</v>
      </c>
      <c r="G66" s="32" t="n">
        <v>0</v>
      </c>
      <c r="H66" s="32" t="n">
        <v>0</v>
      </c>
      <c r="I66" s="32" t="n">
        <v>0</v>
      </c>
      <c r="J66" s="32" t="n">
        <v>0</v>
      </c>
      <c r="K66" s="32" t="n">
        <v>0</v>
      </c>
      <c r="L66" s="32" t="n">
        <v>0</v>
      </c>
      <c r="M66" s="32" t="n">
        <v>0</v>
      </c>
      <c r="N66" s="32" t="n">
        <v>0</v>
      </c>
      <c r="O66" s="32" t="n">
        <v>0</v>
      </c>
      <c r="P66" s="32" t="n">
        <v>0</v>
      </c>
      <c r="Q66" s="32" t="n">
        <v>0</v>
      </c>
    </row>
    <row r="67" customFormat="false" ht="12.75" hidden="false" customHeight="false" outlineLevel="0" collapsed="false">
      <c r="C67" s="334"/>
      <c r="F67" s="123"/>
    </row>
    <row r="68" customFormat="false" ht="12.75" hidden="false" customHeight="false" outlineLevel="0" collapsed="false">
      <c r="A68" s="12" t="str">
        <f aca="false">Assumptions!B59</f>
        <v>2. Optimistic</v>
      </c>
      <c r="B68" s="336" t="n">
        <v>0.99</v>
      </c>
      <c r="C68" s="327" t="n">
        <v>2</v>
      </c>
      <c r="D68" s="282"/>
      <c r="F68" s="337" t="n">
        <f aca="false">F65</f>
        <v>9069</v>
      </c>
      <c r="G68" s="133" t="n">
        <f aca="false">F68*$B$68+G69</f>
        <v>8978.31</v>
      </c>
      <c r="H68" s="133" t="n">
        <f aca="false">G68*$B$68+H69</f>
        <v>8888.5269</v>
      </c>
      <c r="I68" s="133" t="n">
        <f aca="false">H68*$B$68+I69</f>
        <v>8799.641631</v>
      </c>
      <c r="J68" s="133" t="n">
        <f aca="false">I68*$B$68+J69</f>
        <v>8711.64521469</v>
      </c>
      <c r="K68" s="133" t="n">
        <f aca="false">J68*$B$68+K69</f>
        <v>8624.5287625431</v>
      </c>
      <c r="L68" s="133" t="n">
        <f aca="false">K68*$B$68+L69</f>
        <v>8538.28347491767</v>
      </c>
      <c r="M68" s="133" t="n">
        <f aca="false">L68*$B$68+M69</f>
        <v>8452.90064016849</v>
      </c>
      <c r="N68" s="133" t="n">
        <f aca="false">M68*$B$68+N69</f>
        <v>8368.37163376681</v>
      </c>
      <c r="O68" s="133" t="n">
        <f aca="false">N68*$B$68+O69</f>
        <v>8284.68791742914</v>
      </c>
      <c r="P68" s="133" t="n">
        <f aca="false">O68*$B$68+P69</f>
        <v>8201.84103825485</v>
      </c>
      <c r="Q68" s="133" t="n">
        <f aca="false">P68*$B$68+Q69</f>
        <v>8119.8226278723</v>
      </c>
    </row>
    <row r="69" customFormat="false" ht="12.75" hidden="false" customHeight="false" outlineLevel="0" collapsed="false">
      <c r="A69" s="12"/>
      <c r="C69" s="338"/>
      <c r="F69" s="284" t="s">
        <v>184</v>
      </c>
      <c r="G69" s="32" t="n">
        <v>0</v>
      </c>
      <c r="H69" s="32" t="n">
        <v>0</v>
      </c>
      <c r="I69" s="32" t="n">
        <f aca="false">H69</f>
        <v>0</v>
      </c>
      <c r="J69" s="32" t="n">
        <f aca="false">I69</f>
        <v>0</v>
      </c>
      <c r="K69" s="32" t="n">
        <f aca="false">J69</f>
        <v>0</v>
      </c>
      <c r="L69" s="32" t="n">
        <f aca="false">K69</f>
        <v>0</v>
      </c>
      <c r="M69" s="32" t="n">
        <f aca="false">L69</f>
        <v>0</v>
      </c>
      <c r="N69" s="32" t="n">
        <f aca="false">M69</f>
        <v>0</v>
      </c>
      <c r="O69" s="32" t="n">
        <f aca="false">N69</f>
        <v>0</v>
      </c>
      <c r="P69" s="32" t="n">
        <f aca="false">O69</f>
        <v>0</v>
      </c>
      <c r="Q69" s="32" t="n">
        <f aca="false">P69</f>
        <v>0</v>
      </c>
    </row>
    <row r="70" customFormat="false" ht="12.75" hidden="false" customHeight="false" outlineLevel="0" collapsed="false">
      <c r="A70" s="12"/>
      <c r="C70" s="338"/>
      <c r="F70" s="123"/>
    </row>
    <row r="71" customFormat="false" ht="12.75" hidden="false" customHeight="false" outlineLevel="0" collapsed="false">
      <c r="A71" s="12" t="str">
        <f aca="false">Assumptions!B60</f>
        <v>3. Pessimistic</v>
      </c>
      <c r="B71" s="336" t="n">
        <v>1.01</v>
      </c>
      <c r="C71" s="327" t="n">
        <v>3</v>
      </c>
      <c r="D71" s="282"/>
      <c r="F71" s="337" t="n">
        <f aca="false">F65</f>
        <v>9069</v>
      </c>
      <c r="G71" s="133" t="n">
        <f aca="false">F71*$B$71+G72</f>
        <v>9159.69</v>
      </c>
      <c r="H71" s="133" t="n">
        <f aca="false">G71*$B$71+H72</f>
        <v>9251.2869</v>
      </c>
      <c r="I71" s="133" t="n">
        <f aca="false">H71*$B$71+I72</f>
        <v>9343.799769</v>
      </c>
      <c r="J71" s="133" t="n">
        <f aca="false">I71*$B$71+J72</f>
        <v>9437.23776669</v>
      </c>
      <c r="K71" s="133" t="n">
        <f aca="false">J71*$B$71+K72</f>
        <v>9531.6101443569</v>
      </c>
      <c r="L71" s="133" t="n">
        <f aca="false">K71*$B$71+L72</f>
        <v>9626.92624580047</v>
      </c>
      <c r="M71" s="133" t="n">
        <f aca="false">L71*$B$71+M72</f>
        <v>9723.19550825847</v>
      </c>
      <c r="N71" s="133" t="n">
        <f aca="false">M71*$B$71+N72</f>
        <v>9820.42746334106</v>
      </c>
      <c r="O71" s="133" t="n">
        <f aca="false">N71*$B$71+O72</f>
        <v>9918.63173797447</v>
      </c>
      <c r="P71" s="133" t="n">
        <f aca="false">O71*$B$71+P72</f>
        <v>10017.8180553542</v>
      </c>
      <c r="Q71" s="133" t="n">
        <f aca="false">P71*$B$71+Q72</f>
        <v>10117.9962359078</v>
      </c>
    </row>
    <row r="72" customFormat="false" ht="13.5" hidden="false" customHeight="false" outlineLevel="0" collapsed="false">
      <c r="C72" s="330"/>
      <c r="F72" s="284" t="s">
        <v>184</v>
      </c>
      <c r="G72" s="32" t="n">
        <v>0</v>
      </c>
      <c r="H72" s="32" t="n">
        <v>0</v>
      </c>
      <c r="I72" s="32" t="n">
        <f aca="false">H72</f>
        <v>0</v>
      </c>
      <c r="J72" s="32" t="n">
        <f aca="false">I72</f>
        <v>0</v>
      </c>
      <c r="K72" s="32" t="n">
        <f aca="false">J72</f>
        <v>0</v>
      </c>
      <c r="L72" s="32" t="n">
        <f aca="false">K72</f>
        <v>0</v>
      </c>
      <c r="M72" s="32" t="n">
        <f aca="false">L72</f>
        <v>0</v>
      </c>
      <c r="N72" s="32" t="n">
        <f aca="false">M72</f>
        <v>0</v>
      </c>
      <c r="O72" s="32" t="n">
        <f aca="false">N72</f>
        <v>0</v>
      </c>
      <c r="P72" s="32" t="n">
        <f aca="false">O72</f>
        <v>0</v>
      </c>
      <c r="Q72" s="32" t="n">
        <f aca="false">P72</f>
        <v>0</v>
      </c>
    </row>
    <row r="73" customFormat="false" ht="12.75" hidden="false" customHeight="false" outlineLevel="0" collapsed="false">
      <c r="C73" s="21"/>
      <c r="F73" s="284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</row>
    <row r="74" customFormat="false" ht="12.75" hidden="false" customHeight="false" outlineLevel="0" collapsed="false">
      <c r="A74" s="0" t="s">
        <v>132</v>
      </c>
      <c r="C74" s="21"/>
      <c r="F74" s="284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</row>
    <row r="75" customFormat="false" ht="12.75" hidden="false" customHeight="false" outlineLevel="0" collapsed="false">
      <c r="A75" s="0" t="s">
        <v>187</v>
      </c>
      <c r="C75" s="21"/>
      <c r="F75" s="284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</row>
    <row r="76" customFormat="false" ht="12.75" hidden="false" customHeight="false" outlineLevel="0" collapsed="false">
      <c r="A76" s="0" t="s">
        <v>188</v>
      </c>
      <c r="C76" s="21"/>
      <c r="F76" s="284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</row>
    <row r="77" customFormat="false" ht="12.75" hidden="false" customHeight="false" outlineLevel="0" collapsed="false">
      <c r="A77" s="52" t="s">
        <v>154</v>
      </c>
      <c r="F77" s="337" t="n">
        <v>4196</v>
      </c>
      <c r="G77" s="131" t="n">
        <f aca="false">F77</f>
        <v>4196</v>
      </c>
      <c r="H77" s="131" t="n">
        <f aca="false">G77</f>
        <v>4196</v>
      </c>
      <c r="I77" s="131" t="n">
        <f aca="false">H77</f>
        <v>4196</v>
      </c>
      <c r="J77" s="131" t="n">
        <f aca="false">I77</f>
        <v>4196</v>
      </c>
      <c r="K77" s="131" t="n">
        <f aca="false">J77</f>
        <v>4196</v>
      </c>
      <c r="L77" s="131" t="n">
        <f aca="false">K77</f>
        <v>4196</v>
      </c>
      <c r="M77" s="131" t="n">
        <f aca="false">L77</f>
        <v>4196</v>
      </c>
      <c r="N77" s="131" t="n">
        <f aca="false">M77</f>
        <v>4196</v>
      </c>
      <c r="O77" s="131" t="n">
        <f aca="false">N77</f>
        <v>4196</v>
      </c>
      <c r="P77" s="131" t="n">
        <f aca="false">O77</f>
        <v>4196</v>
      </c>
      <c r="Q77" s="131" t="n">
        <f aca="false">P77</f>
        <v>4196</v>
      </c>
    </row>
    <row r="78" customFormat="false" ht="12.75" hidden="false" customHeight="false" outlineLevel="0" collapsed="false">
      <c r="A78" s="52"/>
      <c r="F78" s="123"/>
    </row>
    <row r="79" customFormat="false" ht="12.75" hidden="false" customHeight="false" outlineLevel="0" collapsed="false">
      <c r="A79" s="13" t="s">
        <v>189</v>
      </c>
      <c r="F79" s="123"/>
    </row>
    <row r="80" customFormat="false" ht="12.75" hidden="false" customHeight="false" outlineLevel="0" collapsed="false">
      <c r="A80" s="225" t="s">
        <v>165</v>
      </c>
      <c r="B80" s="54" t="n">
        <f aca="false">Assumptions!D20</f>
        <v>20</v>
      </c>
      <c r="C80" s="227" t="n">
        <f aca="false">Asset2PurPrice</f>
        <v>131932.840405256</v>
      </c>
      <c r="D80" s="32"/>
      <c r="E80" s="36"/>
      <c r="F80" s="278"/>
      <c r="G80" s="339" t="n">
        <f aca="false">1/B80</f>
        <v>0.05</v>
      </c>
      <c r="H80" s="228" t="n">
        <f aca="false">G80</f>
        <v>0.05</v>
      </c>
      <c r="I80" s="228" t="n">
        <f aca="false">H80</f>
        <v>0.05</v>
      </c>
      <c r="J80" s="228" t="n">
        <f aca="false">I80</f>
        <v>0.05</v>
      </c>
      <c r="K80" s="228" t="n">
        <f aca="false">J80</f>
        <v>0.05</v>
      </c>
      <c r="L80" s="228" t="n">
        <f aca="false">K80</f>
        <v>0.05</v>
      </c>
      <c r="M80" s="228" t="n">
        <f aca="false">L80</f>
        <v>0.05</v>
      </c>
      <c r="N80" s="228" t="n">
        <f aca="false">M80</f>
        <v>0.05</v>
      </c>
      <c r="O80" s="228" t="n">
        <f aca="false">N80</f>
        <v>0.05</v>
      </c>
      <c r="P80" s="228" t="n">
        <f aca="false">O80</f>
        <v>0.05</v>
      </c>
      <c r="Q80" s="229" t="n">
        <f aca="false">P80</f>
        <v>0.05</v>
      </c>
    </row>
    <row r="81" customFormat="false" ht="12.75" hidden="false" customHeight="false" outlineLevel="0" collapsed="false">
      <c r="A81" s="32" t="s">
        <v>166</v>
      </c>
      <c r="C81" s="26"/>
      <c r="D81" s="26"/>
      <c r="E81" s="36"/>
      <c r="F81" s="278"/>
      <c r="G81" s="120" t="n">
        <f aca="false">C80/B80</f>
        <v>6596.6420202628</v>
      </c>
      <c r="H81" s="120" t="n">
        <f aca="false">+G81</f>
        <v>6596.6420202628</v>
      </c>
      <c r="I81" s="120" t="n">
        <f aca="false">+H81</f>
        <v>6596.6420202628</v>
      </c>
      <c r="J81" s="120" t="n">
        <f aca="false">+I81</f>
        <v>6596.6420202628</v>
      </c>
      <c r="K81" s="120" t="n">
        <f aca="false">+J81</f>
        <v>6596.6420202628</v>
      </c>
      <c r="L81" s="120" t="n">
        <f aca="false">+K81</f>
        <v>6596.6420202628</v>
      </c>
      <c r="M81" s="120" t="n">
        <f aca="false">+L81</f>
        <v>6596.6420202628</v>
      </c>
      <c r="N81" s="120" t="n">
        <f aca="false">+M81</f>
        <v>6596.6420202628</v>
      </c>
      <c r="O81" s="120" t="n">
        <f aca="false">+N81</f>
        <v>6596.6420202628</v>
      </c>
      <c r="P81" s="120" t="n">
        <f aca="false">+O81</f>
        <v>6596.6420202628</v>
      </c>
      <c r="Q81" s="120" t="n">
        <f aca="false">+P81</f>
        <v>6596.6420202628</v>
      </c>
    </row>
    <row r="82" customFormat="false" ht="15" hidden="false" customHeight="false" outlineLevel="0" collapsed="false">
      <c r="A82" s="32" t="s">
        <v>167</v>
      </c>
      <c r="E82" s="36"/>
      <c r="F82" s="278"/>
      <c r="G82" s="116" t="n">
        <f aca="false">($G$29*G80)</f>
        <v>209.8</v>
      </c>
      <c r="H82" s="116" t="n">
        <f aca="false">($G$29*H80)+($H$29*G80)</f>
        <v>419.6</v>
      </c>
      <c r="I82" s="116" t="n">
        <f aca="false">($G$29*I80)+($H$29*H80)+($I$29*G80)</f>
        <v>629.4</v>
      </c>
      <c r="J82" s="116" t="n">
        <f aca="false">($G$29*J80)+($H$29*I80)+($I$29*H80)+($J$29*G80)</f>
        <v>839.2</v>
      </c>
      <c r="K82" s="116" t="n">
        <f aca="false">($G$29*K80)+($H$29*J80)+($I$29*I80)+($J$29*H80)+($K$29*G80)</f>
        <v>1049</v>
      </c>
      <c r="L82" s="116" t="n">
        <f aca="false">($G$29*L80)+($H$29*K80)+($I$29*J80)+($J$29*I80)+($K$29*H80)+($L$29*G80)</f>
        <v>1258.8</v>
      </c>
      <c r="M82" s="116" t="n">
        <f aca="false">($G$29*M80)+($H$29*L80)+($I$29*K80)+($J$29*J80)+($K$29*I80)+($L$29*H80)+($M$29*G80)</f>
        <v>1468.6</v>
      </c>
      <c r="N82" s="116" t="n">
        <f aca="false">($G$29*N80)+($H$29*M80)+($I$29*L80)+($J$29*K80)+($K$29*J80)+($L$29*I80)+($M$29*H80)+($N$29*G80)</f>
        <v>1678.4</v>
      </c>
      <c r="O82" s="116" t="n">
        <f aca="false">($G$29*O80)+($H$29*N80)+($I$29*M80)+($J$29*L80)+($K$29*K80)+($L$29*J80)+($M$29*I80)+($N$29*H80)+($O$29*G80)</f>
        <v>1888.2</v>
      </c>
      <c r="P82" s="116" t="n">
        <f aca="false">($G$29*P80)+($H$29*O80)+($I$29*N80)+($J$29*M80)+($K$29*L80)+($L$29*K80)+($M$29*J80)+($N$29*I80)+($O$29*H80)+($P$29*G80)</f>
        <v>2098</v>
      </c>
      <c r="Q82" s="116" t="n">
        <f aca="false">($G$29*Q80)+($H$29*P80)+($I$29*O80)+($J$29*N80)+($K$29*M80)+($L$29*L80)+($M$29*K80)+($N$29*J80)+($O$29*I80)+($P$29*H80)+($Q$29*G80)</f>
        <v>2307.8</v>
      </c>
    </row>
    <row r="83" customFormat="false" ht="12.75" hidden="false" customHeight="false" outlineLevel="0" collapsed="false">
      <c r="A83" s="52" t="s">
        <v>154</v>
      </c>
      <c r="E83" s="36"/>
      <c r="F83" s="278"/>
      <c r="G83" s="32" t="n">
        <f aca="false">SUM(G81:G82)</f>
        <v>6806.4420202628</v>
      </c>
      <c r="H83" s="32" t="n">
        <f aca="false">SUM(H81:H82)</f>
        <v>7016.2420202628</v>
      </c>
      <c r="I83" s="32" t="n">
        <f aca="false">SUM(I81:I82)</f>
        <v>7226.0420202628</v>
      </c>
      <c r="J83" s="32" t="n">
        <f aca="false">SUM(J81:J82)</f>
        <v>7435.8420202628</v>
      </c>
      <c r="K83" s="32" t="n">
        <f aca="false">SUM(K81:K82)</f>
        <v>7645.6420202628</v>
      </c>
      <c r="L83" s="32" t="n">
        <f aca="false">SUM(L81:L82)</f>
        <v>7855.4420202628</v>
      </c>
      <c r="M83" s="32" t="n">
        <f aca="false">SUM(M81:M82)</f>
        <v>8065.2420202628</v>
      </c>
      <c r="N83" s="32" t="n">
        <f aca="false">SUM(N81:N82)</f>
        <v>8275.0420202628</v>
      </c>
      <c r="O83" s="32" t="n">
        <f aca="false">SUM(O81:O82)</f>
        <v>8484.8420202628</v>
      </c>
      <c r="P83" s="32" t="n">
        <f aca="false">SUM(P81:P82)</f>
        <v>8694.6420202628</v>
      </c>
      <c r="Q83" s="32" t="n">
        <f aca="false">SUM(Q81:Q82)</f>
        <v>8904.4420202628</v>
      </c>
    </row>
    <row r="84" customFormat="false" ht="12.75" hidden="false" customHeight="false" outlineLevel="0" collapsed="false">
      <c r="A84" s="32"/>
      <c r="E84" s="36"/>
      <c r="F84" s="278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</row>
    <row r="85" customFormat="false" ht="12.75" hidden="false" customHeight="false" outlineLevel="0" collapsed="false">
      <c r="A85" s="96" t="s">
        <v>168</v>
      </c>
      <c r="E85" s="36"/>
      <c r="F85" s="278"/>
      <c r="G85" s="233" t="n">
        <v>0.05</v>
      </c>
      <c r="H85" s="234" t="n">
        <v>0.095</v>
      </c>
      <c r="I85" s="234" t="n">
        <v>0.0855</v>
      </c>
      <c r="J85" s="234" t="n">
        <v>0.077</v>
      </c>
      <c r="K85" s="234" t="n">
        <v>0.0693</v>
      </c>
      <c r="L85" s="234" t="n">
        <v>0.0623</v>
      </c>
      <c r="M85" s="234" t="n">
        <v>0.059</v>
      </c>
      <c r="N85" s="234" t="n">
        <v>0.059</v>
      </c>
      <c r="O85" s="234" t="n">
        <v>0.0591</v>
      </c>
      <c r="P85" s="234" t="n">
        <v>0.059</v>
      </c>
      <c r="Q85" s="235" t="n">
        <v>0.0591</v>
      </c>
    </row>
    <row r="86" customFormat="false" ht="12.75" hidden="false" customHeight="false" outlineLevel="0" collapsed="false">
      <c r="A86" s="32" t="s">
        <v>166</v>
      </c>
      <c r="B86" s="236"/>
      <c r="E86" s="36"/>
      <c r="F86" s="278"/>
      <c r="G86" s="32" t="n">
        <f aca="false">G85*$C$80</f>
        <v>6596.6420202628</v>
      </c>
      <c r="H86" s="32" t="n">
        <f aca="false">H85*$C$80</f>
        <v>12533.6198384993</v>
      </c>
      <c r="I86" s="32" t="n">
        <f aca="false">I85*$C$80</f>
        <v>11280.2578546494</v>
      </c>
      <c r="J86" s="32" t="n">
        <f aca="false">J85*$C$80</f>
        <v>10158.8287112047</v>
      </c>
      <c r="K86" s="32" t="n">
        <f aca="false">K85*$C$80</f>
        <v>9142.94584008425</v>
      </c>
      <c r="L86" s="32" t="n">
        <f aca="false">L85*$C$80</f>
        <v>8219.41595724745</v>
      </c>
      <c r="M86" s="32" t="n">
        <f aca="false">M85*$C$80</f>
        <v>7784.03758391011</v>
      </c>
      <c r="N86" s="32" t="n">
        <f aca="false">N85*$C$80</f>
        <v>7784.03758391011</v>
      </c>
      <c r="O86" s="32" t="n">
        <f aca="false">O85*$C$80</f>
        <v>7797.23086795063</v>
      </c>
      <c r="P86" s="32" t="n">
        <f aca="false">P85*$C$80</f>
        <v>7784.03758391011</v>
      </c>
      <c r="Q86" s="32" t="n">
        <f aca="false">Q85*$C$80</f>
        <v>7797.23086795063</v>
      </c>
    </row>
    <row r="87" customFormat="false" ht="15" hidden="false" customHeight="false" outlineLevel="0" collapsed="false">
      <c r="A87" s="32" t="s">
        <v>167</v>
      </c>
      <c r="B87" s="201"/>
      <c r="E87" s="216"/>
      <c r="F87" s="278"/>
      <c r="G87" s="116" t="n">
        <f aca="false">($G$29*G$85)</f>
        <v>209.8</v>
      </c>
      <c r="H87" s="116" t="n">
        <f aca="false">($G$29*H85)+($H$29*G85)</f>
        <v>608.42</v>
      </c>
      <c r="I87" s="116" t="n">
        <f aca="false">($G$29*I85)+($H$29*H85)+($I$29*G85)</f>
        <v>967.178</v>
      </c>
      <c r="J87" s="116" t="n">
        <f aca="false">($G$29*J85)+($H$29*I85)+($I$29*H85)+($J$29*G85)</f>
        <v>1290.27</v>
      </c>
      <c r="K87" s="116" t="n">
        <f aca="false">($G$29*K85)+($H$29*J85)+($I$29*I85)+($J$29*H85)+($K$29*G85)</f>
        <v>1581.0528</v>
      </c>
      <c r="L87" s="116" t="n">
        <f aca="false">($G$29*L85)+($H$29*K85)+($I$29*J85)+($J$29*I85)+($K$29*H85)+($L$29*G85)</f>
        <v>1842.4636</v>
      </c>
      <c r="M87" s="116" t="n">
        <f aca="false">($G$29*M85)+($H$29*L85)+($I$29*K85)+($J$29*J85)+($K$29*I85)+($L$29*H85)+($M$29*G85)</f>
        <v>2090.0276</v>
      </c>
      <c r="N87" s="116" t="n">
        <f aca="false">($G$29*N85)+($H$29*M85)+($I$29*L85)+($J$29*K85)+($K$29*J85)+($L$29*I85)+($M$29*H85)+($N$29*G85)</f>
        <v>2337.5916</v>
      </c>
      <c r="O87" s="116" t="n">
        <f aca="false">($G$29*O85)+($H$29*N85)+($I$29*M85)+($J$29*L85)+($K$29*K85)+($L$29*J85)+($M$29*I85)+($N$29*H85)+($O$29*G85)</f>
        <v>2585.5752</v>
      </c>
      <c r="P87" s="116" t="n">
        <f aca="false">($G$29*P85)+($H$29*O85)+($I$29*N85)+($J$29*M85)+($K$29*L85)+($L$29*K85)+($M$29*J85)+($N$29*I85)+($O$29*H85)+($P$29*G85)</f>
        <v>2833.1392</v>
      </c>
      <c r="Q87" s="116" t="n">
        <f aca="false">($G$29*Q85)+($H$29*P85)+($I$29*O85)+($J$29*N85)+($K$29*M85)+($L$29*L85)+($M$29*K85)+($N$29*J85)+($O$29*I85)+($P$29*H85)+($Q$29*G85)</f>
        <v>3081.1228</v>
      </c>
    </row>
    <row r="88" customFormat="false" ht="12.75" hidden="false" customHeight="false" outlineLevel="0" collapsed="false">
      <c r="A88" s="52" t="s">
        <v>154</v>
      </c>
      <c r="E88" s="36"/>
      <c r="F88" s="278"/>
      <c r="G88" s="32" t="n">
        <f aca="false">SUM(G86:G87)</f>
        <v>6806.4420202628</v>
      </c>
      <c r="H88" s="32" t="n">
        <f aca="false">SUM(H86:H87)</f>
        <v>13142.0398384993</v>
      </c>
      <c r="I88" s="32" t="n">
        <f aca="false">SUM(I86:I87)</f>
        <v>12247.4358546494</v>
      </c>
      <c r="J88" s="32" t="n">
        <f aca="false">SUM(J86:J87)</f>
        <v>11449.0987112047</v>
      </c>
      <c r="K88" s="32" t="n">
        <f aca="false">SUM(K86:K87)</f>
        <v>10723.9986400842</v>
      </c>
      <c r="L88" s="32" t="n">
        <f aca="false">SUM(L86:L87)</f>
        <v>10061.8795572475</v>
      </c>
      <c r="M88" s="32" t="n">
        <f aca="false">SUM(M86:M87)</f>
        <v>9874.06518391011</v>
      </c>
      <c r="N88" s="32" t="n">
        <f aca="false">SUM(N86:N87)</f>
        <v>10121.6291839101</v>
      </c>
      <c r="O88" s="32" t="n">
        <f aca="false">SUM(O86:O87)</f>
        <v>10382.8060679506</v>
      </c>
      <c r="P88" s="32" t="n">
        <f aca="false">SUM(P86:P87)</f>
        <v>10617.1767839101</v>
      </c>
      <c r="Q88" s="32" t="n">
        <f aca="false">SUM(Q86:Q87)</f>
        <v>10878.3536679506</v>
      </c>
    </row>
  </sheetData>
  <mergeCells count="1">
    <mergeCell ref="K33:M33"/>
  </mergeCells>
  <conditionalFormatting sqref="D68 D71 D54 D51 C11:D11 D14:D15 D47:D48 D64:D65">
    <cfRule type="cellIs" priority="2" operator="notBetween" aboveAverage="0" equalAverage="0" bottom="0" percent="0" rank="0" text="" dxfId="3">
      <formula>0.25</formula>
      <formula>-0.25</formula>
    </cfRule>
  </conditionalFormatting>
  <printOptions headings="false" gridLines="false" gridLinesSet="true" horizontalCentered="false" verticalCentered="false"/>
  <pageMargins left="0.5" right="0.5" top="0.75" bottom="0.75" header="0.511811023622047" footer="0.5"/>
  <pageSetup paperSize="1" scale="4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rowBreaks count="1" manualBreakCount="1">
    <brk id="39" man="true" max="16383" min="0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"/>
  <sheetViews>
    <sheetView showFormulas="false" showGridLines="true" showRowColHeaders="true" showZeros="true" rightToLeft="false" tabSelected="false" showOutlineSymbols="true" defaultGridColor="true" view="normal" topLeftCell="A36" colorId="64" zoomScale="75" zoomScaleNormal="75" zoomScalePageLayoutView="100" workbookViewId="0">
      <selection pane="topLeft" activeCell="I70" activeCellId="0" sqref="I7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14"/>
    <col collapsed="false" customWidth="true" hidden="false" outlineLevel="0" max="2" min="2" style="0" width="13.99"/>
    <col collapsed="false" customWidth="true" hidden="false" outlineLevel="0" max="3" min="3" style="0" width="12.85"/>
    <col collapsed="false" customWidth="true" hidden="false" outlineLevel="0" max="4" min="4" style="0" width="11.85"/>
    <col collapsed="false" customWidth="true" hidden="false" outlineLevel="0" max="5" min="5" style="27" width="9.14"/>
    <col collapsed="false" customWidth="true" hidden="false" outlineLevel="0" max="6" min="6" style="27" width="12.99"/>
    <col collapsed="false" customWidth="true" hidden="false" outlineLevel="0" max="7" min="7" style="0" width="12.28"/>
    <col collapsed="false" customWidth="true" hidden="false" outlineLevel="0" max="9" min="8" style="0" width="14.14"/>
    <col collapsed="false" customWidth="true" hidden="false" outlineLevel="0" max="11" min="10" style="0" width="12.28"/>
    <col collapsed="false" customWidth="true" hidden="false" outlineLevel="0" max="12" min="12" style="0" width="13.99"/>
    <col collapsed="false" customWidth="true" hidden="false" outlineLevel="0" max="14" min="13" style="0" width="13.41"/>
    <col collapsed="false" customWidth="true" hidden="false" outlineLevel="0" max="17" min="15" style="0" width="12.28"/>
    <col collapsed="false" customWidth="true" hidden="false" outlineLevel="0" max="18" min="18" style="0" width="13.41"/>
  </cols>
  <sheetData>
    <row r="1" customFormat="false" ht="18.75" hidden="false" customHeight="false" outlineLevel="0" collapsed="false">
      <c r="A1" s="155" t="str">
        <f aca="false">Assumptions!D5</f>
        <v>Oneok</v>
      </c>
      <c r="B1" s="21"/>
      <c r="E1" s="264"/>
    </row>
    <row r="2" customFormat="false" ht="15.75" hidden="false" customHeight="false" outlineLevel="0" collapsed="false">
      <c r="A2" s="265" t="s">
        <v>191</v>
      </c>
      <c r="B2" s="266"/>
      <c r="E2" s="36"/>
      <c r="F2" s="267" t="s">
        <v>45</v>
      </c>
      <c r="G2" s="268"/>
      <c r="H2" s="269"/>
      <c r="I2" s="190"/>
      <c r="R2" s="27"/>
    </row>
    <row r="3" customFormat="false" ht="12.75" hidden="false" customHeight="false" outlineLevel="0" collapsed="false">
      <c r="A3" s="270"/>
      <c r="B3" s="266"/>
      <c r="E3" s="36"/>
      <c r="F3" s="271" t="str">
        <f aca="false">IF(Asset3Loop&lt;&gt;0,"Run Macro","")</f>
        <v/>
      </c>
      <c r="G3" s="190"/>
      <c r="H3" s="272"/>
      <c r="I3" s="190"/>
      <c r="R3" s="27"/>
    </row>
    <row r="4" customFormat="false" ht="13.5" hidden="false" customHeight="false" outlineLevel="0" collapsed="false">
      <c r="A4" s="270"/>
      <c r="B4" s="266"/>
      <c r="E4" s="36"/>
      <c r="F4" s="273"/>
      <c r="G4" s="274"/>
      <c r="H4" s="275"/>
      <c r="I4" s="190"/>
      <c r="R4" s="27"/>
    </row>
    <row r="5" customFormat="false" ht="12.75" hidden="false" customHeight="false" outlineLevel="0" collapsed="false">
      <c r="A5" s="270"/>
      <c r="B5" s="266"/>
      <c r="E5" s="36"/>
      <c r="F5" s="344"/>
      <c r="G5" s="190"/>
      <c r="H5" s="190"/>
      <c r="I5" s="190"/>
      <c r="R5" s="27"/>
    </row>
    <row r="6" customFormat="false" ht="12.75" hidden="false" customHeight="false" outlineLevel="0" collapsed="false">
      <c r="A6" s="270"/>
      <c r="B6" s="266"/>
      <c r="E6" s="36"/>
      <c r="G6" s="190"/>
      <c r="H6" s="190"/>
      <c r="I6" s="190"/>
      <c r="R6" s="27"/>
    </row>
    <row r="7" customFormat="false" ht="12.75" hidden="false" customHeight="false" outlineLevel="0" collapsed="false">
      <c r="E7" s="276"/>
      <c r="F7" s="277" t="n">
        <f aca="false">G7-1</f>
        <v>1999</v>
      </c>
      <c r="G7" s="109" t="n">
        <f aca="false">Assumptions!$D$12</f>
        <v>2000</v>
      </c>
      <c r="H7" s="109" t="n">
        <f aca="false">G7+1</f>
        <v>2001</v>
      </c>
      <c r="I7" s="109" t="n">
        <f aca="false">H7+1</f>
        <v>2002</v>
      </c>
      <c r="J7" s="109" t="n">
        <f aca="false">I7+1</f>
        <v>2003</v>
      </c>
      <c r="K7" s="109" t="n">
        <f aca="false">J7+1</f>
        <v>2004</v>
      </c>
      <c r="L7" s="109" t="n">
        <f aca="false">K7+1</f>
        <v>2005</v>
      </c>
      <c r="M7" s="109" t="n">
        <f aca="false">L7+1</f>
        <v>2006</v>
      </c>
      <c r="N7" s="109" t="n">
        <f aca="false">M7+1</f>
        <v>2007</v>
      </c>
      <c r="O7" s="109" t="n">
        <f aca="false">N7+1</f>
        <v>2008</v>
      </c>
      <c r="P7" s="109" t="n">
        <f aca="false">O7+1</f>
        <v>2009</v>
      </c>
      <c r="Q7" s="109" t="n">
        <f aca="false">P7+1</f>
        <v>2010</v>
      </c>
      <c r="R7" s="27"/>
    </row>
    <row r="8" customFormat="false" ht="12.75" hidden="false" customHeight="false" outlineLevel="0" collapsed="false">
      <c r="A8" s="45" t="s">
        <v>151</v>
      </c>
      <c r="E8" s="36"/>
      <c r="F8" s="278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27"/>
    </row>
    <row r="9" customFormat="false" ht="12.75" hidden="false" customHeight="false" outlineLevel="0" collapsed="false">
      <c r="E9" s="36"/>
      <c r="F9" s="278"/>
      <c r="H9" s="32"/>
      <c r="I9" s="32"/>
      <c r="J9" s="32"/>
      <c r="K9" s="32"/>
      <c r="L9" s="32"/>
      <c r="M9" s="32"/>
      <c r="N9" s="32"/>
      <c r="O9" s="32"/>
      <c r="P9" s="32"/>
      <c r="Q9" s="32"/>
      <c r="R9" s="27"/>
    </row>
    <row r="10" customFormat="false" ht="12.75" hidden="false" customHeight="false" outlineLevel="0" collapsed="false">
      <c r="D10" s="279"/>
      <c r="E10" s="36"/>
      <c r="F10" s="278"/>
      <c r="G10" s="232" t="str">
        <f aca="false">IF(C43=1,A46,IF(C43=2,A51,A54))</f>
        <v>1. Base Case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27"/>
    </row>
    <row r="11" customFormat="false" ht="12.75" hidden="false" customHeight="false" outlineLevel="0" collapsed="false">
      <c r="A11" s="280" t="s">
        <v>177</v>
      </c>
      <c r="B11" s="281"/>
      <c r="C11" s="282"/>
      <c r="D11" s="282"/>
      <c r="E11" s="283"/>
      <c r="F11" s="278" t="n">
        <f aca="false">F43</f>
        <v>83790</v>
      </c>
      <c r="G11" s="32" t="n">
        <f aca="false">G43</f>
        <v>83790</v>
      </c>
      <c r="H11" s="32" t="n">
        <f aca="false">H43</f>
        <v>83790</v>
      </c>
      <c r="I11" s="32" t="n">
        <f aca="false">I43</f>
        <v>83790</v>
      </c>
      <c r="J11" s="32" t="n">
        <f aca="false">J43</f>
        <v>83790</v>
      </c>
      <c r="K11" s="32" t="n">
        <f aca="false">K43</f>
        <v>83790</v>
      </c>
      <c r="L11" s="32" t="n">
        <f aca="false">L43</f>
        <v>83790</v>
      </c>
      <c r="M11" s="32" t="n">
        <f aca="false">M43</f>
        <v>83790</v>
      </c>
      <c r="N11" s="32" t="n">
        <f aca="false">N43</f>
        <v>83790</v>
      </c>
      <c r="O11" s="32" t="n">
        <f aca="false">O43</f>
        <v>83790</v>
      </c>
      <c r="P11" s="32" t="n">
        <f aca="false">P43</f>
        <v>83790</v>
      </c>
      <c r="Q11" s="32" t="n">
        <f aca="false">Q43</f>
        <v>83790</v>
      </c>
      <c r="R11" s="27"/>
    </row>
    <row r="12" customFormat="false" ht="12.75" hidden="false" customHeight="false" outlineLevel="0" collapsed="false">
      <c r="E12" s="36"/>
      <c r="F12" s="284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27"/>
    </row>
    <row r="13" customFormat="false" ht="12.75" hidden="false" customHeight="false" outlineLevel="0" collapsed="false">
      <c r="D13" s="279"/>
      <c r="E13" s="285"/>
      <c r="F13" s="278"/>
      <c r="G13" s="232" t="str">
        <f aca="false">IF(C60=1,A63,IF(C60=2,A68,A71))</f>
        <v>1. Base Case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27"/>
    </row>
    <row r="14" customFormat="false" ht="12.75" hidden="false" customHeight="false" outlineLevel="0" collapsed="false">
      <c r="A14" s="21" t="s">
        <v>178</v>
      </c>
      <c r="B14" s="286"/>
      <c r="C14" s="21"/>
      <c r="D14" s="282"/>
      <c r="E14" s="287"/>
      <c r="F14" s="278" t="n">
        <f aca="false">F60</f>
        <v>63686</v>
      </c>
      <c r="G14" s="32" t="n">
        <f aca="false">G60</f>
        <v>63686</v>
      </c>
      <c r="H14" s="32" t="n">
        <f aca="false">H60</f>
        <v>63686</v>
      </c>
      <c r="I14" s="32" t="n">
        <f aca="false">I60</f>
        <v>63686</v>
      </c>
      <c r="J14" s="32" t="n">
        <f aca="false">J60</f>
        <v>63686</v>
      </c>
      <c r="K14" s="32" t="n">
        <f aca="false">K60</f>
        <v>63686</v>
      </c>
      <c r="L14" s="32" t="n">
        <f aca="false">L60</f>
        <v>63686</v>
      </c>
      <c r="M14" s="32" t="n">
        <f aca="false">M60</f>
        <v>63686</v>
      </c>
      <c r="N14" s="32" t="n">
        <f aca="false">N60</f>
        <v>63686</v>
      </c>
      <c r="O14" s="32" t="n">
        <f aca="false">O60</f>
        <v>63686</v>
      </c>
      <c r="P14" s="32" t="n">
        <f aca="false">P60</f>
        <v>63686</v>
      </c>
      <c r="Q14" s="32" t="n">
        <f aca="false">Q60</f>
        <v>63686</v>
      </c>
      <c r="R14" s="27"/>
    </row>
    <row r="15" customFormat="false" ht="12.75" hidden="false" customHeight="false" outlineLevel="0" collapsed="false">
      <c r="A15" s="12" t="s">
        <v>156</v>
      </c>
      <c r="B15" s="12"/>
      <c r="C15" s="12"/>
      <c r="D15" s="192"/>
      <c r="E15" s="288"/>
      <c r="F15" s="289" t="n">
        <f aca="false">F11/F14</f>
        <v>1.31567377445592</v>
      </c>
      <c r="G15" s="195" t="n">
        <f aca="false">G11/G14</f>
        <v>1.31567377445592</v>
      </c>
      <c r="H15" s="195" t="n">
        <f aca="false">H11/H14</f>
        <v>1.31567377445592</v>
      </c>
      <c r="I15" s="195" t="n">
        <f aca="false">I11/I14</f>
        <v>1.31567377445592</v>
      </c>
      <c r="J15" s="195" t="n">
        <f aca="false">J11/J14</f>
        <v>1.31567377445592</v>
      </c>
      <c r="K15" s="195" t="n">
        <f aca="false">K11/K14</f>
        <v>1.31567377445592</v>
      </c>
      <c r="L15" s="195" t="n">
        <f aca="false">L11/L14</f>
        <v>1.31567377445592</v>
      </c>
      <c r="M15" s="195" t="n">
        <f aca="false">M11/M14</f>
        <v>1.31567377445592</v>
      </c>
      <c r="N15" s="195" t="n">
        <f aca="false">N11/N14</f>
        <v>1.31567377445592</v>
      </c>
      <c r="O15" s="195" t="n">
        <f aca="false">O11/O14</f>
        <v>1.31567377445592</v>
      </c>
      <c r="P15" s="195" t="n">
        <f aca="false">P11/P14</f>
        <v>1.31567377445592</v>
      </c>
      <c r="Q15" s="195" t="n">
        <f aca="false">Q11/Q14</f>
        <v>1.31567377445592</v>
      </c>
      <c r="R15" s="27"/>
    </row>
    <row r="16" customFormat="false" ht="12.75" hidden="false" customHeight="false" outlineLevel="0" collapsed="false">
      <c r="A16" s="113" t="s">
        <v>119</v>
      </c>
      <c r="B16" s="114"/>
      <c r="C16" s="114"/>
      <c r="D16" s="114"/>
      <c r="E16" s="290"/>
      <c r="F16" s="291" t="n">
        <f aca="false">(F11-F14)</f>
        <v>20104</v>
      </c>
      <c r="G16" s="115" t="n">
        <f aca="false">(G11-G14)</f>
        <v>20104</v>
      </c>
      <c r="H16" s="115" t="n">
        <f aca="false">(H11-H14)</f>
        <v>20104</v>
      </c>
      <c r="I16" s="115" t="n">
        <f aca="false">(I11-I14)</f>
        <v>20104</v>
      </c>
      <c r="J16" s="115" t="n">
        <f aca="false">(J11-J14)</f>
        <v>20104</v>
      </c>
      <c r="K16" s="115" t="n">
        <f aca="false">(K11-K14)</f>
        <v>20104</v>
      </c>
      <c r="L16" s="115" t="n">
        <f aca="false">(L11-L14)</f>
        <v>20104</v>
      </c>
      <c r="M16" s="115" t="n">
        <f aca="false">(M11-M14)</f>
        <v>20104</v>
      </c>
      <c r="N16" s="115" t="n">
        <f aca="false">(N11-N14)</f>
        <v>20104</v>
      </c>
      <c r="O16" s="115" t="n">
        <f aca="false">(O11-O14)</f>
        <v>20104</v>
      </c>
      <c r="P16" s="115" t="n">
        <f aca="false">(P11-P14)</f>
        <v>20104</v>
      </c>
      <c r="Q16" s="117" t="n">
        <f aca="false">(Q11-Q14)</f>
        <v>20104</v>
      </c>
      <c r="R16" s="27"/>
    </row>
    <row r="17" customFormat="false" ht="12.75" hidden="false" customHeight="false" outlineLevel="0" collapsed="false">
      <c r="E17" s="36"/>
      <c r="F17" s="278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27"/>
    </row>
    <row r="18" customFormat="false" ht="12.75" hidden="false" customHeight="false" outlineLevel="0" collapsed="false">
      <c r="A18" s="0" t="s">
        <v>157</v>
      </c>
      <c r="B18" s="201"/>
      <c r="E18" s="36"/>
      <c r="F18" s="278" t="n">
        <v>0</v>
      </c>
      <c r="G18" s="120" t="n">
        <f aca="false">G83</f>
        <v>3570.07752347399</v>
      </c>
      <c r="H18" s="120" t="n">
        <f aca="false">H83</f>
        <v>3997.92752347399</v>
      </c>
      <c r="I18" s="120" t="n">
        <f aca="false">I83</f>
        <v>4425.777523474</v>
      </c>
      <c r="J18" s="120" t="n">
        <f aca="false">J83</f>
        <v>4853.627523474</v>
      </c>
      <c r="K18" s="120" t="n">
        <f aca="false">K83</f>
        <v>5281.477523474</v>
      </c>
      <c r="L18" s="120" t="n">
        <f aca="false">L83</f>
        <v>5709.32752347399</v>
      </c>
      <c r="M18" s="120" t="n">
        <f aca="false">M83</f>
        <v>6137.17752347399</v>
      </c>
      <c r="N18" s="120" t="n">
        <f aca="false">N83</f>
        <v>6565.027523474</v>
      </c>
      <c r="O18" s="120" t="n">
        <f aca="false">O83</f>
        <v>6992.87752347399</v>
      </c>
      <c r="P18" s="120" t="n">
        <f aca="false">P83</f>
        <v>7420.727523474</v>
      </c>
      <c r="Q18" s="120" t="n">
        <f aca="false">Q83</f>
        <v>7848.577523474</v>
      </c>
      <c r="R18" s="27"/>
    </row>
    <row r="19" customFormat="false" ht="12.75" hidden="false" customHeight="false" outlineLevel="0" collapsed="false">
      <c r="E19" s="36"/>
      <c r="F19" s="278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7"/>
    </row>
    <row r="20" customFormat="false" ht="12.75" hidden="false" customHeight="false" outlineLevel="0" collapsed="false">
      <c r="A20" s="113" t="s">
        <v>122</v>
      </c>
      <c r="B20" s="114"/>
      <c r="C20" s="114"/>
      <c r="D20" s="114"/>
      <c r="E20" s="290"/>
      <c r="F20" s="291" t="n">
        <f aca="false">F16-F18</f>
        <v>20104</v>
      </c>
      <c r="G20" s="115" t="n">
        <f aca="false">G16-G18</f>
        <v>16533.922476526</v>
      </c>
      <c r="H20" s="115" t="n">
        <f aca="false">H16-H18</f>
        <v>16106.072476526</v>
      </c>
      <c r="I20" s="115" t="n">
        <f aca="false">I16-I18</f>
        <v>15678.222476526</v>
      </c>
      <c r="J20" s="115" t="n">
        <f aca="false">J16-J18</f>
        <v>15250.372476526</v>
      </c>
      <c r="K20" s="115" t="n">
        <f aca="false">K16-K18</f>
        <v>14822.522476526</v>
      </c>
      <c r="L20" s="115" t="n">
        <f aca="false">L16-L18</f>
        <v>14394.672476526</v>
      </c>
      <c r="M20" s="115" t="n">
        <f aca="false">M16-M18</f>
        <v>13966.822476526</v>
      </c>
      <c r="N20" s="115" t="n">
        <f aca="false">N16-N18</f>
        <v>13538.972476526</v>
      </c>
      <c r="O20" s="115" t="n">
        <f aca="false">O16-O18</f>
        <v>13111.122476526</v>
      </c>
      <c r="P20" s="115" t="n">
        <f aca="false">P16-P18</f>
        <v>12683.272476526</v>
      </c>
      <c r="Q20" s="117" t="n">
        <f aca="false">Q16-Q18</f>
        <v>12255.422476526</v>
      </c>
      <c r="R20" s="27"/>
    </row>
    <row r="21" customFormat="false" ht="12.75" hidden="false" customHeight="false" outlineLevel="0" collapsed="false">
      <c r="E21" s="36"/>
      <c r="F21" s="278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27"/>
    </row>
    <row r="22" customFormat="false" ht="12.75" hidden="false" customHeight="false" outlineLevel="0" collapsed="false">
      <c r="A22" s="32" t="s">
        <v>159</v>
      </c>
      <c r="E22" s="216"/>
      <c r="F22" s="278"/>
      <c r="G22" s="32" t="n">
        <f aca="false">$B$24*(G16-G88)</f>
        <v>6365.56015346251</v>
      </c>
      <c r="H22" s="32" t="n">
        <f aca="false">$B$24*(H16-H88)</f>
        <v>4963.80604157877</v>
      </c>
      <c r="I22" s="32" t="n">
        <f aca="false">$B$24*(I16-I88)</f>
        <v>4911.9849374209</v>
      </c>
      <c r="J22" s="32" t="n">
        <f aca="false">$B$24*(J16-J88)</f>
        <v>4863.97146383227</v>
      </c>
      <c r="K22" s="32" t="n">
        <f aca="false">$B$24*(K16-K88)</f>
        <v>4821.96909519904</v>
      </c>
      <c r="L22" s="32" t="n">
        <f aca="false">$B$24*(L16-L88)</f>
        <v>4786.09123521429</v>
      </c>
      <c r="M22" s="32" t="n">
        <f aca="false">$B$24*(M16-M88)</f>
        <v>4671.56298158577</v>
      </c>
      <c r="N22" s="32" t="n">
        <f aca="false">$B$24*(N16-N88)</f>
        <v>4477.19072658576</v>
      </c>
      <c r="O22" s="32" t="n">
        <f aca="false">$B$24*(O16-O88)</f>
        <v>4280.06951189269</v>
      </c>
      <c r="P22" s="32" t="n">
        <f aca="false">$B$24*(P16-P88)</f>
        <v>4088.11677208576</v>
      </c>
      <c r="Q22" s="32" t="n">
        <f aca="false">$B$24*(Q16-Q88)</f>
        <v>3890.99555739269</v>
      </c>
      <c r="R22" s="27"/>
    </row>
    <row r="23" customFormat="false" ht="15" hidden="false" customHeight="false" outlineLevel="0" collapsed="false">
      <c r="A23" s="32" t="s">
        <v>160</v>
      </c>
      <c r="E23" s="292"/>
      <c r="F23" s="293"/>
      <c r="G23" s="116" t="n">
        <f aca="false">G24-G22</f>
        <v>0</v>
      </c>
      <c r="H23" s="116" t="n">
        <f aca="false">H24-H22</f>
        <v>1237.03186188374</v>
      </c>
      <c r="I23" s="116" t="n">
        <f aca="false">I24-I22</f>
        <v>1124.13071604162</v>
      </c>
      <c r="J23" s="116" t="n">
        <f aca="false">J24-J22</f>
        <v>1007.42193963024</v>
      </c>
      <c r="K23" s="116" t="n">
        <f aca="false">K24-K22</f>
        <v>884.702058263471</v>
      </c>
      <c r="L23" s="116" t="n">
        <f aca="false">L24-L22</f>
        <v>755.857668248222</v>
      </c>
      <c r="M23" s="116" t="n">
        <f aca="false">M24-M22</f>
        <v>705.663671876748</v>
      </c>
      <c r="N23" s="116" t="n">
        <f aca="false">N24-N22</f>
        <v>735.313676876748</v>
      </c>
      <c r="O23" s="116" t="n">
        <f aca="false">O24-O22</f>
        <v>767.712641569823</v>
      </c>
      <c r="P23" s="116" t="n">
        <f aca="false">P24-P22</f>
        <v>794.943131376749</v>
      </c>
      <c r="Q23" s="116" t="n">
        <f aca="false">Q24-Q22</f>
        <v>827.342096069822</v>
      </c>
      <c r="R23" s="27"/>
    </row>
    <row r="24" customFormat="false" ht="12.75" hidden="false" customHeight="false" outlineLevel="0" collapsed="false">
      <c r="A24" s="209" t="s">
        <v>154</v>
      </c>
      <c r="B24" s="294" t="n">
        <f aca="false">Assumptions!D19</f>
        <v>0.385</v>
      </c>
      <c r="E24" s="216"/>
      <c r="F24" s="278" t="n">
        <v>0</v>
      </c>
      <c r="G24" s="32" t="n">
        <f aca="false">$B$24*G20</f>
        <v>6365.56015346251</v>
      </c>
      <c r="H24" s="32" t="n">
        <f aca="false">$B$24*H20</f>
        <v>6200.83790346251</v>
      </c>
      <c r="I24" s="32" t="n">
        <f aca="false">$B$24*I20</f>
        <v>6036.11565346251</v>
      </c>
      <c r="J24" s="32" t="n">
        <f aca="false">$B$24*J20</f>
        <v>5871.39340346251</v>
      </c>
      <c r="K24" s="32" t="n">
        <f aca="false">$B$24*K20</f>
        <v>5706.67115346251</v>
      </c>
      <c r="L24" s="32" t="n">
        <f aca="false">$B$24*L20</f>
        <v>5541.94890346251</v>
      </c>
      <c r="M24" s="32" t="n">
        <f aca="false">$B$24*M20</f>
        <v>5377.22665346251</v>
      </c>
      <c r="N24" s="32" t="n">
        <f aca="false">$B$24*N20</f>
        <v>5212.50440346251</v>
      </c>
      <c r="O24" s="32" t="n">
        <f aca="false">$B$24*O20</f>
        <v>5047.78215346251</v>
      </c>
      <c r="P24" s="32" t="n">
        <f aca="false">$B$24*P20</f>
        <v>4883.05990346251</v>
      </c>
      <c r="Q24" s="32" t="n">
        <f aca="false">$B$24*Q20</f>
        <v>4718.33765346251</v>
      </c>
      <c r="R24" s="27"/>
    </row>
    <row r="25" customFormat="false" ht="12.75" hidden="false" customHeight="false" outlineLevel="0" collapsed="false">
      <c r="A25" s="32"/>
      <c r="B25" s="54"/>
      <c r="E25" s="36"/>
      <c r="F25" s="278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27"/>
    </row>
    <row r="26" customFormat="false" ht="12.75" hidden="false" customHeight="false" outlineLevel="0" collapsed="false">
      <c r="A26" s="295" t="s">
        <v>126</v>
      </c>
      <c r="B26" s="124"/>
      <c r="C26" s="114"/>
      <c r="D26" s="114"/>
      <c r="E26" s="296"/>
      <c r="F26" s="291" t="n">
        <f aca="false">F20-F24</f>
        <v>20104</v>
      </c>
      <c r="G26" s="115" t="n">
        <f aca="false">G20-G24</f>
        <v>10168.3623230635</v>
      </c>
      <c r="H26" s="115" t="n">
        <f aca="false">H20-H24</f>
        <v>9905.23457306349</v>
      </c>
      <c r="I26" s="115" t="n">
        <f aca="false">I20-I24</f>
        <v>9642.10682306349</v>
      </c>
      <c r="J26" s="115" t="n">
        <f aca="false">J20-J24</f>
        <v>9378.97907306349</v>
      </c>
      <c r="K26" s="115" t="n">
        <f aca="false">K20-K24</f>
        <v>9115.85132306349</v>
      </c>
      <c r="L26" s="115" t="n">
        <f aca="false">L20-L24</f>
        <v>8852.72357306349</v>
      </c>
      <c r="M26" s="115" t="n">
        <f aca="false">M20-M24</f>
        <v>8589.59582306349</v>
      </c>
      <c r="N26" s="115" t="n">
        <f aca="false">N20-N24</f>
        <v>8326.46807306349</v>
      </c>
      <c r="O26" s="115" t="n">
        <f aca="false">O20-O24</f>
        <v>8063.34032306349</v>
      </c>
      <c r="P26" s="115" t="n">
        <f aca="false">P20-P24</f>
        <v>7800.21257306349</v>
      </c>
      <c r="Q26" s="117" t="n">
        <f aca="false">Q20-Q24</f>
        <v>7537.08482306349</v>
      </c>
      <c r="R26" s="217" t="s">
        <v>119</v>
      </c>
    </row>
    <row r="27" customFormat="false" ht="12.75" hidden="false" customHeight="false" outlineLevel="0" collapsed="false">
      <c r="A27" s="32"/>
      <c r="B27" s="54"/>
      <c r="E27" s="36"/>
      <c r="F27" s="278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217" t="s">
        <v>162</v>
      </c>
    </row>
    <row r="28" customFormat="false" ht="12.75" hidden="false" customHeight="false" outlineLevel="0" collapsed="false">
      <c r="A28" s="32" t="s">
        <v>161</v>
      </c>
      <c r="B28" s="54"/>
      <c r="E28" s="36"/>
      <c r="F28" s="278" t="n">
        <f aca="false">F26+F23+F18</f>
        <v>20104</v>
      </c>
      <c r="G28" s="32" t="n">
        <f aca="false">G26+G23+G18</f>
        <v>13738.4398465375</v>
      </c>
      <c r="H28" s="32" t="n">
        <f aca="false">H26+H23+H18</f>
        <v>15140.1939584212</v>
      </c>
      <c r="I28" s="32" t="n">
        <f aca="false">I26+I23+I18</f>
        <v>15192.0150625791</v>
      </c>
      <c r="J28" s="32" t="n">
        <f aca="false">J26+J23+J18</f>
        <v>15240.0285361677</v>
      </c>
      <c r="K28" s="32" t="n">
        <f aca="false">K26+K23+K18</f>
        <v>15282.030904801</v>
      </c>
      <c r="L28" s="32" t="n">
        <f aca="false">L26+L23+L18</f>
        <v>15317.9087647857</v>
      </c>
      <c r="M28" s="32" t="n">
        <f aca="false">M26+M23+M18</f>
        <v>15432.4370184142</v>
      </c>
      <c r="N28" s="32" t="n">
        <f aca="false">N26+N23+N18</f>
        <v>15626.8092734142</v>
      </c>
      <c r="O28" s="32" t="n">
        <f aca="false">O26+O23+O18</f>
        <v>15823.9304881073</v>
      </c>
      <c r="P28" s="32" t="n">
        <f aca="false">P26+P23+P18</f>
        <v>16015.8832279142</v>
      </c>
      <c r="Q28" s="32" t="n">
        <f aca="false">Q26+Q23+Q18</f>
        <v>16213.0044426073</v>
      </c>
      <c r="R28" s="217" t="s">
        <v>163</v>
      </c>
    </row>
    <row r="29" customFormat="false" ht="12.75" hidden="false" customHeight="false" outlineLevel="0" collapsed="false">
      <c r="A29" s="32" t="s">
        <v>132</v>
      </c>
      <c r="B29" s="297" t="n">
        <f aca="false">Assumptions!C44</f>
        <v>1</v>
      </c>
      <c r="E29" s="36"/>
      <c r="F29" s="278" t="n">
        <f aca="false">F77</f>
        <v>8557</v>
      </c>
      <c r="G29" s="32" t="n">
        <f aca="false">G77</f>
        <v>8557</v>
      </c>
      <c r="H29" s="32" t="n">
        <f aca="false">H77</f>
        <v>8557</v>
      </c>
      <c r="I29" s="32" t="n">
        <f aca="false">I77</f>
        <v>8557</v>
      </c>
      <c r="J29" s="32" t="n">
        <f aca="false">J77</f>
        <v>8557</v>
      </c>
      <c r="K29" s="32" t="n">
        <f aca="false">K77</f>
        <v>8557</v>
      </c>
      <c r="L29" s="32" t="n">
        <f aca="false">L77</f>
        <v>8557</v>
      </c>
      <c r="M29" s="32" t="n">
        <f aca="false">M77</f>
        <v>8557</v>
      </c>
      <c r="N29" s="32" t="n">
        <f aca="false">N77</f>
        <v>8557</v>
      </c>
      <c r="O29" s="32" t="n">
        <f aca="false">O77</f>
        <v>8557</v>
      </c>
      <c r="P29" s="32" t="n">
        <f aca="false">P77</f>
        <v>8557</v>
      </c>
      <c r="Q29" s="32" t="n">
        <f aca="false">Q77</f>
        <v>8557</v>
      </c>
      <c r="R29" s="345" t="n">
        <f aca="false">Assumptions!E43</f>
        <v>5</v>
      </c>
    </row>
    <row r="30" customFormat="false" ht="12.75" hidden="false" customHeight="false" outlineLevel="0" collapsed="false">
      <c r="A30" s="299" t="s">
        <v>164</v>
      </c>
      <c r="B30" s="114"/>
      <c r="C30" s="114"/>
      <c r="D30" s="114"/>
      <c r="E30" s="290"/>
      <c r="F30" s="291" t="n">
        <f aca="false">F28-F29</f>
        <v>11547</v>
      </c>
      <c r="G30" s="115" t="n">
        <f aca="false">G28-G29</f>
        <v>5181.43984653749</v>
      </c>
      <c r="H30" s="115" t="n">
        <f aca="false">H28-H29</f>
        <v>6583.19395842123</v>
      </c>
      <c r="I30" s="115" t="n">
        <f aca="false">I28-I29</f>
        <v>6635.01506257911</v>
      </c>
      <c r="J30" s="115" t="n">
        <f aca="false">J28-J29</f>
        <v>6683.02853616773</v>
      </c>
      <c r="K30" s="115" t="n">
        <f aca="false">K28-K29</f>
        <v>6725.03090480096</v>
      </c>
      <c r="L30" s="115" t="n">
        <f aca="false">L28-L29</f>
        <v>6760.90876478571</v>
      </c>
      <c r="M30" s="115" t="n">
        <f aca="false">M28-M29</f>
        <v>6875.43701841424</v>
      </c>
      <c r="N30" s="115" t="n">
        <f aca="false">N28-N29</f>
        <v>7069.80927341424</v>
      </c>
      <c r="O30" s="115" t="n">
        <f aca="false">O28-O29</f>
        <v>7266.93048810731</v>
      </c>
      <c r="P30" s="115" t="n">
        <f aca="false">P28-P29</f>
        <v>7458.88322791424</v>
      </c>
      <c r="Q30" s="115" t="n">
        <f aca="false">Q28-Q29</f>
        <v>7656.00444260731</v>
      </c>
      <c r="R30" s="117" t="n">
        <f aca="false">Q16*R29</f>
        <v>100520</v>
      </c>
    </row>
    <row r="31" customFormat="false" ht="12.75" hidden="false" customHeight="false" outlineLevel="0" collapsed="false">
      <c r="A31" s="209"/>
      <c r="E31" s="36"/>
      <c r="F31" s="278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</row>
    <row r="32" customFormat="false" ht="13.5" hidden="false" customHeight="false" outlineLevel="0" collapsed="false">
      <c r="R32" s="32"/>
    </row>
    <row r="33" customFormat="false" ht="15" hidden="false" customHeight="false" outlineLevel="0" collapsed="false">
      <c r="F33" s="0"/>
      <c r="G33" s="301" t="s">
        <v>169</v>
      </c>
      <c r="H33" s="302" t="str">
        <f aca="false">(Assumptions!D12-1&amp;" EBITDA")</f>
        <v>1999 EBITDA</v>
      </c>
      <c r="I33" s="302" t="s">
        <v>179</v>
      </c>
      <c r="J33" s="303"/>
      <c r="K33" s="304" t="s">
        <v>170</v>
      </c>
      <c r="L33" s="304"/>
      <c r="M33" s="304"/>
      <c r="P33" s="32"/>
      <c r="Q33" s="32"/>
      <c r="R33" s="32"/>
    </row>
    <row r="34" customFormat="false" ht="15" hidden="false" customHeight="false" outlineLevel="0" collapsed="false">
      <c r="F34" s="0"/>
      <c r="G34" s="305" t="s">
        <v>171</v>
      </c>
      <c r="H34" s="306" t="s">
        <v>172</v>
      </c>
      <c r="I34" s="306" t="s">
        <v>180</v>
      </c>
      <c r="J34" s="307"/>
      <c r="K34" s="308" t="n">
        <f aca="false">Asset3DRate-0.025</f>
        <v>0.1</v>
      </c>
      <c r="L34" s="308" t="n">
        <f aca="false">Assumptions!H43</f>
        <v>0.125</v>
      </c>
      <c r="M34" s="309" t="n">
        <f aca="false">Asset3DRate+0.025</f>
        <v>0.15</v>
      </c>
      <c r="P34" s="32"/>
      <c r="Q34" s="32"/>
      <c r="R34" s="32"/>
    </row>
    <row r="35" customFormat="false" ht="12.75" hidden="false" customHeight="false" outlineLevel="0" collapsed="false">
      <c r="F35" s="52" t="s">
        <v>174</v>
      </c>
      <c r="G35" s="248"/>
      <c r="H35" s="310"/>
      <c r="I35" s="310"/>
      <c r="J35" s="249"/>
      <c r="K35" s="249"/>
      <c r="L35" s="249"/>
      <c r="M35" s="251"/>
      <c r="P35" s="32"/>
      <c r="Q35" s="32"/>
      <c r="R35" s="32"/>
    </row>
    <row r="36" customFormat="false" ht="13.5" hidden="false" customHeight="false" outlineLevel="0" collapsed="false">
      <c r="F36" s="0" t="n">
        <f aca="false">IF(ABS(G36-L36)&lt;0.05,0,1)</f>
        <v>0</v>
      </c>
      <c r="G36" s="311" t="n">
        <v>62844.5504694799</v>
      </c>
      <c r="H36" s="312" t="n">
        <f aca="false">G36/F16</f>
        <v>3.12597246664743</v>
      </c>
      <c r="I36" s="313" t="str">
        <f aca="false">Assumptions!D40</f>
        <v>ETS</v>
      </c>
      <c r="J36" s="314"/>
      <c r="K36" s="342" t="n">
        <f aca="false">NPV(K34,$G$30:$R$30)</f>
        <v>75188.7787471343</v>
      </c>
      <c r="L36" s="343" t="n">
        <f aca="false">NPV(L34,$G$30:$R$30)</f>
        <v>62844.5674518765</v>
      </c>
      <c r="M36" s="257" t="n">
        <f aca="false">NPV(M34,$G$30:$R$30)</f>
        <v>53172.3846785642</v>
      </c>
      <c r="P36" s="32"/>
      <c r="Q36" s="32"/>
      <c r="R36" s="32"/>
    </row>
    <row r="37" customFormat="false" ht="12.75" hidden="false" customHeight="false" outlineLevel="0" collapsed="false">
      <c r="F37" s="0"/>
      <c r="G37" s="32"/>
      <c r="H37" s="318"/>
      <c r="I37" s="318"/>
      <c r="J37" s="32"/>
      <c r="K37" s="32"/>
      <c r="L37" s="32"/>
      <c r="M37" s="32"/>
      <c r="P37" s="32"/>
      <c r="Q37" s="32"/>
      <c r="R37" s="32"/>
    </row>
    <row r="38" customFormat="false" ht="12.75" hidden="false" customHeight="false" outlineLevel="0" collapsed="false">
      <c r="F38" s="32"/>
      <c r="G38" s="32"/>
      <c r="H38" s="32"/>
      <c r="I38" s="32"/>
      <c r="J38" s="32"/>
      <c r="K38" s="32"/>
      <c r="L38" s="32"/>
      <c r="N38" s="32"/>
      <c r="O38" s="32"/>
      <c r="P38" s="32"/>
      <c r="Q38" s="32"/>
    </row>
    <row r="39" customFormat="false" ht="12.75" hidden="false" customHeight="false" outlineLevel="0" collapsed="false">
      <c r="E39" s="32"/>
      <c r="F39" s="32"/>
      <c r="G39" s="32"/>
      <c r="I39" s="27"/>
      <c r="J39" s="27"/>
      <c r="K39" s="27"/>
      <c r="L39" s="27"/>
      <c r="M39" s="27"/>
      <c r="N39" s="27"/>
      <c r="O39" s="27"/>
      <c r="P39" s="27"/>
      <c r="Q39" s="27"/>
    </row>
    <row r="40" customFormat="false" ht="12.75" hidden="false" customHeight="false" outlineLevel="0" collapsed="false">
      <c r="E40" s="32"/>
      <c r="F40" s="32"/>
      <c r="G40" s="32"/>
      <c r="H40" s="32"/>
      <c r="I40" s="27"/>
      <c r="J40" s="27"/>
      <c r="K40" s="27"/>
      <c r="L40" s="27"/>
      <c r="M40" s="27"/>
      <c r="N40" s="27"/>
      <c r="O40" s="27"/>
      <c r="P40" s="27"/>
      <c r="Q40" s="27"/>
    </row>
    <row r="41" customFormat="false" ht="13.5" hidden="false" customHeight="false" outlineLevel="0" collapsed="false">
      <c r="A41" s="13" t="s">
        <v>181</v>
      </c>
    </row>
    <row r="42" customFormat="false" ht="13.5" hidden="false" customHeight="false" outlineLevel="0" collapsed="false">
      <c r="B42" s="319" t="s">
        <v>182</v>
      </c>
      <c r="C42" s="320" t="s">
        <v>183</v>
      </c>
      <c r="F42" s="321" t="n">
        <f aca="false">G42-1</f>
        <v>1999</v>
      </c>
      <c r="G42" s="13" t="n">
        <f aca="false">Assumptions!D12</f>
        <v>2000</v>
      </c>
      <c r="H42" s="13" t="n">
        <f aca="false">G42+1</f>
        <v>2001</v>
      </c>
      <c r="I42" s="13" t="n">
        <f aca="false">H42+1</f>
        <v>2002</v>
      </c>
      <c r="J42" s="13" t="n">
        <f aca="false">I42+1</f>
        <v>2003</v>
      </c>
      <c r="K42" s="13" t="n">
        <f aca="false">J42+1</f>
        <v>2004</v>
      </c>
      <c r="L42" s="13" t="n">
        <f aca="false">K42+1</f>
        <v>2005</v>
      </c>
      <c r="M42" s="13" t="n">
        <f aca="false">L42+1</f>
        <v>2006</v>
      </c>
      <c r="N42" s="13" t="n">
        <f aca="false">M42+1</f>
        <v>2007</v>
      </c>
      <c r="O42" s="13" t="n">
        <f aca="false">N42+1</f>
        <v>2008</v>
      </c>
      <c r="P42" s="13" t="n">
        <f aca="false">O42+1</f>
        <v>2009</v>
      </c>
      <c r="Q42" s="13" t="n">
        <f aca="false">P42+1</f>
        <v>2010</v>
      </c>
    </row>
    <row r="43" customFormat="false" ht="13.5" hidden="false" customHeight="false" outlineLevel="0" collapsed="false">
      <c r="A43" s="322" t="str">
        <f aca="false">A2</f>
        <v>  Gath. &amp; Proc. - Cash Flow Analysis</v>
      </c>
      <c r="B43" s="323" t="n">
        <f aca="false">Assumptions!C44</f>
        <v>1</v>
      </c>
      <c r="C43" s="324" t="n">
        <v>1</v>
      </c>
      <c r="D43" s="114"/>
      <c r="E43" s="325"/>
      <c r="F43" s="291" t="n">
        <f aca="false">F48*$B$43</f>
        <v>83790</v>
      </c>
      <c r="G43" s="115" t="n">
        <f aca="false">CHOOSE($C$43,G48,G51,G54)*$B$43+G44</f>
        <v>83790</v>
      </c>
      <c r="H43" s="115" t="n">
        <f aca="false">CHOOSE($C$43,H48,H51,H54)*$B$43+H44</f>
        <v>83790</v>
      </c>
      <c r="I43" s="115" t="n">
        <f aca="false">CHOOSE($C$43,I48,I51,I54)*$B$43+I44</f>
        <v>83790</v>
      </c>
      <c r="J43" s="115" t="n">
        <f aca="false">CHOOSE($C$43,J48,J51,J54)*$B$43+J44</f>
        <v>83790</v>
      </c>
      <c r="K43" s="115" t="n">
        <f aca="false">CHOOSE($C$43,K48,K51,K54)*$B$43+K44</f>
        <v>83790</v>
      </c>
      <c r="L43" s="115" t="n">
        <f aca="false">CHOOSE($C$43,L48,L51,L54)*$B$43+L44</f>
        <v>83790</v>
      </c>
      <c r="M43" s="115" t="n">
        <f aca="false">CHOOSE($C$43,M48,M51,M54)*$B$43+M44</f>
        <v>83790</v>
      </c>
      <c r="N43" s="115" t="n">
        <f aca="false">CHOOSE($C$43,N48,N51,N54)*$B$43+N44</f>
        <v>83790</v>
      </c>
      <c r="O43" s="115" t="n">
        <f aca="false">CHOOSE($C$43,O48,O51,O54)*$B$43+O44</f>
        <v>83790</v>
      </c>
      <c r="P43" s="115" t="n">
        <f aca="false">CHOOSE($C$43,P48,P51,P54)*$B$43+P44</f>
        <v>83790</v>
      </c>
      <c r="Q43" s="117" t="n">
        <f aca="false">CHOOSE($C$43,Q48,Q51,Q54)*$B$43+Q44</f>
        <v>83790</v>
      </c>
    </row>
    <row r="44" customFormat="false" ht="12.75" hidden="false" customHeight="false" outlineLevel="0" collapsed="false">
      <c r="C44" s="326"/>
      <c r="F44" s="284" t="s">
        <v>184</v>
      </c>
      <c r="G44" s="32" t="n">
        <v>0</v>
      </c>
      <c r="H44" s="32" t="n">
        <v>0</v>
      </c>
      <c r="I44" s="32" t="n">
        <v>0</v>
      </c>
      <c r="J44" s="32" t="n">
        <v>0</v>
      </c>
      <c r="K44" s="32" t="n">
        <v>0</v>
      </c>
      <c r="L44" s="32" t="n">
        <v>0</v>
      </c>
      <c r="M44" s="32" t="n">
        <v>0</v>
      </c>
      <c r="N44" s="32" t="n">
        <v>0</v>
      </c>
      <c r="O44" s="32" t="n">
        <v>0</v>
      </c>
      <c r="P44" s="32" t="n">
        <v>0</v>
      </c>
      <c r="Q44" s="32" t="n">
        <v>0</v>
      </c>
    </row>
    <row r="45" customFormat="false" ht="12.75" hidden="false" customHeight="false" outlineLevel="0" collapsed="false">
      <c r="C45" s="327"/>
      <c r="D45" s="279"/>
      <c r="F45" s="209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customFormat="false" ht="12.75" hidden="false" customHeight="false" outlineLevel="0" collapsed="false">
      <c r="A46" s="12" t="str">
        <f aca="false">Assumptions!B58</f>
        <v>1. Base Case</v>
      </c>
      <c r="C46" s="327" t="n">
        <v>1</v>
      </c>
    </row>
    <row r="47" customFormat="false" ht="15" hidden="false" customHeight="false" outlineLevel="0" collapsed="false">
      <c r="A47" s="0" t="s">
        <v>185</v>
      </c>
      <c r="C47" s="327"/>
      <c r="D47" s="328"/>
      <c r="E47" s="36"/>
      <c r="F47" s="293" t="n">
        <v>83790</v>
      </c>
      <c r="G47" s="116" t="n">
        <f aca="false">F47</f>
        <v>83790</v>
      </c>
      <c r="H47" s="116" t="n">
        <f aca="false">G47</f>
        <v>83790</v>
      </c>
      <c r="I47" s="116" t="n">
        <f aca="false">H47</f>
        <v>83790</v>
      </c>
      <c r="J47" s="116" t="n">
        <f aca="false">I47</f>
        <v>83790</v>
      </c>
      <c r="K47" s="116" t="n">
        <f aca="false">J47</f>
        <v>83790</v>
      </c>
      <c r="L47" s="116" t="n">
        <f aca="false">K47</f>
        <v>83790</v>
      </c>
      <c r="M47" s="116" t="n">
        <f aca="false">L47</f>
        <v>83790</v>
      </c>
      <c r="N47" s="116" t="n">
        <f aca="false">M47</f>
        <v>83790</v>
      </c>
      <c r="O47" s="116" t="n">
        <f aca="false">N47</f>
        <v>83790</v>
      </c>
      <c r="P47" s="116" t="n">
        <f aca="false">O47</f>
        <v>83790</v>
      </c>
      <c r="Q47" s="116" t="n">
        <f aca="false">P47</f>
        <v>83790</v>
      </c>
    </row>
    <row r="48" customFormat="false" ht="12.75" hidden="false" customHeight="false" outlineLevel="0" collapsed="false">
      <c r="A48" s="190" t="s">
        <v>154</v>
      </c>
      <c r="B48" s="329" t="n">
        <v>1</v>
      </c>
      <c r="C48" s="327"/>
      <c r="D48" s="282"/>
      <c r="E48" s="283"/>
      <c r="F48" s="278" t="n">
        <f aca="false">SUM(F47)*$B$48</f>
        <v>83790</v>
      </c>
      <c r="G48" s="32" t="n">
        <f aca="false">SUM(G47)*$B$48+G49</f>
        <v>83790</v>
      </c>
      <c r="H48" s="32" t="n">
        <f aca="false">SUM(H47)*$B$48+H49</f>
        <v>83790</v>
      </c>
      <c r="I48" s="32" t="n">
        <f aca="false">SUM(I47)*$B$48+I49</f>
        <v>83790</v>
      </c>
      <c r="J48" s="32" t="n">
        <f aca="false">SUM(J47)*$B$48+J49</f>
        <v>83790</v>
      </c>
      <c r="K48" s="32" t="n">
        <f aca="false">SUM(K47)*$B$48+K49</f>
        <v>83790</v>
      </c>
      <c r="L48" s="32" t="n">
        <f aca="false">SUM(L47)*$B$48+L49</f>
        <v>83790</v>
      </c>
      <c r="M48" s="32" t="n">
        <f aca="false">SUM(M47)*$B$48+M49</f>
        <v>83790</v>
      </c>
      <c r="N48" s="32" t="n">
        <f aca="false">SUM(N47)*$B$48+N49</f>
        <v>83790</v>
      </c>
      <c r="O48" s="32" t="n">
        <f aca="false">SUM(O47)*$B$48+O49</f>
        <v>83790</v>
      </c>
      <c r="P48" s="32" t="n">
        <f aca="false">SUM(P47)*$B$48+P49</f>
        <v>83790</v>
      </c>
      <c r="Q48" s="32" t="n">
        <f aca="false">SUM(Q47)*$B$48+Q49</f>
        <v>83790</v>
      </c>
    </row>
    <row r="49" customFormat="false" ht="12.75" hidden="false" customHeight="false" outlineLevel="0" collapsed="false">
      <c r="C49" s="327"/>
      <c r="F49" s="284" t="s">
        <v>184</v>
      </c>
      <c r="G49" s="32" t="n">
        <v>0</v>
      </c>
      <c r="H49" s="32" t="n">
        <v>0</v>
      </c>
      <c r="I49" s="32" t="n">
        <f aca="false">H49</f>
        <v>0</v>
      </c>
      <c r="J49" s="32" t="n">
        <f aca="false">I49</f>
        <v>0</v>
      </c>
      <c r="K49" s="32" t="n">
        <f aca="false">J49</f>
        <v>0</v>
      </c>
      <c r="L49" s="32" t="n">
        <f aca="false">K49</f>
        <v>0</v>
      </c>
      <c r="M49" s="32" t="n">
        <f aca="false">L49</f>
        <v>0</v>
      </c>
      <c r="N49" s="32" t="n">
        <f aca="false">M49</f>
        <v>0</v>
      </c>
      <c r="O49" s="32" t="n">
        <f aca="false">N49</f>
        <v>0</v>
      </c>
      <c r="P49" s="32" t="n">
        <f aca="false">O49</f>
        <v>0</v>
      </c>
      <c r="Q49" s="32" t="n">
        <f aca="false">P49</f>
        <v>0</v>
      </c>
    </row>
    <row r="50" customFormat="false" ht="12.75" hidden="false" customHeight="false" outlineLevel="0" collapsed="false">
      <c r="C50" s="327"/>
    </row>
    <row r="51" customFormat="false" ht="12.75" hidden="false" customHeight="false" outlineLevel="0" collapsed="false">
      <c r="A51" s="12" t="str">
        <f aca="false">Assumptions!B59</f>
        <v>2. Optimistic</v>
      </c>
      <c r="B51" s="329" t="n">
        <v>1.02</v>
      </c>
      <c r="C51" s="327" t="n">
        <v>2</v>
      </c>
      <c r="D51" s="282"/>
      <c r="F51" s="278" t="n">
        <f aca="false">F48</f>
        <v>83790</v>
      </c>
      <c r="G51" s="133" t="n">
        <f aca="false">F51*$B$51+G52</f>
        <v>85465.8</v>
      </c>
      <c r="H51" s="133" t="n">
        <f aca="false">G51*$B$51+H52</f>
        <v>87175.116</v>
      </c>
      <c r="I51" s="133" t="n">
        <f aca="false">H51*$B$51+I52</f>
        <v>88918.61832</v>
      </c>
      <c r="J51" s="133" t="n">
        <f aca="false">I51*$B$51+J52</f>
        <v>90696.9906864</v>
      </c>
      <c r="K51" s="133" t="n">
        <f aca="false">J51*$B$51+K52</f>
        <v>92510.930500128</v>
      </c>
      <c r="L51" s="133" t="n">
        <f aca="false">K51*$B$51+L52</f>
        <v>94361.1491101306</v>
      </c>
      <c r="M51" s="133" t="n">
        <f aca="false">L51*$B$51+M52</f>
        <v>96248.3720923332</v>
      </c>
      <c r="N51" s="133" t="n">
        <f aca="false">M51*$B$51+N52</f>
        <v>98173.3395341799</v>
      </c>
      <c r="O51" s="133" t="n">
        <f aca="false">N51*$B$51+O52</f>
        <v>100136.806324863</v>
      </c>
      <c r="P51" s="133" t="n">
        <f aca="false">O51*$B$51+P52</f>
        <v>102139.542451361</v>
      </c>
      <c r="Q51" s="133" t="n">
        <f aca="false">P51*$B$51+Q52</f>
        <v>104182.333300388</v>
      </c>
    </row>
    <row r="52" customFormat="false" ht="12.75" hidden="false" customHeight="false" outlineLevel="0" collapsed="false">
      <c r="A52" s="12"/>
      <c r="C52" s="327"/>
      <c r="F52" s="284" t="s">
        <v>184</v>
      </c>
      <c r="G52" s="32" t="n">
        <v>0</v>
      </c>
      <c r="H52" s="32" t="n">
        <v>0</v>
      </c>
      <c r="I52" s="32" t="n">
        <f aca="false">H52</f>
        <v>0</v>
      </c>
      <c r="J52" s="32" t="n">
        <f aca="false">I52</f>
        <v>0</v>
      </c>
      <c r="K52" s="32" t="n">
        <f aca="false">J52</f>
        <v>0</v>
      </c>
      <c r="L52" s="32" t="n">
        <f aca="false">K52</f>
        <v>0</v>
      </c>
      <c r="M52" s="32" t="n">
        <f aca="false">L52</f>
        <v>0</v>
      </c>
      <c r="N52" s="32" t="n">
        <f aca="false">M52</f>
        <v>0</v>
      </c>
      <c r="O52" s="32" t="n">
        <f aca="false">N52</f>
        <v>0</v>
      </c>
      <c r="P52" s="32" t="n">
        <f aca="false">O52</f>
        <v>0</v>
      </c>
      <c r="Q52" s="32" t="n">
        <f aca="false">P52</f>
        <v>0</v>
      </c>
    </row>
    <row r="53" customFormat="false" ht="12.75" hidden="false" customHeight="false" outlineLevel="0" collapsed="false">
      <c r="A53" s="12"/>
      <c r="C53" s="327"/>
    </row>
    <row r="54" customFormat="false" ht="12.75" hidden="false" customHeight="false" outlineLevel="0" collapsed="false">
      <c r="A54" s="12" t="str">
        <f aca="false">Assumptions!B60</f>
        <v>3. Pessimistic</v>
      </c>
      <c r="B54" s="329" t="n">
        <v>0.99</v>
      </c>
      <c r="C54" s="327" t="n">
        <v>3</v>
      </c>
      <c r="D54" s="282"/>
      <c r="F54" s="278" t="n">
        <f aca="false">F48</f>
        <v>83790</v>
      </c>
      <c r="G54" s="133" t="n">
        <f aca="false">F54*$B$54+G55</f>
        <v>82952.1</v>
      </c>
      <c r="H54" s="133" t="n">
        <f aca="false">G54*$B$54+H55</f>
        <v>82122.579</v>
      </c>
      <c r="I54" s="133" t="n">
        <f aca="false">H54*$B$54+I55</f>
        <v>81301.35321</v>
      </c>
      <c r="J54" s="133" t="n">
        <f aca="false">I54*$B$54+J55</f>
        <v>80488.3396779</v>
      </c>
      <c r="K54" s="133" t="n">
        <f aca="false">J54*$B$54+K55</f>
        <v>79683.456281121</v>
      </c>
      <c r="L54" s="133" t="n">
        <f aca="false">K54*$B$54+L55</f>
        <v>78886.6217183098</v>
      </c>
      <c r="M54" s="133" t="n">
        <f aca="false">L54*$B$54+M55</f>
        <v>78097.7555011267</v>
      </c>
      <c r="N54" s="133" t="n">
        <f aca="false">M54*$B$54+N55</f>
        <v>77316.7779461154</v>
      </c>
      <c r="O54" s="133" t="n">
        <f aca="false">N54*$B$54+O55</f>
        <v>76543.6101666543</v>
      </c>
      <c r="P54" s="133" t="n">
        <f aca="false">O54*$B$54+P55</f>
        <v>75778.1740649877</v>
      </c>
      <c r="Q54" s="133" t="n">
        <f aca="false">P54*$B$54+Q55</f>
        <v>75020.3923243378</v>
      </c>
    </row>
    <row r="55" customFormat="false" ht="13.5" hidden="false" customHeight="false" outlineLevel="0" collapsed="false">
      <c r="C55" s="330"/>
      <c r="F55" s="284" t="s">
        <v>184</v>
      </c>
      <c r="G55" s="32" t="n">
        <v>0</v>
      </c>
      <c r="H55" s="32" t="n">
        <v>0</v>
      </c>
      <c r="I55" s="32" t="n">
        <f aca="false">H55</f>
        <v>0</v>
      </c>
      <c r="J55" s="32" t="n">
        <f aca="false">I55</f>
        <v>0</v>
      </c>
      <c r="K55" s="32" t="n">
        <f aca="false">J55</f>
        <v>0</v>
      </c>
      <c r="L55" s="32" t="n">
        <f aca="false">K55</f>
        <v>0</v>
      </c>
      <c r="M55" s="32" t="n">
        <f aca="false">L55</f>
        <v>0</v>
      </c>
      <c r="N55" s="32" t="n">
        <f aca="false">M55</f>
        <v>0</v>
      </c>
      <c r="O55" s="32" t="n">
        <f aca="false">N55</f>
        <v>0</v>
      </c>
      <c r="P55" s="32" t="n">
        <f aca="false">O55</f>
        <v>0</v>
      </c>
      <c r="Q55" s="32" t="n">
        <f aca="false">P55</f>
        <v>0</v>
      </c>
    </row>
    <row r="58" customFormat="false" ht="13.5" hidden="false" customHeight="false" outlineLevel="0" collapsed="false">
      <c r="A58" s="13" t="s">
        <v>186</v>
      </c>
    </row>
    <row r="59" customFormat="false" ht="13.5" hidden="false" customHeight="false" outlineLevel="0" collapsed="false">
      <c r="B59" s="319" t="s">
        <v>182</v>
      </c>
      <c r="C59" s="320" t="s">
        <v>183</v>
      </c>
      <c r="F59" s="321" t="n">
        <f aca="false">G59-1</f>
        <v>1999</v>
      </c>
      <c r="G59" s="13" t="n">
        <f aca="false">Assumptions!D12</f>
        <v>2000</v>
      </c>
      <c r="H59" s="13" t="n">
        <f aca="false">G59+1</f>
        <v>2001</v>
      </c>
      <c r="I59" s="13" t="n">
        <f aca="false">H59+1</f>
        <v>2002</v>
      </c>
      <c r="J59" s="13" t="n">
        <f aca="false">I59+1</f>
        <v>2003</v>
      </c>
      <c r="K59" s="13" t="n">
        <f aca="false">J59+1</f>
        <v>2004</v>
      </c>
      <c r="L59" s="13" t="n">
        <f aca="false">K59+1</f>
        <v>2005</v>
      </c>
      <c r="M59" s="13" t="n">
        <f aca="false">L59+1</f>
        <v>2006</v>
      </c>
      <c r="N59" s="13" t="n">
        <f aca="false">M59+1</f>
        <v>2007</v>
      </c>
      <c r="O59" s="13" t="n">
        <f aca="false">N59+1</f>
        <v>2008</v>
      </c>
      <c r="P59" s="13" t="n">
        <f aca="false">O59+1</f>
        <v>2009</v>
      </c>
      <c r="Q59" s="13" t="n">
        <f aca="false">P59+1</f>
        <v>2010</v>
      </c>
    </row>
    <row r="60" customFormat="false" ht="13.5" hidden="false" customHeight="false" outlineLevel="0" collapsed="false">
      <c r="A60" s="322" t="str">
        <f aca="false">A2</f>
        <v>  Gath. &amp; Proc. - Cash Flow Analysis</v>
      </c>
      <c r="B60" s="323" t="n">
        <f aca="false">Assumptions!C44</f>
        <v>1</v>
      </c>
      <c r="C60" s="331" t="n">
        <v>1</v>
      </c>
      <c r="D60" s="114"/>
      <c r="E60" s="325"/>
      <c r="F60" s="332" t="n">
        <f aca="false">F65*$B$60</f>
        <v>63686</v>
      </c>
      <c r="G60" s="115" t="n">
        <f aca="false">CHOOSE($C$60,G65,G68,G71)*$B$60+G61</f>
        <v>63686</v>
      </c>
      <c r="H60" s="115" t="n">
        <f aca="false">CHOOSE($C$60,H65,H68,H71)*$B$60+H61</f>
        <v>63686</v>
      </c>
      <c r="I60" s="115" t="n">
        <f aca="false">CHOOSE($C$60,I65,I68,I71)*$B$60+I61</f>
        <v>63686</v>
      </c>
      <c r="J60" s="115" t="n">
        <f aca="false">CHOOSE($C$60,J65,J68,J71)*$B$60+J61</f>
        <v>63686</v>
      </c>
      <c r="K60" s="115" t="n">
        <f aca="false">CHOOSE($C$60,K65,K68,K71)*$B$60+K61</f>
        <v>63686</v>
      </c>
      <c r="L60" s="115" t="n">
        <f aca="false">CHOOSE($C$60,L65,L68,L71)*$B$60+L61</f>
        <v>63686</v>
      </c>
      <c r="M60" s="115" t="n">
        <f aca="false">CHOOSE($C$60,M65,M68,M71)*$B$60+M61</f>
        <v>63686</v>
      </c>
      <c r="N60" s="115" t="n">
        <f aca="false">CHOOSE($C$60,N65,N68,N71)*$B$60+N61</f>
        <v>63686</v>
      </c>
      <c r="O60" s="115" t="n">
        <f aca="false">CHOOSE($C$60,O65,O68,O71)*$B$60+O61</f>
        <v>63686</v>
      </c>
      <c r="P60" s="115" t="n">
        <f aca="false">CHOOSE($C$60,P65,P68,P71)*$B$60+P61</f>
        <v>63686</v>
      </c>
      <c r="Q60" s="117" t="n">
        <f aca="false">CHOOSE($C$60,Q65,Q68,Q71)*$B$60+Q61</f>
        <v>63686</v>
      </c>
    </row>
    <row r="61" customFormat="false" ht="12.75" hidden="false" customHeight="false" outlineLevel="0" collapsed="false">
      <c r="C61" s="333"/>
      <c r="F61" s="284" t="s">
        <v>184</v>
      </c>
      <c r="G61" s="32" t="n">
        <v>0</v>
      </c>
      <c r="H61" s="32" t="n">
        <v>0</v>
      </c>
      <c r="I61" s="32" t="n">
        <v>0</v>
      </c>
      <c r="J61" s="32" t="n">
        <v>0</v>
      </c>
      <c r="K61" s="32" t="n">
        <v>0</v>
      </c>
      <c r="L61" s="32" t="n">
        <v>0</v>
      </c>
      <c r="M61" s="32" t="n">
        <v>0</v>
      </c>
      <c r="N61" s="32" t="n">
        <v>0</v>
      </c>
      <c r="O61" s="32" t="n">
        <v>0</v>
      </c>
      <c r="P61" s="32" t="n">
        <v>0</v>
      </c>
      <c r="Q61" s="32" t="n">
        <v>0</v>
      </c>
    </row>
    <row r="62" customFormat="false" ht="12.75" hidden="false" customHeight="false" outlineLevel="0" collapsed="false">
      <c r="C62" s="334"/>
      <c r="D62" s="279"/>
      <c r="E62" s="285"/>
    </row>
    <row r="63" customFormat="false" ht="12.75" hidden="false" customHeight="false" outlineLevel="0" collapsed="false">
      <c r="A63" s="12" t="str">
        <f aca="false">Assumptions!B64</f>
        <v>1. Base Case</v>
      </c>
      <c r="C63" s="334"/>
    </row>
    <row r="64" customFormat="false" ht="15" hidden="false" customHeight="false" outlineLevel="0" collapsed="false">
      <c r="A64" s="0" t="s">
        <v>192</v>
      </c>
      <c r="C64" s="334"/>
      <c r="D64" s="282"/>
      <c r="E64" s="346"/>
      <c r="F64" s="293" t="n">
        <v>63686</v>
      </c>
      <c r="G64" s="116" t="n">
        <f aca="false">F64</f>
        <v>63686</v>
      </c>
      <c r="H64" s="335" t="n">
        <f aca="false">G64</f>
        <v>63686</v>
      </c>
      <c r="I64" s="335" t="n">
        <f aca="false">H64</f>
        <v>63686</v>
      </c>
      <c r="J64" s="335" t="n">
        <f aca="false">I64</f>
        <v>63686</v>
      </c>
      <c r="K64" s="335" t="n">
        <f aca="false">J64</f>
        <v>63686</v>
      </c>
      <c r="L64" s="335" t="n">
        <f aca="false">K64</f>
        <v>63686</v>
      </c>
      <c r="M64" s="335" t="n">
        <f aca="false">L64</f>
        <v>63686</v>
      </c>
      <c r="N64" s="335" t="n">
        <f aca="false">M64</f>
        <v>63686</v>
      </c>
      <c r="O64" s="335" t="n">
        <f aca="false">N64</f>
        <v>63686</v>
      </c>
      <c r="P64" s="335" t="n">
        <f aca="false">O64</f>
        <v>63686</v>
      </c>
      <c r="Q64" s="335" t="n">
        <f aca="false">P64</f>
        <v>63686</v>
      </c>
    </row>
    <row r="65" customFormat="false" ht="12.75" hidden="false" customHeight="false" outlineLevel="0" collapsed="false">
      <c r="A65" s="190" t="s">
        <v>154</v>
      </c>
      <c r="B65" s="336" t="n">
        <v>1</v>
      </c>
      <c r="C65" s="327" t="n">
        <v>1</v>
      </c>
      <c r="D65" s="282"/>
      <c r="E65" s="26"/>
      <c r="F65" s="337" t="n">
        <f aca="false">SUM(F64)</f>
        <v>63686</v>
      </c>
      <c r="G65" s="131" t="n">
        <f aca="false">SUM(G64)*$B$65+G66</f>
        <v>63686</v>
      </c>
      <c r="H65" s="131" t="n">
        <f aca="false">SUM(H64)*$B$65+H66</f>
        <v>63686</v>
      </c>
      <c r="I65" s="131" t="n">
        <f aca="false">SUM(I64)*$B$65+I66</f>
        <v>63686</v>
      </c>
      <c r="J65" s="131" t="n">
        <f aca="false">SUM(J64)*$B$65+J66</f>
        <v>63686</v>
      </c>
      <c r="K65" s="131" t="n">
        <f aca="false">SUM(K64)*$B$65+K66</f>
        <v>63686</v>
      </c>
      <c r="L65" s="131" t="n">
        <f aca="false">SUM(L64)*$B$65+L66</f>
        <v>63686</v>
      </c>
      <c r="M65" s="131" t="n">
        <f aca="false">SUM(M64)*$B$65+M66</f>
        <v>63686</v>
      </c>
      <c r="N65" s="131" t="n">
        <f aca="false">SUM(N64)*$B$65+N66</f>
        <v>63686</v>
      </c>
      <c r="O65" s="131" t="n">
        <f aca="false">SUM(O64)*$B$65+O66</f>
        <v>63686</v>
      </c>
      <c r="P65" s="131" t="n">
        <f aca="false">SUM(P64)*$B$65+P66</f>
        <v>63686</v>
      </c>
      <c r="Q65" s="131" t="n">
        <f aca="false">SUM(Q64)*$B$65+Q66</f>
        <v>63686</v>
      </c>
    </row>
    <row r="66" customFormat="false" ht="12.75" hidden="false" customHeight="false" outlineLevel="0" collapsed="false">
      <c r="C66" s="334"/>
      <c r="F66" s="284" t="s">
        <v>184</v>
      </c>
      <c r="G66" s="32" t="n">
        <v>0</v>
      </c>
      <c r="H66" s="32" t="n">
        <v>0</v>
      </c>
      <c r="I66" s="32" t="n">
        <v>0</v>
      </c>
      <c r="J66" s="32" t="n">
        <v>0</v>
      </c>
      <c r="K66" s="32" t="n">
        <v>0</v>
      </c>
      <c r="L66" s="32" t="n">
        <v>0</v>
      </c>
      <c r="M66" s="32" t="n">
        <v>0</v>
      </c>
      <c r="N66" s="32" t="n">
        <v>0</v>
      </c>
      <c r="O66" s="32" t="n">
        <v>0</v>
      </c>
      <c r="P66" s="32" t="n">
        <v>0</v>
      </c>
      <c r="Q66" s="32" t="n">
        <v>0</v>
      </c>
    </row>
    <row r="67" customFormat="false" ht="12.75" hidden="false" customHeight="false" outlineLevel="0" collapsed="false">
      <c r="C67" s="334"/>
    </row>
    <row r="68" customFormat="false" ht="12.75" hidden="false" customHeight="false" outlineLevel="0" collapsed="false">
      <c r="A68" s="12" t="str">
        <f aca="false">Assumptions!B65</f>
        <v>2. Optimistic</v>
      </c>
      <c r="B68" s="336" t="n">
        <v>0.99</v>
      </c>
      <c r="C68" s="327" t="n">
        <v>2</v>
      </c>
      <c r="D68" s="282"/>
      <c r="F68" s="337" t="n">
        <f aca="false">F65</f>
        <v>63686</v>
      </c>
      <c r="G68" s="133" t="n">
        <f aca="false">F68*$B$68+G69</f>
        <v>63049.14</v>
      </c>
      <c r="H68" s="133" t="n">
        <f aca="false">G68*$B$68+H69</f>
        <v>62418.6486</v>
      </c>
      <c r="I68" s="133" t="n">
        <f aca="false">H68*$B$68+I69</f>
        <v>61794.462114</v>
      </c>
      <c r="J68" s="133" t="n">
        <f aca="false">I68*$B$68+J69</f>
        <v>61176.51749286</v>
      </c>
      <c r="K68" s="133" t="n">
        <f aca="false">J68*$B$68+K69</f>
        <v>60564.7523179314</v>
      </c>
      <c r="L68" s="133" t="n">
        <f aca="false">K68*$B$68+L69</f>
        <v>59959.1047947521</v>
      </c>
      <c r="M68" s="133" t="n">
        <f aca="false">L68*$B$68+M69</f>
        <v>59359.5137468046</v>
      </c>
      <c r="N68" s="133" t="n">
        <f aca="false">M68*$B$68+N69</f>
        <v>58765.9186093365</v>
      </c>
      <c r="O68" s="133" t="n">
        <f aca="false">N68*$B$68+O69</f>
        <v>58178.2594232432</v>
      </c>
      <c r="P68" s="133" t="n">
        <f aca="false">O68*$B$68+P69</f>
        <v>57596.4768290107</v>
      </c>
      <c r="Q68" s="133" t="n">
        <f aca="false">P68*$B$68+Q69</f>
        <v>57020.5120607206</v>
      </c>
    </row>
    <row r="69" customFormat="false" ht="12.75" hidden="false" customHeight="false" outlineLevel="0" collapsed="false">
      <c r="A69" s="12"/>
      <c r="C69" s="338"/>
      <c r="F69" s="284" t="s">
        <v>184</v>
      </c>
      <c r="G69" s="32" t="n">
        <v>0</v>
      </c>
      <c r="H69" s="32" t="n">
        <v>0</v>
      </c>
      <c r="I69" s="32" t="n">
        <f aca="false">H69</f>
        <v>0</v>
      </c>
      <c r="J69" s="32" t="n">
        <f aca="false">I69</f>
        <v>0</v>
      </c>
      <c r="K69" s="32" t="n">
        <f aca="false">J69</f>
        <v>0</v>
      </c>
      <c r="L69" s="32" t="n">
        <f aca="false">K69</f>
        <v>0</v>
      </c>
      <c r="M69" s="32" t="n">
        <f aca="false">L69</f>
        <v>0</v>
      </c>
      <c r="N69" s="32" t="n">
        <f aca="false">M69</f>
        <v>0</v>
      </c>
      <c r="O69" s="32" t="n">
        <f aca="false">N69</f>
        <v>0</v>
      </c>
      <c r="P69" s="32" t="n">
        <f aca="false">O69</f>
        <v>0</v>
      </c>
      <c r="Q69" s="32" t="n">
        <f aca="false">P69</f>
        <v>0</v>
      </c>
    </row>
    <row r="70" customFormat="false" ht="12.75" hidden="false" customHeight="false" outlineLevel="0" collapsed="false">
      <c r="A70" s="12"/>
      <c r="C70" s="338"/>
    </row>
    <row r="71" customFormat="false" ht="12.75" hidden="false" customHeight="false" outlineLevel="0" collapsed="false">
      <c r="A71" s="12" t="str">
        <f aca="false">Assumptions!B66</f>
        <v>3. Pessimistic</v>
      </c>
      <c r="B71" s="336" t="n">
        <v>1.01</v>
      </c>
      <c r="C71" s="327" t="n">
        <v>3</v>
      </c>
      <c r="D71" s="282"/>
      <c r="F71" s="337" t="n">
        <f aca="false">F65</f>
        <v>63686</v>
      </c>
      <c r="G71" s="133" t="n">
        <f aca="false">F71*$B$71+G72</f>
        <v>64322.86</v>
      </c>
      <c r="H71" s="133" t="n">
        <f aca="false">G71*$B$71+H72</f>
        <v>64966.0886</v>
      </c>
      <c r="I71" s="133" t="n">
        <f aca="false">H71*$B$71+I72</f>
        <v>65615.749486</v>
      </c>
      <c r="J71" s="133" t="n">
        <f aca="false">I71*$B$71+J72</f>
        <v>66271.90698086</v>
      </c>
      <c r="K71" s="133" t="n">
        <f aca="false">J71*$B$71+K72</f>
        <v>66934.6260506686</v>
      </c>
      <c r="L71" s="133" t="n">
        <f aca="false">K71*$B$71+L72</f>
        <v>67603.9723111753</v>
      </c>
      <c r="M71" s="133" t="n">
        <f aca="false">L71*$B$71+M72</f>
        <v>68280.0120342871</v>
      </c>
      <c r="N71" s="133" t="n">
        <f aca="false">M71*$B$71+N72</f>
        <v>68962.8121546299</v>
      </c>
      <c r="O71" s="133" t="n">
        <f aca="false">N71*$B$71+O72</f>
        <v>69652.4402761762</v>
      </c>
      <c r="P71" s="133" t="n">
        <f aca="false">O71*$B$71+P72</f>
        <v>70348.964678938</v>
      </c>
      <c r="Q71" s="133" t="n">
        <f aca="false">P71*$B$71+Q72</f>
        <v>71052.4543257274</v>
      </c>
    </row>
    <row r="72" customFormat="false" ht="13.5" hidden="false" customHeight="false" outlineLevel="0" collapsed="false">
      <c r="C72" s="330"/>
      <c r="F72" s="284" t="s">
        <v>184</v>
      </c>
      <c r="G72" s="32" t="n">
        <v>0</v>
      </c>
      <c r="H72" s="32" t="n">
        <v>0</v>
      </c>
      <c r="I72" s="32" t="n">
        <f aca="false">H72</f>
        <v>0</v>
      </c>
      <c r="J72" s="32" t="n">
        <f aca="false">I72</f>
        <v>0</v>
      </c>
      <c r="K72" s="32" t="n">
        <f aca="false">J72</f>
        <v>0</v>
      </c>
      <c r="L72" s="32" t="n">
        <f aca="false">K72</f>
        <v>0</v>
      </c>
      <c r="M72" s="32" t="n">
        <f aca="false">L72</f>
        <v>0</v>
      </c>
      <c r="N72" s="32" t="n">
        <f aca="false">M72</f>
        <v>0</v>
      </c>
      <c r="O72" s="32" t="n">
        <f aca="false">N72</f>
        <v>0</v>
      </c>
      <c r="P72" s="32" t="n">
        <f aca="false">O72</f>
        <v>0</v>
      </c>
      <c r="Q72" s="32" t="n">
        <f aca="false">P72</f>
        <v>0</v>
      </c>
    </row>
    <row r="74" customFormat="false" ht="12.75" hidden="false" customHeight="false" outlineLevel="0" collapsed="false">
      <c r="A74" s="13" t="s">
        <v>132</v>
      </c>
    </row>
    <row r="75" customFormat="false" ht="12.75" hidden="false" customHeight="false" outlineLevel="0" collapsed="false">
      <c r="A75" s="0" t="s">
        <v>187</v>
      </c>
    </row>
    <row r="76" customFormat="false" ht="12.75" hidden="false" customHeight="false" outlineLevel="0" collapsed="false">
      <c r="A76" s="0" t="s">
        <v>193</v>
      </c>
    </row>
    <row r="77" customFormat="false" ht="12.75" hidden="false" customHeight="false" outlineLevel="0" collapsed="false">
      <c r="A77" s="52" t="s">
        <v>154</v>
      </c>
      <c r="F77" s="32" t="n">
        <v>8557</v>
      </c>
      <c r="G77" s="131" t="n">
        <f aca="false">F77</f>
        <v>8557</v>
      </c>
      <c r="H77" s="131" t="n">
        <f aca="false">G77</f>
        <v>8557</v>
      </c>
      <c r="I77" s="131" t="n">
        <f aca="false">H77</f>
        <v>8557</v>
      </c>
      <c r="J77" s="131" t="n">
        <f aca="false">I77</f>
        <v>8557</v>
      </c>
      <c r="K77" s="131" t="n">
        <f aca="false">J77</f>
        <v>8557</v>
      </c>
      <c r="L77" s="131" t="n">
        <f aca="false">K77</f>
        <v>8557</v>
      </c>
      <c r="M77" s="131" t="n">
        <f aca="false">L77</f>
        <v>8557</v>
      </c>
      <c r="N77" s="131" t="n">
        <f aca="false">M77</f>
        <v>8557</v>
      </c>
      <c r="O77" s="131" t="n">
        <f aca="false">N77</f>
        <v>8557</v>
      </c>
      <c r="P77" s="131" t="n">
        <f aca="false">O77</f>
        <v>8557</v>
      </c>
      <c r="Q77" s="131" t="n">
        <f aca="false">P77</f>
        <v>8557</v>
      </c>
    </row>
    <row r="78" customFormat="false" ht="12.75" hidden="false" customHeight="false" outlineLevel="0" collapsed="false">
      <c r="A78" s="52"/>
    </row>
    <row r="79" customFormat="false" ht="12.75" hidden="false" customHeight="false" outlineLevel="0" collapsed="false">
      <c r="A79" s="13" t="s">
        <v>189</v>
      </c>
    </row>
    <row r="80" customFormat="false" ht="12.75" hidden="false" customHeight="false" outlineLevel="0" collapsed="false">
      <c r="A80" s="225" t="s">
        <v>165</v>
      </c>
      <c r="B80" s="54" t="n">
        <f aca="false">Assumptions!D20</f>
        <v>20</v>
      </c>
      <c r="C80" s="227" t="n">
        <f aca="false">Asset3PurPrice</f>
        <v>62844.5504694799</v>
      </c>
      <c r="D80" s="32"/>
      <c r="E80" s="36"/>
      <c r="F80" s="278"/>
      <c r="G80" s="339" t="n">
        <f aca="false">1/B80</f>
        <v>0.05</v>
      </c>
      <c r="H80" s="228" t="n">
        <f aca="false">G80</f>
        <v>0.05</v>
      </c>
      <c r="I80" s="228" t="n">
        <f aca="false">H80</f>
        <v>0.05</v>
      </c>
      <c r="J80" s="228" t="n">
        <f aca="false">I80</f>
        <v>0.05</v>
      </c>
      <c r="K80" s="228" t="n">
        <f aca="false">J80</f>
        <v>0.05</v>
      </c>
      <c r="L80" s="228" t="n">
        <f aca="false">K80</f>
        <v>0.05</v>
      </c>
      <c r="M80" s="228" t="n">
        <f aca="false">L80</f>
        <v>0.05</v>
      </c>
      <c r="N80" s="228" t="n">
        <f aca="false">M80</f>
        <v>0.05</v>
      </c>
      <c r="O80" s="228" t="n">
        <f aca="false">N80</f>
        <v>0.05</v>
      </c>
      <c r="P80" s="228" t="n">
        <f aca="false">O80</f>
        <v>0.05</v>
      </c>
      <c r="Q80" s="229" t="n">
        <f aca="false">P80</f>
        <v>0.05</v>
      </c>
    </row>
    <row r="81" customFormat="false" ht="12.75" hidden="false" customHeight="false" outlineLevel="0" collapsed="false">
      <c r="A81" s="32" t="s">
        <v>166</v>
      </c>
      <c r="C81" s="26"/>
      <c r="D81" s="26"/>
      <c r="E81" s="36"/>
      <c r="F81" s="278"/>
      <c r="G81" s="120" t="n">
        <f aca="false">C80/B80</f>
        <v>3142.22752347399</v>
      </c>
      <c r="H81" s="120" t="n">
        <f aca="false">+G81</f>
        <v>3142.22752347399</v>
      </c>
      <c r="I81" s="120" t="n">
        <f aca="false">+H81</f>
        <v>3142.22752347399</v>
      </c>
      <c r="J81" s="120" t="n">
        <f aca="false">+I81</f>
        <v>3142.22752347399</v>
      </c>
      <c r="K81" s="120" t="n">
        <f aca="false">+J81</f>
        <v>3142.22752347399</v>
      </c>
      <c r="L81" s="120" t="n">
        <f aca="false">+K81</f>
        <v>3142.22752347399</v>
      </c>
      <c r="M81" s="120" t="n">
        <f aca="false">+L81</f>
        <v>3142.22752347399</v>
      </c>
      <c r="N81" s="120" t="n">
        <f aca="false">+M81</f>
        <v>3142.22752347399</v>
      </c>
      <c r="O81" s="120" t="n">
        <f aca="false">+N81</f>
        <v>3142.22752347399</v>
      </c>
      <c r="P81" s="120" t="n">
        <f aca="false">+O81</f>
        <v>3142.22752347399</v>
      </c>
      <c r="Q81" s="120" t="n">
        <f aca="false">+P81</f>
        <v>3142.22752347399</v>
      </c>
    </row>
    <row r="82" customFormat="false" ht="15" hidden="false" customHeight="false" outlineLevel="0" collapsed="false">
      <c r="A82" s="32" t="s">
        <v>167</v>
      </c>
      <c r="E82" s="36"/>
      <c r="F82" s="278"/>
      <c r="G82" s="116" t="n">
        <f aca="false">($G$29*G80)</f>
        <v>427.85</v>
      </c>
      <c r="H82" s="116" t="n">
        <f aca="false">($G$29*H80)+($H$29*G80)</f>
        <v>855.7</v>
      </c>
      <c r="I82" s="116" t="n">
        <f aca="false">($G$29*I80)+($H$29*H80)+($I$29*G80)</f>
        <v>1283.55</v>
      </c>
      <c r="J82" s="116" t="n">
        <f aca="false">($G$29*J80)+($H$29*I80)+($I$29*H80)+($J$29*G80)</f>
        <v>1711.4</v>
      </c>
      <c r="K82" s="116" t="n">
        <f aca="false">($G$29*K80)+($H$29*J80)+($I$29*I80)+($J$29*H80)+($K$29*G80)</f>
        <v>2139.25</v>
      </c>
      <c r="L82" s="116" t="n">
        <f aca="false">($G$29*L80)+($H$29*K80)+($I$29*J80)+($J$29*I80)+($K$29*H80)+($L$29*G80)</f>
        <v>2567.1</v>
      </c>
      <c r="M82" s="116" t="n">
        <f aca="false">($G$29*M80)+($H$29*L80)+($I$29*K80)+($J$29*J80)+($K$29*I80)+($L$29*H80)+($M$29*G80)</f>
        <v>2994.95</v>
      </c>
      <c r="N82" s="116" t="n">
        <f aca="false">($G$29*N80)+($H$29*M80)+($I$29*L80)+($J$29*K80)+($K$29*J80)+($L$29*I80)+($M$29*H80)+($N$29*G80)</f>
        <v>3422.8</v>
      </c>
      <c r="O82" s="116" t="n">
        <f aca="false">($G$29*O80)+($H$29*N80)+($I$29*M80)+($J$29*L80)+($K$29*K80)+($L$29*J80)+($M$29*I80)+($N$29*H80)+($O$29*G80)</f>
        <v>3850.65</v>
      </c>
      <c r="P82" s="116" t="n">
        <f aca="false">($G$29*P80)+($H$29*O80)+($I$29*N80)+($J$29*M80)+($K$29*L80)+($L$29*K80)+($M$29*J80)+($N$29*I80)+($O$29*H80)+($P$29*G80)</f>
        <v>4278.5</v>
      </c>
      <c r="Q82" s="116" t="n">
        <f aca="false">($G$29*Q80)+($H$29*P80)+($I$29*O80)+($J$29*N80)+($K$29*M80)+($L$29*L80)+($M$29*K80)+($N$29*J80)+($O$29*I80)+($P$29*H80)+($Q$29*G80)</f>
        <v>4706.35</v>
      </c>
    </row>
    <row r="83" customFormat="false" ht="12.75" hidden="false" customHeight="false" outlineLevel="0" collapsed="false">
      <c r="A83" s="52" t="s">
        <v>154</v>
      </c>
      <c r="E83" s="36"/>
      <c r="F83" s="278"/>
      <c r="G83" s="32" t="n">
        <f aca="false">SUM(G81:G82)</f>
        <v>3570.07752347399</v>
      </c>
      <c r="H83" s="32" t="n">
        <f aca="false">SUM(H81:H82)</f>
        <v>3997.92752347399</v>
      </c>
      <c r="I83" s="32" t="n">
        <f aca="false">SUM(I81:I82)</f>
        <v>4425.777523474</v>
      </c>
      <c r="J83" s="32" t="n">
        <f aca="false">SUM(J81:J82)</f>
        <v>4853.627523474</v>
      </c>
      <c r="K83" s="32" t="n">
        <f aca="false">SUM(K81:K82)</f>
        <v>5281.477523474</v>
      </c>
      <c r="L83" s="32" t="n">
        <f aca="false">SUM(L81:L82)</f>
        <v>5709.32752347399</v>
      </c>
      <c r="M83" s="32" t="n">
        <f aca="false">SUM(M81:M82)</f>
        <v>6137.17752347399</v>
      </c>
      <c r="N83" s="32" t="n">
        <f aca="false">SUM(N81:N82)</f>
        <v>6565.027523474</v>
      </c>
      <c r="O83" s="32" t="n">
        <f aca="false">SUM(O81:O82)</f>
        <v>6992.87752347399</v>
      </c>
      <c r="P83" s="32" t="n">
        <f aca="false">SUM(P81:P82)</f>
        <v>7420.727523474</v>
      </c>
      <c r="Q83" s="32" t="n">
        <f aca="false">SUM(Q81:Q82)</f>
        <v>7848.577523474</v>
      </c>
    </row>
    <row r="84" customFormat="false" ht="12.75" hidden="false" customHeight="false" outlineLevel="0" collapsed="false">
      <c r="A84" s="32"/>
      <c r="E84" s="36"/>
      <c r="F84" s="278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</row>
    <row r="85" customFormat="false" ht="12.75" hidden="false" customHeight="false" outlineLevel="0" collapsed="false">
      <c r="A85" s="96" t="s">
        <v>168</v>
      </c>
      <c r="E85" s="36"/>
      <c r="F85" s="278"/>
      <c r="G85" s="233" t="n">
        <v>0.05</v>
      </c>
      <c r="H85" s="234" t="n">
        <v>0.095</v>
      </c>
      <c r="I85" s="234" t="n">
        <v>0.0855</v>
      </c>
      <c r="J85" s="234" t="n">
        <v>0.077</v>
      </c>
      <c r="K85" s="234" t="n">
        <v>0.0693</v>
      </c>
      <c r="L85" s="234" t="n">
        <v>0.0623</v>
      </c>
      <c r="M85" s="234" t="n">
        <v>0.059</v>
      </c>
      <c r="N85" s="234" t="n">
        <v>0.059</v>
      </c>
      <c r="O85" s="234" t="n">
        <v>0.0591</v>
      </c>
      <c r="P85" s="234" t="n">
        <v>0.059</v>
      </c>
      <c r="Q85" s="235" t="n">
        <v>0.0591</v>
      </c>
    </row>
    <row r="86" customFormat="false" ht="12.75" hidden="false" customHeight="false" outlineLevel="0" collapsed="false">
      <c r="A86" s="32" t="s">
        <v>166</v>
      </c>
      <c r="B86" s="236"/>
      <c r="E86" s="36"/>
      <c r="F86" s="278"/>
      <c r="G86" s="32" t="n">
        <f aca="false">G85*$C$80</f>
        <v>3142.22752347399</v>
      </c>
      <c r="H86" s="32" t="n">
        <f aca="false">H85*$C$80</f>
        <v>5970.23229460059</v>
      </c>
      <c r="I86" s="32" t="n">
        <f aca="false">I85*$C$80</f>
        <v>5373.20906514053</v>
      </c>
      <c r="J86" s="32" t="n">
        <f aca="false">J85*$C$80</f>
        <v>4839.03038614995</v>
      </c>
      <c r="K86" s="32" t="n">
        <f aca="false">K85*$C$80</f>
        <v>4355.12734753496</v>
      </c>
      <c r="L86" s="32" t="n">
        <f aca="false">L85*$C$80</f>
        <v>3915.2154942486</v>
      </c>
      <c r="M86" s="32" t="n">
        <f aca="false">M85*$C$80</f>
        <v>3707.82847769931</v>
      </c>
      <c r="N86" s="32" t="n">
        <f aca="false">N85*$C$80</f>
        <v>3707.82847769931</v>
      </c>
      <c r="O86" s="32" t="n">
        <f aca="false">O85*$C$80</f>
        <v>3714.11293274626</v>
      </c>
      <c r="P86" s="32" t="n">
        <f aca="false">P85*$C$80</f>
        <v>3707.82847769931</v>
      </c>
      <c r="Q86" s="32" t="n">
        <f aca="false">Q85*$C$80</f>
        <v>3714.11293274626</v>
      </c>
    </row>
    <row r="87" customFormat="false" ht="15" hidden="false" customHeight="false" outlineLevel="0" collapsed="false">
      <c r="A87" s="32" t="s">
        <v>167</v>
      </c>
      <c r="B87" s="201"/>
      <c r="E87" s="216"/>
      <c r="F87" s="278"/>
      <c r="G87" s="116" t="n">
        <f aca="false">($G$29*G$85)</f>
        <v>427.85</v>
      </c>
      <c r="H87" s="116" t="n">
        <f aca="false">($G$29*H85)+($H$29*G85)</f>
        <v>1240.765</v>
      </c>
      <c r="I87" s="116" t="n">
        <f aca="false">($G$29*I85)+($H$29*H85)+($I$29*G85)</f>
        <v>1972.3885</v>
      </c>
      <c r="J87" s="116" t="n">
        <f aca="false">($G$29*J85)+($H$29*I85)+($I$29*H85)+($J$29*G85)</f>
        <v>2631.2775</v>
      </c>
      <c r="K87" s="116" t="n">
        <f aca="false">($G$29*K85)+($H$29*J85)+($I$29*I85)+($J$29*H85)+($K$29*G85)</f>
        <v>3224.2776</v>
      </c>
      <c r="L87" s="116" t="n">
        <f aca="false">($G$29*L85)+($H$29*K85)+($I$29*J85)+($J$29*I85)+($K$29*H85)+($L$29*G85)</f>
        <v>3757.3787</v>
      </c>
      <c r="M87" s="116" t="n">
        <f aca="false">($G$29*M85)+($H$29*L85)+($I$29*K85)+($J$29*J85)+($K$29*I85)+($L$29*H85)+($M$29*G85)</f>
        <v>4262.2417</v>
      </c>
      <c r="N87" s="116" t="n">
        <f aca="false">($G$29*N85)+($H$29*M85)+($I$29*L85)+($J$29*K85)+($K$29*J85)+($L$29*I85)+($M$29*H85)+($N$29*G85)</f>
        <v>4767.1047</v>
      </c>
      <c r="O87" s="116" t="n">
        <f aca="false">($G$29*O85)+($H$29*N85)+($I$29*M85)+($J$29*L85)+($K$29*K85)+($L$29*J85)+($M$29*I85)+($N$29*H85)+($O$29*G85)</f>
        <v>5272.8234</v>
      </c>
      <c r="P87" s="116" t="n">
        <f aca="false">($G$29*P85)+($H$29*O85)+($I$29*N85)+($J$29*M85)+($K$29*L85)+($L$29*K85)+($M$29*J85)+($N$29*I85)+($O$29*H85)+($P$29*G85)</f>
        <v>5777.6864</v>
      </c>
      <c r="Q87" s="116" t="n">
        <f aca="false">($G$29*Q85)+($H$29*P85)+($I$29*O85)+($J$29*N85)+($K$29*M85)+($L$29*L85)+($M$29*K85)+($N$29*J85)+($O$29*I85)+($P$29*H85)+($Q$29*G85)</f>
        <v>6283.4051</v>
      </c>
    </row>
    <row r="88" customFormat="false" ht="12.75" hidden="false" customHeight="false" outlineLevel="0" collapsed="false">
      <c r="A88" s="52" t="s">
        <v>154</v>
      </c>
      <c r="E88" s="36"/>
      <c r="F88" s="278"/>
      <c r="G88" s="32" t="n">
        <f aca="false">SUM(G86:G87)</f>
        <v>3570.07752347399</v>
      </c>
      <c r="H88" s="32" t="n">
        <f aca="false">SUM(H86:H87)</f>
        <v>7210.99729460059</v>
      </c>
      <c r="I88" s="32" t="n">
        <f aca="false">SUM(I86:I87)</f>
        <v>7345.59756514053</v>
      </c>
      <c r="J88" s="32" t="n">
        <f aca="false">SUM(J86:J87)</f>
        <v>7470.30788614995</v>
      </c>
      <c r="K88" s="32" t="n">
        <f aca="false">SUM(K86:K87)</f>
        <v>7579.40494753496</v>
      </c>
      <c r="L88" s="32" t="n">
        <f aca="false">SUM(L86:L87)</f>
        <v>7672.5941942486</v>
      </c>
      <c r="M88" s="32" t="n">
        <f aca="false">SUM(M86:M87)</f>
        <v>7970.07017769931</v>
      </c>
      <c r="N88" s="32" t="n">
        <f aca="false">SUM(N86:N87)</f>
        <v>8474.93317769931</v>
      </c>
      <c r="O88" s="32" t="n">
        <f aca="false">SUM(O86:O87)</f>
        <v>8986.93633274626</v>
      </c>
      <c r="P88" s="32" t="n">
        <f aca="false">SUM(P86:P87)</f>
        <v>9485.51487769931</v>
      </c>
      <c r="Q88" s="32" t="n">
        <f aca="false">SUM(Q86:Q87)</f>
        <v>9997.51803274626</v>
      </c>
    </row>
  </sheetData>
  <mergeCells count="1">
    <mergeCell ref="K33:M33"/>
  </mergeCells>
  <conditionalFormatting sqref="D68 D71 D54 D51 C11:D11 D14:D15 D47:D48 D64:D65">
    <cfRule type="cellIs" priority="2" operator="notBetween" aboveAverage="0" equalAverage="0" bottom="0" percent="0" rank="0" text="" dxfId="4">
      <formula>0.25</formula>
      <formula>-0.25</formula>
    </cfRule>
  </conditionalFormatting>
  <printOptions headings="false" gridLines="false" gridLinesSet="true" horizontalCentered="false" verticalCentered="false"/>
  <pageMargins left="0.5" right="0.5" top="0.75" bottom="0.75" header="0.511811023622047" footer="0.5"/>
  <pageSetup paperSize="1" scale="4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rowBreaks count="1" manualBreakCount="1">
    <brk id="39" man="true" max="16383" min="0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"/>
  <sheetViews>
    <sheetView showFormulas="false" showGridLines="true" showRowColHeaders="true" showZeros="true" rightToLeft="false" tabSelected="false" showOutlineSymbols="true" defaultGridColor="true" view="normal" topLeftCell="A38" colorId="64" zoomScale="75" zoomScaleNormal="75" zoomScalePageLayoutView="100" workbookViewId="0">
      <selection pane="topLeft" activeCell="G74" activeCellId="0" sqref="G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14"/>
    <col collapsed="false" customWidth="true" hidden="false" outlineLevel="0" max="2" min="2" style="0" width="13.99"/>
    <col collapsed="false" customWidth="true" hidden="false" outlineLevel="0" max="3" min="3" style="0" width="12.85"/>
    <col collapsed="false" customWidth="true" hidden="false" outlineLevel="0" max="4" min="4" style="0" width="11.85"/>
    <col collapsed="false" customWidth="true" hidden="false" outlineLevel="0" max="5" min="5" style="27" width="9.14"/>
    <col collapsed="false" customWidth="true" hidden="false" outlineLevel="0" max="6" min="6" style="27" width="12.99"/>
    <col collapsed="false" customWidth="true" hidden="false" outlineLevel="0" max="7" min="7" style="0" width="12.28"/>
    <col collapsed="false" customWidth="true" hidden="false" outlineLevel="0" max="9" min="8" style="0" width="14.14"/>
    <col collapsed="false" customWidth="true" hidden="false" outlineLevel="0" max="11" min="10" style="0" width="12.28"/>
    <col collapsed="false" customWidth="true" hidden="false" outlineLevel="0" max="12" min="12" style="0" width="13.99"/>
    <col collapsed="false" customWidth="true" hidden="false" outlineLevel="0" max="14" min="13" style="0" width="13.41"/>
    <col collapsed="false" customWidth="true" hidden="false" outlineLevel="0" max="17" min="15" style="0" width="12.28"/>
    <col collapsed="false" customWidth="true" hidden="false" outlineLevel="0" max="18" min="18" style="0" width="13.41"/>
  </cols>
  <sheetData>
    <row r="1" customFormat="false" ht="18.75" hidden="false" customHeight="false" outlineLevel="0" collapsed="false">
      <c r="A1" s="155" t="str">
        <f aca="false">Assumptions!D5</f>
        <v>Oneok</v>
      </c>
      <c r="B1" s="21"/>
      <c r="E1" s="264"/>
    </row>
    <row r="2" customFormat="false" ht="15.75" hidden="false" customHeight="false" outlineLevel="0" collapsed="false">
      <c r="A2" s="265" t="s">
        <v>194</v>
      </c>
      <c r="B2" s="266"/>
      <c r="E2" s="36"/>
      <c r="F2" s="267" t="s">
        <v>45</v>
      </c>
      <c r="G2" s="268"/>
      <c r="H2" s="269"/>
      <c r="I2" s="190"/>
      <c r="R2" s="27"/>
    </row>
    <row r="3" customFormat="false" ht="12.75" hidden="false" customHeight="false" outlineLevel="0" collapsed="false">
      <c r="A3" s="270"/>
      <c r="B3" s="266"/>
      <c r="E3" s="36"/>
      <c r="F3" s="271" t="str">
        <f aca="false">IF(Asset4Loop&lt;&gt;0,"Run Macro","")</f>
        <v/>
      </c>
      <c r="G3" s="190"/>
      <c r="H3" s="272"/>
      <c r="I3" s="190"/>
      <c r="R3" s="27"/>
    </row>
    <row r="4" customFormat="false" ht="13.5" hidden="false" customHeight="false" outlineLevel="0" collapsed="false">
      <c r="A4" s="270"/>
      <c r="B4" s="266"/>
      <c r="E4" s="36"/>
      <c r="F4" s="273"/>
      <c r="G4" s="274"/>
      <c r="H4" s="275"/>
      <c r="I4" s="190"/>
      <c r="R4" s="27"/>
    </row>
    <row r="5" customFormat="false" ht="12.75" hidden="false" customHeight="false" outlineLevel="0" collapsed="false">
      <c r="A5" s="270"/>
      <c r="B5" s="266"/>
      <c r="E5" s="36"/>
      <c r="F5" s="344"/>
      <c r="G5" s="190"/>
      <c r="H5" s="190"/>
      <c r="I5" s="190"/>
      <c r="R5" s="27"/>
    </row>
    <row r="6" customFormat="false" ht="12.75" hidden="false" customHeight="false" outlineLevel="0" collapsed="false">
      <c r="A6" s="270"/>
      <c r="B6" s="266"/>
      <c r="E6" s="36"/>
      <c r="G6" s="190"/>
      <c r="H6" s="190"/>
      <c r="I6" s="190"/>
      <c r="R6" s="27"/>
    </row>
    <row r="7" customFormat="false" ht="12.75" hidden="false" customHeight="false" outlineLevel="0" collapsed="false">
      <c r="E7" s="276"/>
      <c r="F7" s="277" t="n">
        <f aca="false">G7-1</f>
        <v>1999</v>
      </c>
      <c r="G7" s="109" t="n">
        <f aca="false">Assumptions!$D$12</f>
        <v>2000</v>
      </c>
      <c r="H7" s="109" t="n">
        <f aca="false">G7+1</f>
        <v>2001</v>
      </c>
      <c r="I7" s="109" t="n">
        <f aca="false">H7+1</f>
        <v>2002</v>
      </c>
      <c r="J7" s="109" t="n">
        <f aca="false">I7+1</f>
        <v>2003</v>
      </c>
      <c r="K7" s="109" t="n">
        <f aca="false">J7+1</f>
        <v>2004</v>
      </c>
      <c r="L7" s="109" t="n">
        <f aca="false">K7+1</f>
        <v>2005</v>
      </c>
      <c r="M7" s="109" t="n">
        <f aca="false">L7+1</f>
        <v>2006</v>
      </c>
      <c r="N7" s="109" t="n">
        <f aca="false">M7+1</f>
        <v>2007</v>
      </c>
      <c r="O7" s="109" t="n">
        <f aca="false">N7+1</f>
        <v>2008</v>
      </c>
      <c r="P7" s="109" t="n">
        <f aca="false">O7+1</f>
        <v>2009</v>
      </c>
      <c r="Q7" s="109" t="n">
        <f aca="false">P7+1</f>
        <v>2010</v>
      </c>
      <c r="R7" s="27"/>
    </row>
    <row r="8" customFormat="false" ht="12.75" hidden="false" customHeight="false" outlineLevel="0" collapsed="false">
      <c r="A8" s="45" t="s">
        <v>151</v>
      </c>
      <c r="E8" s="36"/>
      <c r="F8" s="278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27"/>
    </row>
    <row r="9" customFormat="false" ht="12.75" hidden="false" customHeight="false" outlineLevel="0" collapsed="false">
      <c r="E9" s="36"/>
      <c r="F9" s="278"/>
      <c r="H9" s="32"/>
      <c r="I9" s="32"/>
      <c r="J9" s="32"/>
      <c r="K9" s="32"/>
      <c r="L9" s="32"/>
      <c r="M9" s="32"/>
      <c r="N9" s="32"/>
      <c r="O9" s="32"/>
      <c r="P9" s="32"/>
      <c r="Q9" s="32"/>
      <c r="R9" s="27"/>
    </row>
    <row r="10" customFormat="false" ht="12.75" hidden="false" customHeight="false" outlineLevel="0" collapsed="false">
      <c r="D10" s="279"/>
      <c r="E10" s="36"/>
      <c r="F10" s="278"/>
      <c r="G10" s="232" t="str">
        <f aca="false">IF(C43=1,A46,IF(C43=2,A51,A54))</f>
        <v>1. Base Case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27"/>
    </row>
    <row r="11" customFormat="false" ht="12.75" hidden="false" customHeight="false" outlineLevel="0" collapsed="false">
      <c r="A11" s="280" t="s">
        <v>177</v>
      </c>
      <c r="B11" s="281"/>
      <c r="C11" s="282"/>
      <c r="D11" s="282"/>
      <c r="E11" s="283"/>
      <c r="F11" s="278" t="n">
        <f aca="false">F43</f>
        <v>69254</v>
      </c>
      <c r="G11" s="32" t="n">
        <f aca="false">G43</f>
        <v>69254</v>
      </c>
      <c r="H11" s="32" t="n">
        <f aca="false">H43</f>
        <v>69254</v>
      </c>
      <c r="I11" s="32" t="n">
        <f aca="false">I43</f>
        <v>69254</v>
      </c>
      <c r="J11" s="32" t="n">
        <f aca="false">J43</f>
        <v>69254</v>
      </c>
      <c r="K11" s="32" t="n">
        <f aca="false">K43</f>
        <v>69254</v>
      </c>
      <c r="L11" s="32" t="n">
        <f aca="false">L43</f>
        <v>69254</v>
      </c>
      <c r="M11" s="32" t="n">
        <f aca="false">M43</f>
        <v>69254</v>
      </c>
      <c r="N11" s="32" t="n">
        <f aca="false">N43</f>
        <v>69254</v>
      </c>
      <c r="O11" s="32" t="n">
        <f aca="false">O43</f>
        <v>69254</v>
      </c>
      <c r="P11" s="32" t="n">
        <f aca="false">P43</f>
        <v>69254</v>
      </c>
      <c r="Q11" s="32" t="n">
        <f aca="false">Q43</f>
        <v>69254</v>
      </c>
      <c r="R11" s="27"/>
    </row>
    <row r="12" customFormat="false" ht="12.75" hidden="false" customHeight="false" outlineLevel="0" collapsed="false">
      <c r="E12" s="36"/>
      <c r="F12" s="284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27"/>
    </row>
    <row r="13" customFormat="false" ht="12.75" hidden="false" customHeight="false" outlineLevel="0" collapsed="false">
      <c r="D13" s="279"/>
      <c r="E13" s="285"/>
      <c r="F13" s="278"/>
      <c r="G13" s="232" t="str">
        <f aca="false">IF(C60=1,A63,IF(C60=2,A68,A71))</f>
        <v>1. Base Case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27"/>
    </row>
    <row r="14" customFormat="false" ht="12.75" hidden="false" customHeight="false" outlineLevel="0" collapsed="false">
      <c r="A14" s="21" t="s">
        <v>178</v>
      </c>
      <c r="B14" s="286"/>
      <c r="C14" s="21"/>
      <c r="D14" s="282"/>
      <c r="E14" s="287"/>
      <c r="F14" s="278" t="n">
        <f aca="false">F60</f>
        <v>19128</v>
      </c>
      <c r="G14" s="32" t="n">
        <f aca="false">G60</f>
        <v>19128</v>
      </c>
      <c r="H14" s="32" t="n">
        <f aca="false">H60</f>
        <v>19128</v>
      </c>
      <c r="I14" s="32" t="n">
        <f aca="false">I60</f>
        <v>19128</v>
      </c>
      <c r="J14" s="32" t="n">
        <f aca="false">J60</f>
        <v>19128</v>
      </c>
      <c r="K14" s="32" t="n">
        <f aca="false">K60</f>
        <v>19128</v>
      </c>
      <c r="L14" s="32" t="n">
        <f aca="false">L60</f>
        <v>19128</v>
      </c>
      <c r="M14" s="32" t="n">
        <f aca="false">M60</f>
        <v>19128</v>
      </c>
      <c r="N14" s="32" t="n">
        <f aca="false">N60</f>
        <v>19128</v>
      </c>
      <c r="O14" s="32" t="n">
        <f aca="false">O60</f>
        <v>19128</v>
      </c>
      <c r="P14" s="32" t="n">
        <f aca="false">P60</f>
        <v>19128</v>
      </c>
      <c r="Q14" s="32" t="n">
        <f aca="false">Q60</f>
        <v>19128</v>
      </c>
      <c r="R14" s="27"/>
    </row>
    <row r="15" customFormat="false" ht="12.75" hidden="false" customHeight="false" outlineLevel="0" collapsed="false">
      <c r="A15" s="12" t="s">
        <v>156</v>
      </c>
      <c r="B15" s="12"/>
      <c r="C15" s="12"/>
      <c r="D15" s="192"/>
      <c r="E15" s="288"/>
      <c r="F15" s="289" t="n">
        <f aca="false">F11/F14</f>
        <v>3.62055625261397</v>
      </c>
      <c r="G15" s="195" t="n">
        <f aca="false">G11/G14</f>
        <v>3.62055625261397</v>
      </c>
      <c r="H15" s="195" t="n">
        <f aca="false">H11/H14</f>
        <v>3.62055625261397</v>
      </c>
      <c r="I15" s="195" t="n">
        <f aca="false">I11/I14</f>
        <v>3.62055625261397</v>
      </c>
      <c r="J15" s="195" t="n">
        <f aca="false">J11/J14</f>
        <v>3.62055625261397</v>
      </c>
      <c r="K15" s="195" t="n">
        <f aca="false">K11/K14</f>
        <v>3.62055625261397</v>
      </c>
      <c r="L15" s="195" t="n">
        <f aca="false">L11/L14</f>
        <v>3.62055625261397</v>
      </c>
      <c r="M15" s="195" t="n">
        <f aca="false">M11/M14</f>
        <v>3.62055625261397</v>
      </c>
      <c r="N15" s="195" t="n">
        <f aca="false">N11/N14</f>
        <v>3.62055625261397</v>
      </c>
      <c r="O15" s="195" t="n">
        <f aca="false">O11/O14</f>
        <v>3.62055625261397</v>
      </c>
      <c r="P15" s="195" t="n">
        <f aca="false">P11/P14</f>
        <v>3.62055625261397</v>
      </c>
      <c r="Q15" s="195" t="n">
        <f aca="false">Q11/Q14</f>
        <v>3.62055625261397</v>
      </c>
      <c r="R15" s="27"/>
    </row>
    <row r="16" customFormat="false" ht="12.75" hidden="false" customHeight="false" outlineLevel="0" collapsed="false">
      <c r="A16" s="113" t="s">
        <v>119</v>
      </c>
      <c r="B16" s="114"/>
      <c r="C16" s="114"/>
      <c r="D16" s="114"/>
      <c r="E16" s="290"/>
      <c r="F16" s="291" t="n">
        <f aca="false">(F11-F14)</f>
        <v>50126</v>
      </c>
      <c r="G16" s="115" t="n">
        <f aca="false">(G11-G14)</f>
        <v>50126</v>
      </c>
      <c r="H16" s="115" t="n">
        <f aca="false">(H11-H14)</f>
        <v>50126</v>
      </c>
      <c r="I16" s="115" t="n">
        <f aca="false">(I11-I14)</f>
        <v>50126</v>
      </c>
      <c r="J16" s="115" t="n">
        <f aca="false">(J11-J14)</f>
        <v>50126</v>
      </c>
      <c r="K16" s="115" t="n">
        <f aca="false">(K11-K14)</f>
        <v>50126</v>
      </c>
      <c r="L16" s="115" t="n">
        <f aca="false">(L11-L14)</f>
        <v>50126</v>
      </c>
      <c r="M16" s="115" t="n">
        <f aca="false">(M11-M14)</f>
        <v>50126</v>
      </c>
      <c r="N16" s="115" t="n">
        <f aca="false">(N11-N14)</f>
        <v>50126</v>
      </c>
      <c r="O16" s="115" t="n">
        <f aca="false">(O11-O14)</f>
        <v>50126</v>
      </c>
      <c r="P16" s="115" t="n">
        <f aca="false">(P11-P14)</f>
        <v>50126</v>
      </c>
      <c r="Q16" s="117" t="n">
        <f aca="false">(Q11-Q14)</f>
        <v>50126</v>
      </c>
      <c r="R16" s="27"/>
    </row>
    <row r="17" customFormat="false" ht="12.75" hidden="false" customHeight="false" outlineLevel="0" collapsed="false">
      <c r="E17" s="36"/>
      <c r="F17" s="278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27"/>
    </row>
    <row r="18" customFormat="false" ht="12.75" hidden="false" customHeight="false" outlineLevel="0" collapsed="false">
      <c r="A18" s="0" t="s">
        <v>157</v>
      </c>
      <c r="B18" s="201"/>
      <c r="E18" s="36"/>
      <c r="F18" s="278" t="n">
        <v>0</v>
      </c>
      <c r="G18" s="120" t="n">
        <f aca="false">G83</f>
        <v>-9476.46740695512</v>
      </c>
      <c r="H18" s="120" t="n">
        <f aca="false">H83</f>
        <v>-4704.91740695512</v>
      </c>
      <c r="I18" s="120" t="n">
        <f aca="false">I83</f>
        <v>66.6325930448784</v>
      </c>
      <c r="J18" s="120" t="n">
        <f aca="false">J83</f>
        <v>4838.18259304488</v>
      </c>
      <c r="K18" s="120" t="n">
        <f aca="false">K83</f>
        <v>9609.73259304488</v>
      </c>
      <c r="L18" s="120" t="n">
        <f aca="false">L83</f>
        <v>14381.2825930449</v>
      </c>
      <c r="M18" s="120" t="n">
        <f aca="false">M83</f>
        <v>19152.8325930449</v>
      </c>
      <c r="N18" s="120" t="n">
        <f aca="false">N83</f>
        <v>23924.3825930449</v>
      </c>
      <c r="O18" s="120" t="n">
        <f aca="false">O83</f>
        <v>28695.9325930449</v>
      </c>
      <c r="P18" s="120" t="n">
        <f aca="false">P83</f>
        <v>33467.4825930449</v>
      </c>
      <c r="Q18" s="120" t="n">
        <f aca="false">Q83</f>
        <v>38239.0325930449</v>
      </c>
      <c r="R18" s="27"/>
    </row>
    <row r="19" customFormat="false" ht="12.75" hidden="false" customHeight="false" outlineLevel="0" collapsed="false">
      <c r="E19" s="36"/>
      <c r="F19" s="278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7"/>
    </row>
    <row r="20" customFormat="false" ht="12.75" hidden="false" customHeight="false" outlineLevel="0" collapsed="false">
      <c r="A20" s="113" t="s">
        <v>122</v>
      </c>
      <c r="B20" s="114"/>
      <c r="C20" s="114"/>
      <c r="D20" s="114"/>
      <c r="E20" s="290"/>
      <c r="F20" s="291" t="n">
        <f aca="false">F16-F18</f>
        <v>50126</v>
      </c>
      <c r="G20" s="115" t="n">
        <f aca="false">G16-G18</f>
        <v>59602.4674069551</v>
      </c>
      <c r="H20" s="115" t="n">
        <f aca="false">H16-H18</f>
        <v>54830.9174069551</v>
      </c>
      <c r="I20" s="115" t="n">
        <f aca="false">I16-I18</f>
        <v>50059.3674069551</v>
      </c>
      <c r="J20" s="115" t="n">
        <f aca="false">J16-J18</f>
        <v>45287.8174069551</v>
      </c>
      <c r="K20" s="115" t="n">
        <f aca="false">K16-K18</f>
        <v>40516.2674069551</v>
      </c>
      <c r="L20" s="115" t="n">
        <f aca="false">L16-L18</f>
        <v>35744.7174069551</v>
      </c>
      <c r="M20" s="115" t="n">
        <f aca="false">M16-M18</f>
        <v>30973.1674069551</v>
      </c>
      <c r="N20" s="115" t="n">
        <f aca="false">N16-N18</f>
        <v>26201.6174069551</v>
      </c>
      <c r="O20" s="115" t="n">
        <f aca="false">O16-O18</f>
        <v>21430.0674069551</v>
      </c>
      <c r="P20" s="115" t="n">
        <f aca="false">P16-P18</f>
        <v>16658.5174069551</v>
      </c>
      <c r="Q20" s="117" t="n">
        <f aca="false">Q16-Q18</f>
        <v>11886.9674069551</v>
      </c>
      <c r="R20" s="27"/>
    </row>
    <row r="21" customFormat="false" ht="12.75" hidden="false" customHeight="false" outlineLevel="0" collapsed="false">
      <c r="E21" s="36"/>
      <c r="F21" s="278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27"/>
    </row>
    <row r="22" customFormat="false" ht="12.75" hidden="false" customHeight="false" outlineLevel="0" collapsed="false">
      <c r="A22" s="32" t="s">
        <v>159</v>
      </c>
      <c r="E22" s="216"/>
      <c r="F22" s="278"/>
      <c r="G22" s="32" t="n">
        <f aca="false">$B$24*(G16-G88)</f>
        <v>22946.9499516777</v>
      </c>
      <c r="H22" s="32" t="n">
        <f aca="false">$B$24*(H16-H88)</f>
        <v>24393.4991581877</v>
      </c>
      <c r="I22" s="32" t="n">
        <f aca="false">$B$24*(I16-I88)</f>
        <v>20209.9067423689</v>
      </c>
      <c r="J22" s="32" t="n">
        <f aca="false">$B$24*(J16-J88)</f>
        <v>16448.3220080837</v>
      </c>
      <c r="K22" s="32" t="n">
        <f aca="false">$B$24*(K16-K88)</f>
        <v>13057.4102605253</v>
      </c>
      <c r="L22" s="32" t="n">
        <f aca="false">$B$24*(L16-L88)</f>
        <v>10000.4818717904</v>
      </c>
      <c r="M22" s="32" t="n">
        <f aca="false">$B$24*(M16-M88)</f>
        <v>7470.72458447971</v>
      </c>
      <c r="N22" s="32" t="n">
        <f aca="false">$B$24*(N16-N88)</f>
        <v>5303.00941947971</v>
      </c>
      <c r="O22" s="32" t="n">
        <f aca="false">$B$24*(O16-O88)</f>
        <v>3142.59113438307</v>
      </c>
      <c r="P22" s="32" t="n">
        <f aca="false">$B$24*(P16-P88)</f>
        <v>963.904995979714</v>
      </c>
      <c r="Q22" s="32" t="n">
        <f aca="false">$B$24*(Q16-Q88)</f>
        <v>-1196.51328911693</v>
      </c>
      <c r="R22" s="27"/>
    </row>
    <row r="23" customFormat="false" ht="15" hidden="false" customHeight="false" outlineLevel="0" collapsed="false">
      <c r="A23" s="32" t="s">
        <v>160</v>
      </c>
      <c r="E23" s="292"/>
      <c r="F23" s="293"/>
      <c r="G23" s="116" t="n">
        <f aca="false">G24-G22</f>
        <v>0</v>
      </c>
      <c r="H23" s="116" t="n">
        <f aca="false">H24-H22</f>
        <v>-3283.59595650995</v>
      </c>
      <c r="I23" s="116" t="n">
        <f aca="false">I24-I22</f>
        <v>-937.050290691183</v>
      </c>
      <c r="J23" s="116" t="n">
        <f aca="false">J24-J22</f>
        <v>987.48769359403</v>
      </c>
      <c r="K23" s="116" t="n">
        <f aca="false">K24-K22</f>
        <v>2541.3526911524</v>
      </c>
      <c r="L23" s="116" t="n">
        <f aca="false">L24-L22</f>
        <v>3761.23432988728</v>
      </c>
      <c r="M23" s="116" t="n">
        <f aca="false">M24-M22</f>
        <v>4453.94486719801</v>
      </c>
      <c r="N23" s="116" t="n">
        <f aca="false">N24-N22</f>
        <v>4784.61328219801</v>
      </c>
      <c r="O23" s="116" t="n">
        <f aca="false">O24-O22</f>
        <v>5107.98481729465</v>
      </c>
      <c r="P23" s="116" t="n">
        <f aca="false">P24-P22</f>
        <v>5449.62420569801</v>
      </c>
      <c r="Q23" s="116" t="n">
        <f aca="false">Q24-Q22</f>
        <v>5772.99574079465</v>
      </c>
      <c r="R23" s="27"/>
    </row>
    <row r="24" customFormat="false" ht="12.75" hidden="false" customHeight="false" outlineLevel="0" collapsed="false">
      <c r="A24" s="209" t="s">
        <v>154</v>
      </c>
      <c r="B24" s="294" t="n">
        <f aca="false">Assumptions!D19</f>
        <v>0.385</v>
      </c>
      <c r="E24" s="216"/>
      <c r="F24" s="278" t="n">
        <v>0</v>
      </c>
      <c r="G24" s="32" t="n">
        <f aca="false">$B$24*G20</f>
        <v>22946.9499516777</v>
      </c>
      <c r="H24" s="32" t="n">
        <f aca="false">$B$24*H20</f>
        <v>21109.9032016777</v>
      </c>
      <c r="I24" s="32" t="n">
        <f aca="false">$B$24*I20</f>
        <v>19272.8564516777</v>
      </c>
      <c r="J24" s="32" t="n">
        <f aca="false">$B$24*J20</f>
        <v>17435.8097016777</v>
      </c>
      <c r="K24" s="32" t="n">
        <f aca="false">$B$24*K20</f>
        <v>15598.7629516777</v>
      </c>
      <c r="L24" s="32" t="n">
        <f aca="false">$B$24*L20</f>
        <v>13761.7162016777</v>
      </c>
      <c r="M24" s="32" t="n">
        <f aca="false">$B$24*M20</f>
        <v>11924.6694516777</v>
      </c>
      <c r="N24" s="32" t="n">
        <f aca="false">$B$24*N20</f>
        <v>10087.6227016777</v>
      </c>
      <c r="O24" s="32" t="n">
        <f aca="false">$B$24*O20</f>
        <v>8250.57595167772</v>
      </c>
      <c r="P24" s="32" t="n">
        <f aca="false">$B$24*P20</f>
        <v>6413.52920167772</v>
      </c>
      <c r="Q24" s="32" t="n">
        <f aca="false">$B$24*Q20</f>
        <v>4576.48245167772</v>
      </c>
      <c r="R24" s="27"/>
    </row>
    <row r="25" customFormat="false" ht="12.75" hidden="false" customHeight="false" outlineLevel="0" collapsed="false">
      <c r="A25" s="32"/>
      <c r="B25" s="54"/>
      <c r="E25" s="36"/>
      <c r="F25" s="278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27"/>
    </row>
    <row r="26" customFormat="false" ht="12.75" hidden="false" customHeight="false" outlineLevel="0" collapsed="false">
      <c r="A26" s="295" t="s">
        <v>126</v>
      </c>
      <c r="B26" s="124"/>
      <c r="C26" s="114"/>
      <c r="D26" s="114"/>
      <c r="E26" s="296"/>
      <c r="F26" s="291" t="n">
        <f aca="false">F20-F24</f>
        <v>50126</v>
      </c>
      <c r="G26" s="115" t="n">
        <f aca="false">G20-G24</f>
        <v>36655.5174552774</v>
      </c>
      <c r="H26" s="115" t="n">
        <f aca="false">H20-H24</f>
        <v>33721.0142052774</v>
      </c>
      <c r="I26" s="115" t="n">
        <f aca="false">I20-I24</f>
        <v>30786.5109552774</v>
      </c>
      <c r="J26" s="115" t="n">
        <f aca="false">J20-J24</f>
        <v>27852.0077052774</v>
      </c>
      <c r="K26" s="115" t="n">
        <f aca="false">K20-K24</f>
        <v>24917.5044552774</v>
      </c>
      <c r="L26" s="115" t="n">
        <f aca="false">L20-L24</f>
        <v>21983.0012052774</v>
      </c>
      <c r="M26" s="115" t="n">
        <f aca="false">M20-M24</f>
        <v>19048.4979552774</v>
      </c>
      <c r="N26" s="115" t="n">
        <f aca="false">N20-N24</f>
        <v>16113.9947052774</v>
      </c>
      <c r="O26" s="115" t="n">
        <f aca="false">O20-O24</f>
        <v>13179.4914552774</v>
      </c>
      <c r="P26" s="115" t="n">
        <f aca="false">P20-P24</f>
        <v>10244.9882052774</v>
      </c>
      <c r="Q26" s="117" t="n">
        <f aca="false">Q20-Q24</f>
        <v>7310.48495527739</v>
      </c>
      <c r="R26" s="217" t="s">
        <v>119</v>
      </c>
    </row>
    <row r="27" customFormat="false" ht="12.75" hidden="false" customHeight="false" outlineLevel="0" collapsed="false">
      <c r="A27" s="32"/>
      <c r="B27" s="54"/>
      <c r="E27" s="36"/>
      <c r="F27" s="278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217" t="s">
        <v>162</v>
      </c>
    </row>
    <row r="28" customFormat="false" ht="12.75" hidden="false" customHeight="false" outlineLevel="0" collapsed="false">
      <c r="A28" s="32" t="s">
        <v>161</v>
      </c>
      <c r="B28" s="54"/>
      <c r="E28" s="36"/>
      <c r="F28" s="278" t="n">
        <f aca="false">F26+F23+F18</f>
        <v>50126</v>
      </c>
      <c r="G28" s="32" t="n">
        <f aca="false">G26+G23+G18</f>
        <v>27179.0500483223</v>
      </c>
      <c r="H28" s="32" t="n">
        <f aca="false">H26+H23+H18</f>
        <v>25732.5008418123</v>
      </c>
      <c r="I28" s="32" t="n">
        <f aca="false">I26+I23+I18</f>
        <v>29916.0932576311</v>
      </c>
      <c r="J28" s="32" t="n">
        <f aca="false">J26+J23+J18</f>
        <v>33677.6779919163</v>
      </c>
      <c r="K28" s="32" t="n">
        <f aca="false">K26+K23+K18</f>
        <v>37068.5897394747</v>
      </c>
      <c r="L28" s="32" t="n">
        <f aca="false">L26+L23+L18</f>
        <v>40125.5181282096</v>
      </c>
      <c r="M28" s="32" t="n">
        <f aca="false">M26+M23+M18</f>
        <v>42655.2754155203</v>
      </c>
      <c r="N28" s="32" t="n">
        <f aca="false">N26+N23+N18</f>
        <v>44822.9905805203</v>
      </c>
      <c r="O28" s="32" t="n">
        <f aca="false">O26+O23+O18</f>
        <v>46983.4088656169</v>
      </c>
      <c r="P28" s="32" t="n">
        <f aca="false">P26+P23+P18</f>
        <v>49162.0950040203</v>
      </c>
      <c r="Q28" s="32" t="n">
        <f aca="false">Q26+Q23+Q18</f>
        <v>51322.5132891169</v>
      </c>
      <c r="R28" s="217" t="s">
        <v>163</v>
      </c>
    </row>
    <row r="29" customFormat="false" ht="12.75" hidden="false" customHeight="false" outlineLevel="0" collapsed="false">
      <c r="A29" s="32" t="s">
        <v>132</v>
      </c>
      <c r="B29" s="297" t="n">
        <f aca="false">Assumptions!C47</f>
        <v>1</v>
      </c>
      <c r="E29" s="36"/>
      <c r="F29" s="278" t="n">
        <f aca="false">F77</f>
        <v>95431</v>
      </c>
      <c r="G29" s="32" t="n">
        <f aca="false">G77</f>
        <v>95431</v>
      </c>
      <c r="H29" s="32" t="n">
        <f aca="false">H77</f>
        <v>95431</v>
      </c>
      <c r="I29" s="32" t="n">
        <f aca="false">I77</f>
        <v>95431</v>
      </c>
      <c r="J29" s="32" t="n">
        <f aca="false">J77</f>
        <v>95431</v>
      </c>
      <c r="K29" s="32" t="n">
        <f aca="false">K77</f>
        <v>95431</v>
      </c>
      <c r="L29" s="32" t="n">
        <f aca="false">L77</f>
        <v>95431</v>
      </c>
      <c r="M29" s="32" t="n">
        <f aca="false">M77</f>
        <v>95431</v>
      </c>
      <c r="N29" s="32" t="n">
        <f aca="false">N77</f>
        <v>95431</v>
      </c>
      <c r="O29" s="32" t="n">
        <f aca="false">O77</f>
        <v>95431</v>
      </c>
      <c r="P29" s="32" t="n">
        <f aca="false">P77</f>
        <v>95431</v>
      </c>
      <c r="Q29" s="32" t="n">
        <f aca="false">Q77</f>
        <v>95431</v>
      </c>
      <c r="R29" s="345" t="n">
        <f aca="false">Assumptions!E46</f>
        <v>5</v>
      </c>
    </row>
    <row r="30" customFormat="false" ht="12.75" hidden="false" customHeight="false" outlineLevel="0" collapsed="false">
      <c r="A30" s="299" t="s">
        <v>164</v>
      </c>
      <c r="B30" s="114"/>
      <c r="C30" s="114"/>
      <c r="D30" s="114"/>
      <c r="E30" s="290"/>
      <c r="F30" s="291" t="n">
        <f aca="false">F28-F29</f>
        <v>-45305</v>
      </c>
      <c r="G30" s="115" t="n">
        <f aca="false">G28-G29</f>
        <v>-68251.9499516777</v>
      </c>
      <c r="H30" s="115" t="n">
        <f aca="false">H28-H29</f>
        <v>-69698.4991581877</v>
      </c>
      <c r="I30" s="115" t="n">
        <f aca="false">I28-I29</f>
        <v>-65514.9067423689</v>
      </c>
      <c r="J30" s="115" t="n">
        <f aca="false">J28-J29</f>
        <v>-61753.3220080837</v>
      </c>
      <c r="K30" s="115" t="n">
        <f aca="false">K28-K29</f>
        <v>-58362.4102605253</v>
      </c>
      <c r="L30" s="115" t="n">
        <f aca="false">L28-L29</f>
        <v>-55305.4818717904</v>
      </c>
      <c r="M30" s="115" t="n">
        <f aca="false">M28-M29</f>
        <v>-52775.7245844797</v>
      </c>
      <c r="N30" s="115" t="n">
        <f aca="false">N28-N29</f>
        <v>-50608.0094194797</v>
      </c>
      <c r="O30" s="115" t="n">
        <f aca="false">O28-O29</f>
        <v>-48447.5911343831</v>
      </c>
      <c r="P30" s="115" t="n">
        <f aca="false">P28-P29</f>
        <v>-46268.9049959797</v>
      </c>
      <c r="Q30" s="115" t="n">
        <f aca="false">Q28-Q29</f>
        <v>-44108.4867108831</v>
      </c>
      <c r="R30" s="117" t="n">
        <f aca="false">Q16*R29</f>
        <v>250630</v>
      </c>
    </row>
    <row r="31" customFormat="false" ht="12.75" hidden="false" customHeight="false" outlineLevel="0" collapsed="false">
      <c r="A31" s="209"/>
      <c r="E31" s="36"/>
      <c r="F31" s="278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</row>
    <row r="32" customFormat="false" ht="13.5" hidden="false" customHeight="false" outlineLevel="0" collapsed="false">
      <c r="R32" s="32"/>
    </row>
    <row r="33" customFormat="false" ht="15" hidden="false" customHeight="false" outlineLevel="0" collapsed="false">
      <c r="F33" s="0"/>
      <c r="G33" s="301" t="s">
        <v>169</v>
      </c>
      <c r="H33" s="302" t="str">
        <f aca="false">(Assumptions!D12-1&amp;" EBITDA")</f>
        <v>1999 EBITDA</v>
      </c>
      <c r="I33" s="302" t="s">
        <v>179</v>
      </c>
      <c r="J33" s="303"/>
      <c r="K33" s="304" t="s">
        <v>170</v>
      </c>
      <c r="L33" s="304"/>
      <c r="M33" s="304"/>
      <c r="P33" s="32"/>
      <c r="Q33" s="32"/>
      <c r="R33" s="32"/>
    </row>
    <row r="34" customFormat="false" ht="15" hidden="false" customHeight="false" outlineLevel="0" collapsed="false">
      <c r="F34" s="0"/>
      <c r="G34" s="305" t="s">
        <v>171</v>
      </c>
      <c r="H34" s="306" t="s">
        <v>172</v>
      </c>
      <c r="I34" s="306" t="s">
        <v>180</v>
      </c>
      <c r="J34" s="307"/>
      <c r="K34" s="308" t="n">
        <f aca="false">Asset4DRate-0.025</f>
        <v>0.1</v>
      </c>
      <c r="L34" s="308" t="n">
        <f aca="false">Assumptions!H43</f>
        <v>0.125</v>
      </c>
      <c r="M34" s="309" t="n">
        <f aca="false">Asset4DRate+0.025</f>
        <v>0.15</v>
      </c>
      <c r="P34" s="32"/>
      <c r="Q34" s="32"/>
      <c r="R34" s="32"/>
    </row>
    <row r="35" customFormat="false" ht="12.75" hidden="false" customHeight="false" outlineLevel="0" collapsed="false">
      <c r="F35" s="52" t="s">
        <v>174</v>
      </c>
      <c r="G35" s="248"/>
      <c r="H35" s="310"/>
      <c r="I35" s="310"/>
      <c r="J35" s="249"/>
      <c r="K35" s="249"/>
      <c r="L35" s="249"/>
      <c r="M35" s="251"/>
      <c r="P35" s="32"/>
      <c r="Q35" s="32"/>
      <c r="R35" s="32"/>
    </row>
    <row r="36" customFormat="false" ht="13.5" hidden="false" customHeight="false" outlineLevel="0" collapsed="false">
      <c r="F36" s="0" t="n">
        <f aca="false">IF(ABS(G36-L36)&lt;0.05,0,1)</f>
        <v>0</v>
      </c>
      <c r="G36" s="311" t="n">
        <v>-284960.348139102</v>
      </c>
      <c r="H36" s="312" t="n">
        <f aca="false">G36/F16</f>
        <v>-5.68488106250454</v>
      </c>
      <c r="I36" s="313" t="str">
        <f aca="false">Assumptions!D40</f>
        <v>ETS</v>
      </c>
      <c r="J36" s="314"/>
      <c r="K36" s="342" t="n">
        <f aca="false">NPV(K34,$G$30:$R$30)</f>
        <v>-303184.71822975</v>
      </c>
      <c r="L36" s="343" t="n">
        <f aca="false">NPV(L34,$G$30:$R$30)</f>
        <v>-284960.360013719</v>
      </c>
      <c r="M36" s="257" t="n">
        <f aca="false">NPV(M34,$G$30:$R$30)</f>
        <v>-267592.169764106</v>
      </c>
      <c r="P36" s="32"/>
      <c r="Q36" s="32"/>
      <c r="R36" s="32"/>
    </row>
    <row r="37" customFormat="false" ht="12.75" hidden="false" customHeight="false" outlineLevel="0" collapsed="false">
      <c r="F37" s="0"/>
      <c r="G37" s="32"/>
      <c r="H37" s="318"/>
      <c r="I37" s="318"/>
      <c r="J37" s="32"/>
      <c r="K37" s="32"/>
      <c r="L37" s="32"/>
      <c r="M37" s="32"/>
      <c r="P37" s="32"/>
      <c r="Q37" s="32"/>
      <c r="R37" s="32"/>
    </row>
    <row r="38" customFormat="false" ht="12.75" hidden="false" customHeight="false" outlineLevel="0" collapsed="false">
      <c r="F38" s="32"/>
      <c r="G38" s="32"/>
      <c r="H38" s="32"/>
      <c r="I38" s="32"/>
      <c r="J38" s="32"/>
      <c r="K38" s="32"/>
      <c r="L38" s="32"/>
      <c r="N38" s="32"/>
      <c r="O38" s="32"/>
      <c r="P38" s="32"/>
      <c r="Q38" s="32"/>
    </row>
    <row r="39" customFormat="false" ht="12.75" hidden="false" customHeight="false" outlineLevel="0" collapsed="false">
      <c r="E39" s="32"/>
      <c r="F39" s="32"/>
      <c r="G39" s="32"/>
      <c r="I39" s="27"/>
      <c r="J39" s="27"/>
      <c r="K39" s="27"/>
      <c r="L39" s="27"/>
      <c r="M39" s="27"/>
      <c r="N39" s="27"/>
      <c r="O39" s="27"/>
      <c r="P39" s="27"/>
      <c r="Q39" s="27"/>
    </row>
    <row r="40" customFormat="false" ht="12.75" hidden="false" customHeight="false" outlineLevel="0" collapsed="false">
      <c r="E40" s="32"/>
      <c r="F40" s="32"/>
      <c r="G40" s="32"/>
      <c r="H40" s="32"/>
      <c r="I40" s="27"/>
      <c r="J40" s="27"/>
      <c r="K40" s="27"/>
      <c r="L40" s="27"/>
      <c r="M40" s="27"/>
      <c r="N40" s="27"/>
      <c r="O40" s="27"/>
      <c r="P40" s="27"/>
      <c r="Q40" s="27"/>
    </row>
    <row r="41" customFormat="false" ht="13.5" hidden="false" customHeight="false" outlineLevel="0" collapsed="false">
      <c r="A41" s="13" t="s">
        <v>181</v>
      </c>
    </row>
    <row r="42" customFormat="false" ht="13.5" hidden="false" customHeight="false" outlineLevel="0" collapsed="false">
      <c r="B42" s="319" t="s">
        <v>182</v>
      </c>
      <c r="C42" s="320" t="s">
        <v>183</v>
      </c>
      <c r="F42" s="321" t="n">
        <f aca="false">G42-1</f>
        <v>1999</v>
      </c>
      <c r="G42" s="13" t="n">
        <f aca="false">Assumptions!D12</f>
        <v>2000</v>
      </c>
      <c r="H42" s="13" t="n">
        <f aca="false">G42+1</f>
        <v>2001</v>
      </c>
      <c r="I42" s="13" t="n">
        <f aca="false">H42+1</f>
        <v>2002</v>
      </c>
      <c r="J42" s="13" t="n">
        <f aca="false">I42+1</f>
        <v>2003</v>
      </c>
      <c r="K42" s="13" t="n">
        <f aca="false">J42+1</f>
        <v>2004</v>
      </c>
      <c r="L42" s="13" t="n">
        <f aca="false">K42+1</f>
        <v>2005</v>
      </c>
      <c r="M42" s="13" t="n">
        <f aca="false">L42+1</f>
        <v>2006</v>
      </c>
      <c r="N42" s="13" t="n">
        <f aca="false">M42+1</f>
        <v>2007</v>
      </c>
      <c r="O42" s="13" t="n">
        <f aca="false">N42+1</f>
        <v>2008</v>
      </c>
      <c r="P42" s="13" t="n">
        <f aca="false">O42+1</f>
        <v>2009</v>
      </c>
      <c r="Q42" s="13" t="n">
        <f aca="false">P42+1</f>
        <v>2010</v>
      </c>
    </row>
    <row r="43" customFormat="false" ht="13.5" hidden="false" customHeight="false" outlineLevel="0" collapsed="false">
      <c r="A43" s="322" t="str">
        <f aca="false">A2</f>
        <v>  Production - Cash Flow Analysis</v>
      </c>
      <c r="B43" s="323" t="n">
        <f aca="false">Assumptions!C47</f>
        <v>1</v>
      </c>
      <c r="C43" s="324" t="n">
        <v>1</v>
      </c>
      <c r="D43" s="114"/>
      <c r="E43" s="325"/>
      <c r="F43" s="291" t="n">
        <f aca="false">F48*$B$43</f>
        <v>69254</v>
      </c>
      <c r="G43" s="115" t="n">
        <f aca="false">CHOOSE($C$43,G48,G51,G54)*$B$43+G44</f>
        <v>69254</v>
      </c>
      <c r="H43" s="115" t="n">
        <f aca="false">CHOOSE($C$43,H48,H51,H54)*$B$43+H44</f>
        <v>69254</v>
      </c>
      <c r="I43" s="115" t="n">
        <f aca="false">CHOOSE($C$43,I48,I51,I54)*$B$43+I44</f>
        <v>69254</v>
      </c>
      <c r="J43" s="115" t="n">
        <f aca="false">CHOOSE($C$43,J48,J51,J54)*$B$43+J44</f>
        <v>69254</v>
      </c>
      <c r="K43" s="115" t="n">
        <f aca="false">CHOOSE($C$43,K48,K51,K54)*$B$43+K44</f>
        <v>69254</v>
      </c>
      <c r="L43" s="115" t="n">
        <f aca="false">CHOOSE($C$43,L48,L51,L54)*$B$43+L44</f>
        <v>69254</v>
      </c>
      <c r="M43" s="115" t="n">
        <f aca="false">CHOOSE($C$43,M48,M51,M54)*$B$43+M44</f>
        <v>69254</v>
      </c>
      <c r="N43" s="115" t="n">
        <f aca="false">CHOOSE($C$43,N48,N51,N54)*$B$43+N44</f>
        <v>69254</v>
      </c>
      <c r="O43" s="115" t="n">
        <f aca="false">CHOOSE($C$43,O48,O51,O54)*$B$43+O44</f>
        <v>69254</v>
      </c>
      <c r="P43" s="115" t="n">
        <f aca="false">CHOOSE($C$43,P48,P51,P54)*$B$43+P44</f>
        <v>69254</v>
      </c>
      <c r="Q43" s="117" t="n">
        <f aca="false">CHOOSE($C$43,Q48,Q51,Q54)*$B$43+Q44</f>
        <v>69254</v>
      </c>
    </row>
    <row r="44" customFormat="false" ht="12.75" hidden="false" customHeight="false" outlineLevel="0" collapsed="false">
      <c r="C44" s="326"/>
      <c r="F44" s="284" t="s">
        <v>184</v>
      </c>
      <c r="G44" s="32" t="n">
        <v>0</v>
      </c>
      <c r="H44" s="32" t="n">
        <v>0</v>
      </c>
      <c r="I44" s="32" t="n">
        <v>0</v>
      </c>
      <c r="J44" s="32" t="n">
        <v>0</v>
      </c>
      <c r="K44" s="32" t="n">
        <v>0</v>
      </c>
      <c r="L44" s="32" t="n">
        <v>0</v>
      </c>
      <c r="M44" s="32" t="n">
        <v>0</v>
      </c>
      <c r="N44" s="32" t="n">
        <v>0</v>
      </c>
      <c r="O44" s="32" t="n">
        <v>0</v>
      </c>
      <c r="P44" s="32" t="n">
        <v>0</v>
      </c>
      <c r="Q44" s="32" t="n">
        <v>0</v>
      </c>
    </row>
    <row r="45" customFormat="false" ht="12.75" hidden="false" customHeight="false" outlineLevel="0" collapsed="false">
      <c r="C45" s="327"/>
      <c r="D45" s="279"/>
      <c r="F45" s="209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customFormat="false" ht="12.75" hidden="false" customHeight="false" outlineLevel="0" collapsed="false">
      <c r="A46" s="12" t="str">
        <f aca="false">Assumptions!B58</f>
        <v>1. Base Case</v>
      </c>
      <c r="C46" s="327" t="n">
        <v>1</v>
      </c>
    </row>
    <row r="47" customFormat="false" ht="15" hidden="false" customHeight="false" outlineLevel="0" collapsed="false">
      <c r="A47" s="0" t="s">
        <v>185</v>
      </c>
      <c r="C47" s="327"/>
      <c r="D47" s="328"/>
      <c r="E47" s="36"/>
      <c r="F47" s="293" t="n">
        <v>69254</v>
      </c>
      <c r="G47" s="116" t="n">
        <f aca="false">F47</f>
        <v>69254</v>
      </c>
      <c r="H47" s="116" t="n">
        <f aca="false">G47</f>
        <v>69254</v>
      </c>
      <c r="I47" s="116" t="n">
        <f aca="false">H47</f>
        <v>69254</v>
      </c>
      <c r="J47" s="116" t="n">
        <f aca="false">I47</f>
        <v>69254</v>
      </c>
      <c r="K47" s="116" t="n">
        <f aca="false">J47</f>
        <v>69254</v>
      </c>
      <c r="L47" s="116" t="n">
        <f aca="false">K47</f>
        <v>69254</v>
      </c>
      <c r="M47" s="116" t="n">
        <f aca="false">L47</f>
        <v>69254</v>
      </c>
      <c r="N47" s="116" t="n">
        <f aca="false">M47</f>
        <v>69254</v>
      </c>
      <c r="O47" s="116" t="n">
        <f aca="false">N47</f>
        <v>69254</v>
      </c>
      <c r="P47" s="116" t="n">
        <f aca="false">O47</f>
        <v>69254</v>
      </c>
      <c r="Q47" s="116" t="n">
        <f aca="false">P47</f>
        <v>69254</v>
      </c>
    </row>
    <row r="48" customFormat="false" ht="12.75" hidden="false" customHeight="false" outlineLevel="0" collapsed="false">
      <c r="A48" s="190" t="s">
        <v>154</v>
      </c>
      <c r="B48" s="329" t="n">
        <v>1</v>
      </c>
      <c r="C48" s="327"/>
      <c r="D48" s="282"/>
      <c r="E48" s="283"/>
      <c r="F48" s="278" t="n">
        <f aca="false">SUM(F47)*$B$48</f>
        <v>69254</v>
      </c>
      <c r="G48" s="32" t="n">
        <f aca="false">SUM(G47)*$B$48+G49</f>
        <v>69254</v>
      </c>
      <c r="H48" s="32" t="n">
        <f aca="false">SUM(H47)*$B$48+H49</f>
        <v>69254</v>
      </c>
      <c r="I48" s="32" t="n">
        <f aca="false">SUM(I47)*$B$48+I49</f>
        <v>69254</v>
      </c>
      <c r="J48" s="32" t="n">
        <f aca="false">SUM(J47)*$B$48+J49</f>
        <v>69254</v>
      </c>
      <c r="K48" s="32" t="n">
        <f aca="false">SUM(K47)*$B$48+K49</f>
        <v>69254</v>
      </c>
      <c r="L48" s="32" t="n">
        <f aca="false">SUM(L47)*$B$48+L49</f>
        <v>69254</v>
      </c>
      <c r="M48" s="32" t="n">
        <f aca="false">SUM(M47)*$B$48+M49</f>
        <v>69254</v>
      </c>
      <c r="N48" s="32" t="n">
        <f aca="false">SUM(N47)*$B$48+N49</f>
        <v>69254</v>
      </c>
      <c r="O48" s="32" t="n">
        <f aca="false">SUM(O47)*$B$48+O49</f>
        <v>69254</v>
      </c>
      <c r="P48" s="32" t="n">
        <f aca="false">SUM(P47)*$B$48+P49</f>
        <v>69254</v>
      </c>
      <c r="Q48" s="32" t="n">
        <f aca="false">SUM(Q47)*$B$48+Q49</f>
        <v>69254</v>
      </c>
    </row>
    <row r="49" customFormat="false" ht="12.75" hidden="false" customHeight="false" outlineLevel="0" collapsed="false">
      <c r="C49" s="327"/>
      <c r="F49" s="284" t="s">
        <v>184</v>
      </c>
      <c r="G49" s="32" t="n">
        <v>0</v>
      </c>
      <c r="H49" s="32" t="n">
        <v>0</v>
      </c>
      <c r="I49" s="32" t="n">
        <f aca="false">H49</f>
        <v>0</v>
      </c>
      <c r="J49" s="32" t="n">
        <f aca="false">I49</f>
        <v>0</v>
      </c>
      <c r="K49" s="32" t="n">
        <f aca="false">J49</f>
        <v>0</v>
      </c>
      <c r="L49" s="32" t="n">
        <f aca="false">K49</f>
        <v>0</v>
      </c>
      <c r="M49" s="32" t="n">
        <f aca="false">L49</f>
        <v>0</v>
      </c>
      <c r="N49" s="32" t="n">
        <f aca="false">M49</f>
        <v>0</v>
      </c>
      <c r="O49" s="32" t="n">
        <f aca="false">N49</f>
        <v>0</v>
      </c>
      <c r="P49" s="32" t="n">
        <f aca="false">O49</f>
        <v>0</v>
      </c>
      <c r="Q49" s="32" t="n">
        <f aca="false">P49</f>
        <v>0</v>
      </c>
    </row>
    <row r="50" customFormat="false" ht="12.75" hidden="false" customHeight="false" outlineLevel="0" collapsed="false">
      <c r="C50" s="327"/>
    </row>
    <row r="51" customFormat="false" ht="12.75" hidden="false" customHeight="false" outlineLevel="0" collapsed="false">
      <c r="A51" s="12" t="str">
        <f aca="false">Assumptions!B59</f>
        <v>2. Optimistic</v>
      </c>
      <c r="B51" s="329" t="n">
        <v>1.02</v>
      </c>
      <c r="C51" s="327" t="n">
        <v>2</v>
      </c>
      <c r="D51" s="282"/>
      <c r="F51" s="278" t="n">
        <f aca="false">F48</f>
        <v>69254</v>
      </c>
      <c r="G51" s="133" t="n">
        <f aca="false">F51*$B$51+G52</f>
        <v>70639.08</v>
      </c>
      <c r="H51" s="133" t="n">
        <f aca="false">G51*$B$51+H52</f>
        <v>72051.8616</v>
      </c>
      <c r="I51" s="133" t="n">
        <f aca="false">H51*$B$51+I52</f>
        <v>73492.898832</v>
      </c>
      <c r="J51" s="133" t="n">
        <f aca="false">I51*$B$51+J52</f>
        <v>74962.75680864</v>
      </c>
      <c r="K51" s="133" t="n">
        <f aca="false">J51*$B$51+K52</f>
        <v>76462.0119448128</v>
      </c>
      <c r="L51" s="133" t="n">
        <f aca="false">K51*$B$51+L52</f>
        <v>77991.2521837091</v>
      </c>
      <c r="M51" s="133" t="n">
        <f aca="false">L51*$B$51+M52</f>
        <v>79551.0772273832</v>
      </c>
      <c r="N51" s="133" t="n">
        <f aca="false">M51*$B$51+N52</f>
        <v>81142.0987719309</v>
      </c>
      <c r="O51" s="133" t="n">
        <f aca="false">N51*$B$51+O52</f>
        <v>82764.9407473695</v>
      </c>
      <c r="P51" s="133" t="n">
        <f aca="false">O51*$B$51+P52</f>
        <v>84420.2395623169</v>
      </c>
      <c r="Q51" s="133" t="n">
        <f aca="false">P51*$B$51+Q52</f>
        <v>86108.6443535633</v>
      </c>
    </row>
    <row r="52" customFormat="false" ht="12.75" hidden="false" customHeight="false" outlineLevel="0" collapsed="false">
      <c r="A52" s="12"/>
      <c r="C52" s="327"/>
      <c r="F52" s="284" t="s">
        <v>184</v>
      </c>
      <c r="G52" s="32" t="n">
        <v>0</v>
      </c>
      <c r="H52" s="32" t="n">
        <v>0</v>
      </c>
      <c r="I52" s="32" t="n">
        <f aca="false">H52</f>
        <v>0</v>
      </c>
      <c r="J52" s="32" t="n">
        <f aca="false">I52</f>
        <v>0</v>
      </c>
      <c r="K52" s="32" t="n">
        <f aca="false">J52</f>
        <v>0</v>
      </c>
      <c r="L52" s="32" t="n">
        <f aca="false">K52</f>
        <v>0</v>
      </c>
      <c r="M52" s="32" t="n">
        <f aca="false">L52</f>
        <v>0</v>
      </c>
      <c r="N52" s="32" t="n">
        <f aca="false">M52</f>
        <v>0</v>
      </c>
      <c r="O52" s="32" t="n">
        <f aca="false">N52</f>
        <v>0</v>
      </c>
      <c r="P52" s="32" t="n">
        <f aca="false">O52</f>
        <v>0</v>
      </c>
      <c r="Q52" s="32" t="n">
        <f aca="false">P52</f>
        <v>0</v>
      </c>
    </row>
    <row r="53" customFormat="false" ht="12.75" hidden="false" customHeight="false" outlineLevel="0" collapsed="false">
      <c r="A53" s="12"/>
      <c r="C53" s="327"/>
    </row>
    <row r="54" customFormat="false" ht="12.75" hidden="false" customHeight="false" outlineLevel="0" collapsed="false">
      <c r="A54" s="12" t="str">
        <f aca="false">Assumptions!B60</f>
        <v>3. Pessimistic</v>
      </c>
      <c r="B54" s="329" t="n">
        <v>0.99</v>
      </c>
      <c r="C54" s="327" t="n">
        <v>3</v>
      </c>
      <c r="D54" s="282"/>
      <c r="F54" s="278" t="n">
        <f aca="false">F48</f>
        <v>69254</v>
      </c>
      <c r="G54" s="133" t="n">
        <f aca="false">F54*$B$54+G55</f>
        <v>68561.46</v>
      </c>
      <c r="H54" s="133" t="n">
        <f aca="false">G54*$B$54+H55</f>
        <v>67875.8454</v>
      </c>
      <c r="I54" s="133" t="n">
        <f aca="false">H54*$B$54+I55</f>
        <v>67197.086946</v>
      </c>
      <c r="J54" s="133" t="n">
        <f aca="false">I54*$B$54+J55</f>
        <v>66525.11607654</v>
      </c>
      <c r="K54" s="133" t="n">
        <f aca="false">J54*$B$54+K55</f>
        <v>65859.8649157746</v>
      </c>
      <c r="L54" s="133" t="n">
        <f aca="false">K54*$B$54+L55</f>
        <v>65201.2662666169</v>
      </c>
      <c r="M54" s="133" t="n">
        <f aca="false">L54*$B$54+M55</f>
        <v>64549.2536039507</v>
      </c>
      <c r="N54" s="133" t="n">
        <f aca="false">M54*$B$54+N55</f>
        <v>63903.7610679112</v>
      </c>
      <c r="O54" s="133" t="n">
        <f aca="false">N54*$B$54+O55</f>
        <v>63264.7234572321</v>
      </c>
      <c r="P54" s="133" t="n">
        <f aca="false">O54*$B$54+P55</f>
        <v>62632.0762226598</v>
      </c>
      <c r="Q54" s="133" t="n">
        <f aca="false">P54*$B$54+Q55</f>
        <v>62005.7554604332</v>
      </c>
    </row>
    <row r="55" customFormat="false" ht="13.5" hidden="false" customHeight="false" outlineLevel="0" collapsed="false">
      <c r="C55" s="330"/>
      <c r="F55" s="284" t="s">
        <v>184</v>
      </c>
      <c r="G55" s="32" t="n">
        <v>0</v>
      </c>
      <c r="H55" s="32" t="n">
        <v>0</v>
      </c>
      <c r="I55" s="32" t="n">
        <f aca="false">H55</f>
        <v>0</v>
      </c>
      <c r="J55" s="32" t="n">
        <f aca="false">I55</f>
        <v>0</v>
      </c>
      <c r="K55" s="32" t="n">
        <f aca="false">J55</f>
        <v>0</v>
      </c>
      <c r="L55" s="32" t="n">
        <f aca="false">K55</f>
        <v>0</v>
      </c>
      <c r="M55" s="32" t="n">
        <f aca="false">L55</f>
        <v>0</v>
      </c>
      <c r="N55" s="32" t="n">
        <f aca="false">M55</f>
        <v>0</v>
      </c>
      <c r="O55" s="32" t="n">
        <f aca="false">N55</f>
        <v>0</v>
      </c>
      <c r="P55" s="32" t="n">
        <f aca="false">O55</f>
        <v>0</v>
      </c>
      <c r="Q55" s="32" t="n">
        <f aca="false">P55</f>
        <v>0</v>
      </c>
    </row>
    <row r="58" customFormat="false" ht="13.5" hidden="false" customHeight="false" outlineLevel="0" collapsed="false">
      <c r="A58" s="13" t="s">
        <v>186</v>
      </c>
    </row>
    <row r="59" customFormat="false" ht="13.5" hidden="false" customHeight="false" outlineLevel="0" collapsed="false">
      <c r="B59" s="319" t="s">
        <v>182</v>
      </c>
      <c r="C59" s="320" t="s">
        <v>183</v>
      </c>
      <c r="F59" s="321" t="n">
        <f aca="false">G59-1</f>
        <v>1999</v>
      </c>
      <c r="G59" s="13" t="n">
        <f aca="false">Assumptions!D12</f>
        <v>2000</v>
      </c>
      <c r="H59" s="13" t="n">
        <f aca="false">G59+1</f>
        <v>2001</v>
      </c>
      <c r="I59" s="13" t="n">
        <f aca="false">H59+1</f>
        <v>2002</v>
      </c>
      <c r="J59" s="13" t="n">
        <f aca="false">I59+1</f>
        <v>2003</v>
      </c>
      <c r="K59" s="13" t="n">
        <f aca="false">J59+1</f>
        <v>2004</v>
      </c>
      <c r="L59" s="13" t="n">
        <f aca="false">K59+1</f>
        <v>2005</v>
      </c>
      <c r="M59" s="13" t="n">
        <f aca="false">L59+1</f>
        <v>2006</v>
      </c>
      <c r="N59" s="13" t="n">
        <f aca="false">M59+1</f>
        <v>2007</v>
      </c>
      <c r="O59" s="13" t="n">
        <f aca="false">N59+1</f>
        <v>2008</v>
      </c>
      <c r="P59" s="13" t="n">
        <f aca="false">O59+1</f>
        <v>2009</v>
      </c>
      <c r="Q59" s="13" t="n">
        <f aca="false">P59+1</f>
        <v>2010</v>
      </c>
    </row>
    <row r="60" customFormat="false" ht="13.5" hidden="false" customHeight="false" outlineLevel="0" collapsed="false">
      <c r="A60" s="322" t="str">
        <f aca="false">A2</f>
        <v>  Production - Cash Flow Analysis</v>
      </c>
      <c r="B60" s="323" t="n">
        <f aca="false">Assumptions!C47</f>
        <v>1</v>
      </c>
      <c r="C60" s="331" t="n">
        <v>1</v>
      </c>
      <c r="D60" s="114"/>
      <c r="E60" s="325"/>
      <c r="F60" s="332" t="n">
        <f aca="false">F65*$B$60</f>
        <v>19128</v>
      </c>
      <c r="G60" s="115" t="n">
        <f aca="false">CHOOSE($C$60,G65,G68,G71)*$B$60+G61</f>
        <v>19128</v>
      </c>
      <c r="H60" s="115" t="n">
        <f aca="false">CHOOSE($C$60,H65,H68,H71)*$B$60+H61</f>
        <v>19128</v>
      </c>
      <c r="I60" s="115" t="n">
        <f aca="false">CHOOSE($C$60,I65,I68,I71)*$B$60+I61</f>
        <v>19128</v>
      </c>
      <c r="J60" s="115" t="n">
        <f aca="false">CHOOSE($C$60,J65,J68,J71)*$B$60+J61</f>
        <v>19128</v>
      </c>
      <c r="K60" s="115" t="n">
        <f aca="false">CHOOSE($C$60,K65,K68,K71)*$B$60+K61</f>
        <v>19128</v>
      </c>
      <c r="L60" s="115" t="n">
        <f aca="false">CHOOSE($C$60,L65,L68,L71)*$B$60+L61</f>
        <v>19128</v>
      </c>
      <c r="M60" s="115" t="n">
        <f aca="false">CHOOSE($C$60,M65,M68,M71)*$B$60+M61</f>
        <v>19128</v>
      </c>
      <c r="N60" s="115" t="n">
        <f aca="false">CHOOSE($C$60,N65,N68,N71)*$B$60+N61</f>
        <v>19128</v>
      </c>
      <c r="O60" s="115" t="n">
        <f aca="false">CHOOSE($C$60,O65,O68,O71)*$B$60+O61</f>
        <v>19128</v>
      </c>
      <c r="P60" s="115" t="n">
        <f aca="false">CHOOSE($C$60,P65,P68,P71)*$B$60+P61</f>
        <v>19128</v>
      </c>
      <c r="Q60" s="117" t="n">
        <f aca="false">CHOOSE($C$60,Q65,Q68,Q71)*$B$60+Q61</f>
        <v>19128</v>
      </c>
    </row>
    <row r="61" customFormat="false" ht="12.75" hidden="false" customHeight="false" outlineLevel="0" collapsed="false">
      <c r="C61" s="333"/>
      <c r="F61" s="284" t="s">
        <v>184</v>
      </c>
      <c r="G61" s="32" t="n">
        <v>0</v>
      </c>
      <c r="H61" s="32" t="n">
        <v>0</v>
      </c>
      <c r="I61" s="32" t="n">
        <v>0</v>
      </c>
      <c r="J61" s="32" t="n">
        <v>0</v>
      </c>
      <c r="K61" s="32" t="n">
        <v>0</v>
      </c>
      <c r="L61" s="32" t="n">
        <v>0</v>
      </c>
      <c r="M61" s="32" t="n">
        <v>0</v>
      </c>
      <c r="N61" s="32" t="n">
        <v>0</v>
      </c>
      <c r="O61" s="32" t="n">
        <v>0</v>
      </c>
      <c r="P61" s="32" t="n">
        <v>0</v>
      </c>
      <c r="Q61" s="32" t="n">
        <v>0</v>
      </c>
    </row>
    <row r="62" customFormat="false" ht="12.75" hidden="false" customHeight="false" outlineLevel="0" collapsed="false">
      <c r="C62" s="334"/>
      <c r="D62" s="279"/>
      <c r="E62" s="285"/>
    </row>
    <row r="63" customFormat="false" ht="12.75" hidden="false" customHeight="false" outlineLevel="0" collapsed="false">
      <c r="A63" s="12" t="str">
        <f aca="false">Assumptions!B64</f>
        <v>1. Base Case</v>
      </c>
      <c r="C63" s="334"/>
    </row>
    <row r="64" customFormat="false" ht="15" hidden="false" customHeight="false" outlineLevel="0" collapsed="false">
      <c r="A64" s="0" t="s">
        <v>192</v>
      </c>
      <c r="C64" s="334"/>
      <c r="D64" s="282"/>
      <c r="E64" s="346"/>
      <c r="F64" s="293" t="n">
        <v>19128</v>
      </c>
      <c r="G64" s="116" t="n">
        <f aca="false">F64</f>
        <v>19128</v>
      </c>
      <c r="H64" s="335" t="n">
        <f aca="false">G64</f>
        <v>19128</v>
      </c>
      <c r="I64" s="335" t="n">
        <f aca="false">H64</f>
        <v>19128</v>
      </c>
      <c r="J64" s="335" t="n">
        <f aca="false">I64</f>
        <v>19128</v>
      </c>
      <c r="K64" s="335" t="n">
        <f aca="false">J64</f>
        <v>19128</v>
      </c>
      <c r="L64" s="335" t="n">
        <f aca="false">K64</f>
        <v>19128</v>
      </c>
      <c r="M64" s="335" t="n">
        <f aca="false">L64</f>
        <v>19128</v>
      </c>
      <c r="N64" s="335" t="n">
        <f aca="false">M64</f>
        <v>19128</v>
      </c>
      <c r="O64" s="335" t="n">
        <f aca="false">N64</f>
        <v>19128</v>
      </c>
      <c r="P64" s="335" t="n">
        <f aca="false">O64</f>
        <v>19128</v>
      </c>
      <c r="Q64" s="335" t="n">
        <f aca="false">P64</f>
        <v>19128</v>
      </c>
    </row>
    <row r="65" customFormat="false" ht="12.75" hidden="false" customHeight="false" outlineLevel="0" collapsed="false">
      <c r="A65" s="190" t="s">
        <v>154</v>
      </c>
      <c r="B65" s="336" t="n">
        <v>1</v>
      </c>
      <c r="C65" s="327" t="n">
        <v>1</v>
      </c>
      <c r="D65" s="282"/>
      <c r="E65" s="26"/>
      <c r="F65" s="337" t="n">
        <f aca="false">SUM(F64)</f>
        <v>19128</v>
      </c>
      <c r="G65" s="131" t="n">
        <f aca="false">SUM(G64)*$B$65+G66</f>
        <v>19128</v>
      </c>
      <c r="H65" s="131" t="n">
        <f aca="false">SUM(H64)*$B$65+H66</f>
        <v>19128</v>
      </c>
      <c r="I65" s="131" t="n">
        <f aca="false">SUM(I64)*$B$65+I66</f>
        <v>19128</v>
      </c>
      <c r="J65" s="131" t="n">
        <f aca="false">SUM(J64)*$B$65+J66</f>
        <v>19128</v>
      </c>
      <c r="K65" s="131" t="n">
        <f aca="false">SUM(K64)*$B$65+K66</f>
        <v>19128</v>
      </c>
      <c r="L65" s="131" t="n">
        <f aca="false">SUM(L64)*$B$65+L66</f>
        <v>19128</v>
      </c>
      <c r="M65" s="131" t="n">
        <f aca="false">SUM(M64)*$B$65+M66</f>
        <v>19128</v>
      </c>
      <c r="N65" s="131" t="n">
        <f aca="false">SUM(N64)*$B$65+N66</f>
        <v>19128</v>
      </c>
      <c r="O65" s="131" t="n">
        <f aca="false">SUM(O64)*$B$65+O66</f>
        <v>19128</v>
      </c>
      <c r="P65" s="131" t="n">
        <f aca="false">SUM(P64)*$B$65+P66</f>
        <v>19128</v>
      </c>
      <c r="Q65" s="131" t="n">
        <f aca="false">SUM(Q64)*$B$65+Q66</f>
        <v>19128</v>
      </c>
    </row>
    <row r="66" customFormat="false" ht="12.75" hidden="false" customHeight="false" outlineLevel="0" collapsed="false">
      <c r="C66" s="334"/>
      <c r="F66" s="284" t="s">
        <v>184</v>
      </c>
      <c r="G66" s="32" t="n">
        <v>0</v>
      </c>
      <c r="H66" s="32" t="n">
        <v>0</v>
      </c>
      <c r="I66" s="32" t="n">
        <v>0</v>
      </c>
      <c r="J66" s="32" t="n">
        <v>0</v>
      </c>
      <c r="K66" s="32" t="n">
        <v>0</v>
      </c>
      <c r="L66" s="32" t="n">
        <v>0</v>
      </c>
      <c r="M66" s="32" t="n">
        <v>0</v>
      </c>
      <c r="N66" s="32" t="n">
        <v>0</v>
      </c>
      <c r="O66" s="32" t="n">
        <v>0</v>
      </c>
      <c r="P66" s="32" t="n">
        <v>0</v>
      </c>
      <c r="Q66" s="32" t="n">
        <v>0</v>
      </c>
    </row>
    <row r="67" customFormat="false" ht="12.75" hidden="false" customHeight="false" outlineLevel="0" collapsed="false">
      <c r="C67" s="334"/>
    </row>
    <row r="68" customFormat="false" ht="12.75" hidden="false" customHeight="false" outlineLevel="0" collapsed="false">
      <c r="A68" s="12" t="str">
        <f aca="false">Assumptions!B65</f>
        <v>2. Optimistic</v>
      </c>
      <c r="B68" s="336" t="n">
        <v>0.99</v>
      </c>
      <c r="C68" s="327" t="n">
        <v>2</v>
      </c>
      <c r="D68" s="282"/>
      <c r="F68" s="337" t="n">
        <f aca="false">F65</f>
        <v>19128</v>
      </c>
      <c r="G68" s="133" t="n">
        <f aca="false">F68*$B$68+G69</f>
        <v>18936.72</v>
      </c>
      <c r="H68" s="133" t="n">
        <f aca="false">G68*$B$68+H69</f>
        <v>18747.3528</v>
      </c>
      <c r="I68" s="133" t="n">
        <f aca="false">H68*$B$68+I69</f>
        <v>18559.879272</v>
      </c>
      <c r="J68" s="133" t="n">
        <f aca="false">I68*$B$68+J69</f>
        <v>18374.28047928</v>
      </c>
      <c r="K68" s="133" t="n">
        <f aca="false">J68*$B$68+K69</f>
        <v>18190.5376744872</v>
      </c>
      <c r="L68" s="133" t="n">
        <f aca="false">K68*$B$68+L69</f>
        <v>18008.6322977423</v>
      </c>
      <c r="M68" s="133" t="n">
        <f aca="false">L68*$B$68+M69</f>
        <v>17828.5459747649</v>
      </c>
      <c r="N68" s="133" t="n">
        <f aca="false">M68*$B$68+N69</f>
        <v>17650.2605150173</v>
      </c>
      <c r="O68" s="133" t="n">
        <f aca="false">N68*$B$68+O69</f>
        <v>17473.7579098671</v>
      </c>
      <c r="P68" s="133" t="n">
        <f aca="false">O68*$B$68+P69</f>
        <v>17299.0203307684</v>
      </c>
      <c r="Q68" s="133" t="n">
        <f aca="false">P68*$B$68+Q69</f>
        <v>17126.0301274607</v>
      </c>
    </row>
    <row r="69" customFormat="false" ht="12.75" hidden="false" customHeight="false" outlineLevel="0" collapsed="false">
      <c r="A69" s="12"/>
      <c r="C69" s="338"/>
      <c r="F69" s="284" t="s">
        <v>184</v>
      </c>
      <c r="G69" s="32" t="n">
        <v>0</v>
      </c>
      <c r="H69" s="32" t="n">
        <v>0</v>
      </c>
      <c r="I69" s="32" t="n">
        <f aca="false">H69</f>
        <v>0</v>
      </c>
      <c r="J69" s="32" t="n">
        <f aca="false">I69</f>
        <v>0</v>
      </c>
      <c r="K69" s="32" t="n">
        <f aca="false">J69</f>
        <v>0</v>
      </c>
      <c r="L69" s="32" t="n">
        <f aca="false">K69</f>
        <v>0</v>
      </c>
      <c r="M69" s="32" t="n">
        <f aca="false">L69</f>
        <v>0</v>
      </c>
      <c r="N69" s="32" t="n">
        <f aca="false">M69</f>
        <v>0</v>
      </c>
      <c r="O69" s="32" t="n">
        <f aca="false">N69</f>
        <v>0</v>
      </c>
      <c r="P69" s="32" t="n">
        <f aca="false">O69</f>
        <v>0</v>
      </c>
      <c r="Q69" s="32" t="n">
        <f aca="false">P69</f>
        <v>0</v>
      </c>
    </row>
    <row r="70" customFormat="false" ht="12.75" hidden="false" customHeight="false" outlineLevel="0" collapsed="false">
      <c r="A70" s="12"/>
      <c r="C70" s="338"/>
    </row>
    <row r="71" customFormat="false" ht="12.75" hidden="false" customHeight="false" outlineLevel="0" collapsed="false">
      <c r="A71" s="12" t="str">
        <f aca="false">Assumptions!B66</f>
        <v>3. Pessimistic</v>
      </c>
      <c r="B71" s="336" t="n">
        <v>1.01</v>
      </c>
      <c r="C71" s="327" t="n">
        <v>3</v>
      </c>
      <c r="D71" s="282"/>
      <c r="F71" s="337" t="n">
        <f aca="false">F65</f>
        <v>19128</v>
      </c>
      <c r="G71" s="133" t="n">
        <f aca="false">F71*$B$71+G72</f>
        <v>19319.28</v>
      </c>
      <c r="H71" s="133" t="n">
        <f aca="false">G71*$B$71+H72</f>
        <v>19512.4728</v>
      </c>
      <c r="I71" s="133" t="n">
        <f aca="false">H71*$B$71+I72</f>
        <v>19707.597528</v>
      </c>
      <c r="J71" s="133" t="n">
        <f aca="false">I71*$B$71+J72</f>
        <v>19904.67350328</v>
      </c>
      <c r="K71" s="133" t="n">
        <f aca="false">J71*$B$71+K72</f>
        <v>20103.7202383128</v>
      </c>
      <c r="L71" s="133" t="n">
        <f aca="false">K71*$B$71+L72</f>
        <v>20304.7574406959</v>
      </c>
      <c r="M71" s="133" t="n">
        <f aca="false">L71*$B$71+M72</f>
        <v>20507.8050151029</v>
      </c>
      <c r="N71" s="133" t="n">
        <f aca="false">M71*$B$71+N72</f>
        <v>20712.8830652539</v>
      </c>
      <c r="O71" s="133" t="n">
        <f aca="false">N71*$B$71+O72</f>
        <v>20920.0118959065</v>
      </c>
      <c r="P71" s="133" t="n">
        <f aca="false">O71*$B$71+P72</f>
        <v>21129.2120148655</v>
      </c>
      <c r="Q71" s="133" t="n">
        <f aca="false">P71*$B$71+Q72</f>
        <v>21340.5041350142</v>
      </c>
    </row>
    <row r="72" customFormat="false" ht="13.5" hidden="false" customHeight="false" outlineLevel="0" collapsed="false">
      <c r="C72" s="330"/>
      <c r="F72" s="284" t="s">
        <v>184</v>
      </c>
      <c r="G72" s="32" t="n">
        <v>0</v>
      </c>
      <c r="H72" s="32" t="n">
        <v>0</v>
      </c>
      <c r="I72" s="32" t="n">
        <f aca="false">H72</f>
        <v>0</v>
      </c>
      <c r="J72" s="32" t="n">
        <f aca="false">I72</f>
        <v>0</v>
      </c>
      <c r="K72" s="32" t="n">
        <f aca="false">J72</f>
        <v>0</v>
      </c>
      <c r="L72" s="32" t="n">
        <f aca="false">K72</f>
        <v>0</v>
      </c>
      <c r="M72" s="32" t="n">
        <f aca="false">L72</f>
        <v>0</v>
      </c>
      <c r="N72" s="32" t="n">
        <f aca="false">M72</f>
        <v>0</v>
      </c>
      <c r="O72" s="32" t="n">
        <f aca="false">N72</f>
        <v>0</v>
      </c>
      <c r="P72" s="32" t="n">
        <f aca="false">O72</f>
        <v>0</v>
      </c>
      <c r="Q72" s="32" t="n">
        <f aca="false">P72</f>
        <v>0</v>
      </c>
    </row>
    <row r="74" customFormat="false" ht="12.75" hidden="false" customHeight="false" outlineLevel="0" collapsed="false">
      <c r="A74" s="13" t="s">
        <v>132</v>
      </c>
    </row>
    <row r="75" customFormat="false" ht="12.75" hidden="false" customHeight="false" outlineLevel="0" collapsed="false">
      <c r="A75" s="0" t="s">
        <v>187</v>
      </c>
    </row>
    <row r="76" customFormat="false" ht="12.75" hidden="false" customHeight="false" outlineLevel="0" collapsed="false">
      <c r="A76" s="0" t="s">
        <v>193</v>
      </c>
    </row>
    <row r="77" customFormat="false" ht="12.75" hidden="false" customHeight="false" outlineLevel="0" collapsed="false">
      <c r="A77" s="52" t="s">
        <v>154</v>
      </c>
      <c r="F77" s="32" t="n">
        <v>95431</v>
      </c>
      <c r="G77" s="131" t="n">
        <f aca="false">F77</f>
        <v>95431</v>
      </c>
      <c r="H77" s="131" t="n">
        <f aca="false">G77</f>
        <v>95431</v>
      </c>
      <c r="I77" s="131" t="n">
        <f aca="false">H77</f>
        <v>95431</v>
      </c>
      <c r="J77" s="131" t="n">
        <f aca="false">I77</f>
        <v>95431</v>
      </c>
      <c r="K77" s="131" t="n">
        <f aca="false">J77</f>
        <v>95431</v>
      </c>
      <c r="L77" s="131" t="n">
        <f aca="false">K77</f>
        <v>95431</v>
      </c>
      <c r="M77" s="131" t="n">
        <f aca="false">L77</f>
        <v>95431</v>
      </c>
      <c r="N77" s="131" t="n">
        <f aca="false">M77</f>
        <v>95431</v>
      </c>
      <c r="O77" s="131" t="n">
        <f aca="false">N77</f>
        <v>95431</v>
      </c>
      <c r="P77" s="131" t="n">
        <f aca="false">O77</f>
        <v>95431</v>
      </c>
      <c r="Q77" s="131" t="n">
        <f aca="false">P77</f>
        <v>95431</v>
      </c>
    </row>
    <row r="78" customFormat="false" ht="12.75" hidden="false" customHeight="false" outlineLevel="0" collapsed="false">
      <c r="A78" s="52"/>
    </row>
    <row r="79" customFormat="false" ht="12.75" hidden="false" customHeight="false" outlineLevel="0" collapsed="false">
      <c r="A79" s="13" t="s">
        <v>189</v>
      </c>
    </row>
    <row r="80" customFormat="false" ht="12.75" hidden="false" customHeight="false" outlineLevel="0" collapsed="false">
      <c r="A80" s="225" t="s">
        <v>165</v>
      </c>
      <c r="B80" s="54" t="n">
        <f aca="false">Assumptions!D20</f>
        <v>20</v>
      </c>
      <c r="C80" s="227" t="n">
        <f aca="false">Asset4PurPrice</f>
        <v>-284960.348139102</v>
      </c>
      <c r="D80" s="32"/>
      <c r="E80" s="36"/>
      <c r="F80" s="278"/>
      <c r="G80" s="339" t="n">
        <f aca="false">1/B80</f>
        <v>0.05</v>
      </c>
      <c r="H80" s="228" t="n">
        <f aca="false">G80</f>
        <v>0.05</v>
      </c>
      <c r="I80" s="228" t="n">
        <f aca="false">H80</f>
        <v>0.05</v>
      </c>
      <c r="J80" s="228" t="n">
        <f aca="false">I80</f>
        <v>0.05</v>
      </c>
      <c r="K80" s="228" t="n">
        <f aca="false">J80</f>
        <v>0.05</v>
      </c>
      <c r="L80" s="228" t="n">
        <f aca="false">K80</f>
        <v>0.05</v>
      </c>
      <c r="M80" s="228" t="n">
        <f aca="false">L80</f>
        <v>0.05</v>
      </c>
      <c r="N80" s="228" t="n">
        <f aca="false">M80</f>
        <v>0.05</v>
      </c>
      <c r="O80" s="228" t="n">
        <f aca="false">N80</f>
        <v>0.05</v>
      </c>
      <c r="P80" s="228" t="n">
        <f aca="false">O80</f>
        <v>0.05</v>
      </c>
      <c r="Q80" s="229" t="n">
        <f aca="false">P80</f>
        <v>0.05</v>
      </c>
    </row>
    <row r="81" customFormat="false" ht="12.75" hidden="false" customHeight="false" outlineLevel="0" collapsed="false">
      <c r="A81" s="32" t="s">
        <v>166</v>
      </c>
      <c r="C81" s="26"/>
      <c r="D81" s="26"/>
      <c r="E81" s="36"/>
      <c r="F81" s="278"/>
      <c r="G81" s="120" t="n">
        <f aca="false">C80/B80</f>
        <v>-14248.0174069551</v>
      </c>
      <c r="H81" s="120" t="n">
        <f aca="false">+G81</f>
        <v>-14248.0174069551</v>
      </c>
      <c r="I81" s="120" t="n">
        <f aca="false">+H81</f>
        <v>-14248.0174069551</v>
      </c>
      <c r="J81" s="120" t="n">
        <f aca="false">+I81</f>
        <v>-14248.0174069551</v>
      </c>
      <c r="K81" s="120" t="n">
        <f aca="false">+J81</f>
        <v>-14248.0174069551</v>
      </c>
      <c r="L81" s="120" t="n">
        <f aca="false">+K81</f>
        <v>-14248.0174069551</v>
      </c>
      <c r="M81" s="120" t="n">
        <f aca="false">+L81</f>
        <v>-14248.0174069551</v>
      </c>
      <c r="N81" s="120" t="n">
        <f aca="false">+M81</f>
        <v>-14248.0174069551</v>
      </c>
      <c r="O81" s="120" t="n">
        <f aca="false">+N81</f>
        <v>-14248.0174069551</v>
      </c>
      <c r="P81" s="120" t="n">
        <f aca="false">+O81</f>
        <v>-14248.0174069551</v>
      </c>
      <c r="Q81" s="120" t="n">
        <f aca="false">+P81</f>
        <v>-14248.0174069551</v>
      </c>
    </row>
    <row r="82" customFormat="false" ht="15" hidden="false" customHeight="false" outlineLevel="0" collapsed="false">
      <c r="A82" s="32" t="s">
        <v>167</v>
      </c>
      <c r="E82" s="36"/>
      <c r="F82" s="278"/>
      <c r="G82" s="116" t="n">
        <f aca="false">($G$29*G80)</f>
        <v>4771.55</v>
      </c>
      <c r="H82" s="116" t="n">
        <f aca="false">($G$29*H80)+($H$29*G80)</f>
        <v>9543.1</v>
      </c>
      <c r="I82" s="116" t="n">
        <f aca="false">($G$29*I80)+($H$29*H80)+($I$29*G80)</f>
        <v>14314.65</v>
      </c>
      <c r="J82" s="116" t="n">
        <f aca="false">($G$29*J80)+($H$29*I80)+($I$29*H80)+($J$29*G80)</f>
        <v>19086.2</v>
      </c>
      <c r="K82" s="116" t="n">
        <f aca="false">($G$29*K80)+($H$29*J80)+($I$29*I80)+($J$29*H80)+($K$29*G80)</f>
        <v>23857.75</v>
      </c>
      <c r="L82" s="116" t="n">
        <f aca="false">($G$29*L80)+($H$29*K80)+($I$29*J80)+($J$29*I80)+($K$29*H80)+($L$29*G80)</f>
        <v>28629.3</v>
      </c>
      <c r="M82" s="116" t="n">
        <f aca="false">($G$29*M80)+($H$29*L80)+($I$29*K80)+($J$29*J80)+($K$29*I80)+($L$29*H80)+($M$29*G80)</f>
        <v>33400.85</v>
      </c>
      <c r="N82" s="116" t="n">
        <f aca="false">($G$29*N80)+($H$29*M80)+($I$29*L80)+($J$29*K80)+($K$29*J80)+($L$29*I80)+($M$29*H80)+($N$29*G80)</f>
        <v>38172.4</v>
      </c>
      <c r="O82" s="116" t="n">
        <f aca="false">($G$29*O80)+($H$29*N80)+($I$29*M80)+($J$29*L80)+($K$29*K80)+($L$29*J80)+($M$29*I80)+($N$29*H80)+($O$29*G80)</f>
        <v>42943.95</v>
      </c>
      <c r="P82" s="116" t="n">
        <f aca="false">($G$29*P80)+($H$29*O80)+($I$29*N80)+($J$29*M80)+($K$29*L80)+($L$29*K80)+($M$29*J80)+($N$29*I80)+($O$29*H80)+($P$29*G80)</f>
        <v>47715.5</v>
      </c>
      <c r="Q82" s="116" t="n">
        <f aca="false">($G$29*Q80)+($H$29*P80)+($I$29*O80)+($J$29*N80)+($K$29*M80)+($L$29*L80)+($M$29*K80)+($N$29*J80)+($O$29*I80)+($P$29*H80)+($Q$29*G80)</f>
        <v>52487.05</v>
      </c>
    </row>
    <row r="83" customFormat="false" ht="12.75" hidden="false" customHeight="false" outlineLevel="0" collapsed="false">
      <c r="A83" s="52" t="s">
        <v>154</v>
      </c>
      <c r="E83" s="36"/>
      <c r="F83" s="278"/>
      <c r="G83" s="32" t="n">
        <f aca="false">SUM(G81:G82)</f>
        <v>-9476.46740695512</v>
      </c>
      <c r="H83" s="32" t="n">
        <f aca="false">SUM(H81:H82)</f>
        <v>-4704.91740695512</v>
      </c>
      <c r="I83" s="32" t="n">
        <f aca="false">SUM(I81:I82)</f>
        <v>66.6325930448784</v>
      </c>
      <c r="J83" s="32" t="n">
        <f aca="false">SUM(J81:J82)</f>
        <v>4838.18259304488</v>
      </c>
      <c r="K83" s="32" t="n">
        <f aca="false">SUM(K81:K82)</f>
        <v>9609.73259304488</v>
      </c>
      <c r="L83" s="32" t="n">
        <f aca="false">SUM(L81:L82)</f>
        <v>14381.2825930449</v>
      </c>
      <c r="M83" s="32" t="n">
        <f aca="false">SUM(M81:M82)</f>
        <v>19152.8325930449</v>
      </c>
      <c r="N83" s="32" t="n">
        <f aca="false">SUM(N81:N82)</f>
        <v>23924.3825930449</v>
      </c>
      <c r="O83" s="32" t="n">
        <f aca="false">SUM(O81:O82)</f>
        <v>28695.9325930449</v>
      </c>
      <c r="P83" s="32" t="n">
        <f aca="false">SUM(P81:P82)</f>
        <v>33467.4825930449</v>
      </c>
      <c r="Q83" s="32" t="n">
        <f aca="false">SUM(Q81:Q82)</f>
        <v>38239.0325930449</v>
      </c>
    </row>
    <row r="84" customFormat="false" ht="12.75" hidden="false" customHeight="false" outlineLevel="0" collapsed="false">
      <c r="A84" s="32"/>
      <c r="E84" s="36"/>
      <c r="F84" s="278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</row>
    <row r="85" customFormat="false" ht="12.75" hidden="false" customHeight="false" outlineLevel="0" collapsed="false">
      <c r="A85" s="96" t="s">
        <v>168</v>
      </c>
      <c r="E85" s="36"/>
      <c r="F85" s="278"/>
      <c r="G85" s="233" t="n">
        <v>0.05</v>
      </c>
      <c r="H85" s="234" t="n">
        <v>0.095</v>
      </c>
      <c r="I85" s="234" t="n">
        <v>0.0855</v>
      </c>
      <c r="J85" s="234" t="n">
        <v>0.077</v>
      </c>
      <c r="K85" s="234" t="n">
        <v>0.0693</v>
      </c>
      <c r="L85" s="234" t="n">
        <v>0.0623</v>
      </c>
      <c r="M85" s="234" t="n">
        <v>0.059</v>
      </c>
      <c r="N85" s="234" t="n">
        <v>0.059</v>
      </c>
      <c r="O85" s="234" t="n">
        <v>0.0591</v>
      </c>
      <c r="P85" s="234" t="n">
        <v>0.059</v>
      </c>
      <c r="Q85" s="235" t="n">
        <v>0.0591</v>
      </c>
    </row>
    <row r="86" customFormat="false" ht="12.75" hidden="false" customHeight="false" outlineLevel="0" collapsed="false">
      <c r="A86" s="32" t="s">
        <v>166</v>
      </c>
      <c r="B86" s="236"/>
      <c r="E86" s="36"/>
      <c r="F86" s="278"/>
      <c r="G86" s="32" t="n">
        <f aca="false">G85*$C$80</f>
        <v>-14248.0174069551</v>
      </c>
      <c r="H86" s="32" t="n">
        <f aca="false">H85*$C$80</f>
        <v>-27071.2330732147</v>
      </c>
      <c r="I86" s="32" t="n">
        <f aca="false">I85*$C$80</f>
        <v>-24364.1097658933</v>
      </c>
      <c r="J86" s="32" t="n">
        <f aca="false">J85*$C$80</f>
        <v>-21941.9468067109</v>
      </c>
      <c r="K86" s="32" t="n">
        <f aca="false">K85*$C$80</f>
        <v>-19747.7521260398</v>
      </c>
      <c r="L86" s="32" t="n">
        <f aca="false">L85*$C$80</f>
        <v>-17753.0296890661</v>
      </c>
      <c r="M86" s="32" t="n">
        <f aca="false">M85*$C$80</f>
        <v>-16812.660540207</v>
      </c>
      <c r="N86" s="32" t="n">
        <f aca="false">N85*$C$80</f>
        <v>-16812.660540207</v>
      </c>
      <c r="O86" s="32" t="n">
        <f aca="false">O85*$C$80</f>
        <v>-16841.156575021</v>
      </c>
      <c r="P86" s="32" t="n">
        <f aca="false">P85*$C$80</f>
        <v>-16812.660540207</v>
      </c>
      <c r="Q86" s="32" t="n">
        <f aca="false">Q85*$C$80</f>
        <v>-16841.156575021</v>
      </c>
    </row>
    <row r="87" customFormat="false" ht="15" hidden="false" customHeight="false" outlineLevel="0" collapsed="false">
      <c r="A87" s="32" t="s">
        <v>167</v>
      </c>
      <c r="B87" s="201"/>
      <c r="E87" s="216"/>
      <c r="F87" s="278"/>
      <c r="G87" s="116" t="n">
        <f aca="false">($G$29*G$85)</f>
        <v>4771.55</v>
      </c>
      <c r="H87" s="116" t="n">
        <f aca="false">($G$29*H85)+($H$29*G85)</f>
        <v>13837.495</v>
      </c>
      <c r="I87" s="116" t="n">
        <f aca="false">($G$29*I85)+($H$29*H85)+($I$29*G85)</f>
        <v>21996.8455</v>
      </c>
      <c r="J87" s="116" t="n">
        <f aca="false">($G$29*J85)+($H$29*I85)+($I$29*H85)+($J$29*G85)</f>
        <v>29345.0325</v>
      </c>
      <c r="K87" s="116" t="n">
        <f aca="false">($G$29*K85)+($H$29*J85)+($I$29*I85)+($J$29*H85)+($K$29*G85)</f>
        <v>35958.4008</v>
      </c>
      <c r="L87" s="116" t="n">
        <f aca="false">($G$29*L85)+($H$29*K85)+($I$29*J85)+($J$29*I85)+($K$29*H85)+($L$29*G85)</f>
        <v>41903.7521</v>
      </c>
      <c r="M87" s="116" t="n">
        <f aca="false">($G$29*M85)+($H$29*L85)+($I$29*K85)+($J$29*J85)+($K$29*I85)+($L$29*H85)+($M$29*G85)</f>
        <v>47534.1811</v>
      </c>
      <c r="N87" s="116" t="n">
        <f aca="false">($G$29*N85)+($H$29*M85)+($I$29*L85)+($J$29*K85)+($K$29*J85)+($L$29*I85)+($M$29*H85)+($N$29*G85)</f>
        <v>53164.6101</v>
      </c>
      <c r="O87" s="116" t="n">
        <f aca="false">($G$29*O85)+($H$29*N85)+($I$29*M85)+($J$29*L85)+($K$29*K85)+($L$29*J85)+($M$29*I85)+($N$29*H85)+($O$29*G85)</f>
        <v>58804.5822</v>
      </c>
      <c r="P87" s="116" t="n">
        <f aca="false">($G$29*P85)+($H$29*O85)+($I$29*N85)+($J$29*M85)+($K$29*L85)+($L$29*K85)+($M$29*J85)+($N$29*I85)+($O$29*H85)+($P$29*G85)</f>
        <v>64435.0112</v>
      </c>
      <c r="Q87" s="116" t="n">
        <f aca="false">($G$29*Q85)+($H$29*P85)+($I$29*O85)+($J$29*N85)+($K$29*M85)+($L$29*L85)+($M$29*K85)+($N$29*J85)+($O$29*I85)+($P$29*H85)+($Q$29*G85)</f>
        <v>70074.9833</v>
      </c>
    </row>
    <row r="88" customFormat="false" ht="12.75" hidden="false" customHeight="false" outlineLevel="0" collapsed="false">
      <c r="A88" s="52" t="s">
        <v>154</v>
      </c>
      <c r="E88" s="36"/>
      <c r="F88" s="278"/>
      <c r="G88" s="32" t="n">
        <f aca="false">SUM(G86:G87)</f>
        <v>-9476.46740695512</v>
      </c>
      <c r="H88" s="32" t="n">
        <f aca="false">SUM(H86:H87)</f>
        <v>-13233.7380732147</v>
      </c>
      <c r="I88" s="32" t="n">
        <f aca="false">SUM(I86:I87)</f>
        <v>-2367.26426589326</v>
      </c>
      <c r="J88" s="32" t="n">
        <f aca="false">SUM(J86:J87)</f>
        <v>7403.08569328911</v>
      </c>
      <c r="K88" s="32" t="n">
        <f aca="false">SUM(K86:K87)</f>
        <v>16210.6486739602</v>
      </c>
      <c r="L88" s="32" t="n">
        <f aca="false">SUM(L86:L87)</f>
        <v>24150.7224109339</v>
      </c>
      <c r="M88" s="32" t="n">
        <f aca="false">SUM(M86:M87)</f>
        <v>30721.520559793</v>
      </c>
      <c r="N88" s="32" t="n">
        <f aca="false">SUM(N86:N87)</f>
        <v>36351.949559793</v>
      </c>
      <c r="O88" s="32" t="n">
        <f aca="false">SUM(O86:O87)</f>
        <v>41963.4256249791</v>
      </c>
      <c r="P88" s="32" t="n">
        <f aca="false">SUM(P86:P87)</f>
        <v>47622.350659793</v>
      </c>
      <c r="Q88" s="32" t="n">
        <f aca="false">SUM(Q86:Q87)</f>
        <v>53233.826724979</v>
      </c>
    </row>
  </sheetData>
  <mergeCells count="1">
    <mergeCell ref="K33:M33"/>
  </mergeCells>
  <conditionalFormatting sqref="D68 D71 D54 D51 C11:D11 D14:D15 D47:D48 D64:D65">
    <cfRule type="cellIs" priority="2" operator="notBetween" aboveAverage="0" equalAverage="0" bottom="0" percent="0" rank="0" text="" dxfId="5">
      <formula>0.25</formula>
      <formula>-0.25</formula>
    </cfRule>
  </conditionalFormatting>
  <printOptions headings="false" gridLines="false" gridLinesSet="true" horizontalCentered="false" verticalCentered="false"/>
  <pageMargins left="0.5" right="0.5" top="0.75" bottom="0.75" header="0.511811023622047" footer="0.5"/>
  <pageSetup paperSize="1" scale="4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rowBreaks count="1" manualBreakCount="1">
    <brk id="39" man="true" max="16383" min="0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2000-03-08T23:13:06Z</dcterms:created>
  <dc:creator>MLR</dc:creator>
  <dc:description/>
  <dc:language>en-US</dc:language>
  <cp:lastModifiedBy>mratner</cp:lastModifiedBy>
  <cp:lastPrinted>2001-02-28T13:16:48Z</cp:lastPrinted>
  <dcterms:modified xsi:type="dcterms:W3CDTF">2001-03-29T19:11:42Z</dcterms:modified>
  <cp:revision>0</cp:revision>
  <dc:subject/>
  <dc:title/>
</cp:coreProperties>
</file>